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270" windowWidth="9390" windowHeight="5310" activeTab="1"/>
  </bookViews>
  <sheets>
    <sheet name="Bkgrnd." sheetId="1" r:id="rId1"/>
    <sheet name="SVISN" sheetId="5" r:id="rId2"/>
    <sheet name="SVI &amp; SA" sheetId="7" r:id="rId3"/>
    <sheet name="SVIGN" sheetId="3" r:id="rId4"/>
    <sheet name="SVIGS" sheetId="2" r:id="rId5"/>
    <sheet name="SVISS" sheetId="4" r:id="rId6"/>
    <sheet name="VoK" sheetId="6" r:id="rId7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"NS8F16HXTIZM5VXNMJEUASH2"</definedName>
    <definedName name="_xlnm.Print_Area" localSheetId="0">Bkgrnd.!$A$1:$J$52</definedName>
    <definedName name="_xlnm.Print_Area" localSheetId="3">SVIGN!$E$4:$I$58</definedName>
    <definedName name="_xlnm.Print_Area" localSheetId="4">SVIGS!$E$4:$I$56</definedName>
    <definedName name="_xlnm.Print_Area" localSheetId="1">SVISN!$E$3:$I$52</definedName>
    <definedName name="_xlnm.Print_Area" localSheetId="5">SVISS!$E$4:$I$59</definedName>
    <definedName name="_xlnm.Print_Area" localSheetId="6">VoK!$E$4:$I$44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B30" i="5" l="1"/>
  <c r="B28" i="5"/>
  <c r="C9" i="7" l="1"/>
  <c r="I6" i="6"/>
  <c r="I7" i="6"/>
  <c r="C4" i="7" l="1"/>
  <c r="B25" i="5" l="1"/>
  <c r="B23" i="5"/>
  <c r="B26" i="3"/>
  <c r="B24" i="3"/>
  <c r="C32" i="2"/>
  <c r="C30" i="2"/>
  <c r="C10" i="2"/>
  <c r="A198" i="3"/>
  <c r="F198" i="3"/>
  <c r="B41" i="3"/>
  <c r="H201" i="3"/>
  <c r="H52" i="3"/>
  <c r="H46" i="3"/>
  <c r="J205" i="3"/>
  <c r="H55" i="3"/>
  <c r="H54" i="3"/>
  <c r="I55" i="3"/>
  <c r="E196" i="3"/>
  <c r="A197" i="3"/>
  <c r="H51" i="3"/>
  <c r="H50" i="3"/>
  <c r="I52" i="3"/>
  <c r="I48" i="3"/>
  <c r="H47" i="3"/>
  <c r="H45" i="3"/>
  <c r="H44" i="3"/>
  <c r="H43" i="3"/>
  <c r="H42" i="3"/>
  <c r="E42" i="3"/>
  <c r="A205" i="3"/>
  <c r="H202" i="3"/>
  <c r="G200" i="3"/>
  <c r="D195" i="3"/>
  <c r="A200" i="3"/>
  <c r="I203" i="3"/>
  <c r="A204" i="3"/>
  <c r="I204" i="3"/>
  <c r="B42" i="3"/>
  <c r="A193" i="3"/>
  <c r="C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A195" i="3"/>
  <c r="A196" i="2"/>
  <c r="F196" i="2"/>
  <c r="B39" i="2"/>
  <c r="H199" i="2"/>
  <c r="H50" i="2"/>
  <c r="H44" i="2"/>
  <c r="J201" i="2"/>
  <c r="H53" i="2"/>
  <c r="A202" i="2"/>
  <c r="H54" i="2"/>
  <c r="H52" i="2"/>
  <c r="I53" i="2"/>
  <c r="E194" i="2"/>
  <c r="A195" i="2"/>
  <c r="H49" i="2"/>
  <c r="H48" i="2"/>
  <c r="I50" i="2"/>
  <c r="I46" i="2"/>
  <c r="H45" i="2"/>
  <c r="H43" i="2"/>
  <c r="H42" i="2"/>
  <c r="H41" i="2"/>
  <c r="H40" i="2"/>
  <c r="E40" i="2"/>
  <c r="J202" i="2"/>
  <c r="A201" i="2"/>
  <c r="G198" i="2"/>
  <c r="D193" i="2"/>
  <c r="A198" i="2"/>
  <c r="B40" i="2"/>
  <c r="A191" i="2"/>
  <c r="C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A193" i="2"/>
  <c r="A192" i="5"/>
  <c r="F192" i="5" s="1"/>
  <c r="B35" i="5"/>
  <c r="H195" i="5"/>
  <c r="H46" i="5" s="1"/>
  <c r="H40" i="5"/>
  <c r="J199" i="5"/>
  <c r="H49" i="5" s="1"/>
  <c r="H48" i="5"/>
  <c r="I49" i="5"/>
  <c r="H45" i="5"/>
  <c r="H44" i="5"/>
  <c r="I46" i="5"/>
  <c r="I42" i="5"/>
  <c r="H39" i="5"/>
  <c r="H38" i="5"/>
  <c r="H37" i="5"/>
  <c r="H36" i="5"/>
  <c r="E36" i="5"/>
  <c r="A199" i="5"/>
  <c r="G194" i="5"/>
  <c r="D189" i="5"/>
  <c r="A189" i="5" s="1"/>
  <c r="I197" i="5"/>
  <c r="A198" i="5" s="1"/>
  <c r="I198" i="5" s="1"/>
  <c r="B36" i="5"/>
  <c r="A187" i="5"/>
  <c r="C187" i="5" s="1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A199" i="4"/>
  <c r="F199" i="4"/>
  <c r="B42" i="4"/>
  <c r="H202" i="4"/>
  <c r="A203" i="4" s="1"/>
  <c r="H54" i="4" s="1"/>
  <c r="H47" i="4"/>
  <c r="J206" i="4"/>
  <c r="H56" i="4"/>
  <c r="A207" i="4"/>
  <c r="H57" i="4" s="1"/>
  <c r="H55" i="4"/>
  <c r="I56" i="4"/>
  <c r="E197" i="4"/>
  <c r="H49" i="4" s="1"/>
  <c r="H52" i="4"/>
  <c r="H51" i="4"/>
  <c r="I53" i="4"/>
  <c r="I49" i="4"/>
  <c r="H48" i="4"/>
  <c r="H46" i="4"/>
  <c r="H45" i="4"/>
  <c r="H44" i="4"/>
  <c r="H43" i="4"/>
  <c r="E43" i="4"/>
  <c r="J207" i="4"/>
  <c r="A206" i="4"/>
  <c r="H203" i="4"/>
  <c r="G201" i="4"/>
  <c r="D196" i="4"/>
  <c r="A196" i="4" s="1"/>
  <c r="A201" i="4"/>
  <c r="I204" i="4"/>
  <c r="A205" i="4"/>
  <c r="I205" i="4"/>
  <c r="B43" i="4"/>
  <c r="A194" i="4"/>
  <c r="C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I186" i="6"/>
  <c r="H39" i="6" s="1"/>
  <c r="A186" i="6"/>
  <c r="H184" i="6"/>
  <c r="H36" i="6" s="1"/>
  <c r="A185" i="6"/>
  <c r="H37" i="6" s="1"/>
  <c r="A184" i="6"/>
  <c r="I36" i="6"/>
  <c r="B24" i="6"/>
  <c r="A181" i="6"/>
  <c r="F181" i="6" s="1"/>
  <c r="H35" i="6"/>
  <c r="H34" i="6"/>
  <c r="E179" i="6"/>
  <c r="A180" i="6" s="1"/>
  <c r="I32" i="6"/>
  <c r="H31" i="6"/>
  <c r="H30" i="6"/>
  <c r="H29" i="6"/>
  <c r="H28" i="6"/>
  <c r="H27" i="6"/>
  <c r="H26" i="6"/>
  <c r="D178" i="6"/>
  <c r="A178" i="6" s="1"/>
  <c r="C176" i="6"/>
  <c r="I39" i="6"/>
  <c r="H38" i="6"/>
  <c r="H25" i="6"/>
  <c r="E25" i="6"/>
  <c r="L185" i="6"/>
  <c r="L186" i="6" s="1"/>
  <c r="A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H46" i="2"/>
  <c r="H48" i="3"/>
  <c r="A206" i="3"/>
  <c r="E197" i="3"/>
  <c r="H49" i="3"/>
  <c r="E195" i="2"/>
  <c r="H47" i="2"/>
  <c r="A200" i="2"/>
  <c r="A202" i="3"/>
  <c r="H53" i="3"/>
  <c r="H51" i="2"/>
  <c r="H200" i="2"/>
  <c r="J206" i="3"/>
  <c r="H56" i="3"/>
  <c r="A183" i="6" l="1"/>
  <c r="G183" i="6"/>
  <c r="A187" i="6"/>
  <c r="H185" i="6"/>
  <c r="A194" i="5"/>
  <c r="A200" i="5"/>
  <c r="H50" i="5" s="1"/>
  <c r="H32" i="6"/>
  <c r="H33" i="6"/>
  <c r="E180" i="6"/>
  <c r="E190" i="5"/>
  <c r="H42" i="5" s="1"/>
  <c r="H41" i="5"/>
  <c r="A196" i="5"/>
  <c r="H53" i="4"/>
  <c r="A198" i="4"/>
  <c r="H40" i="6" l="1"/>
  <c r="I187" i="6"/>
  <c r="J200" i="5"/>
  <c r="H47" i="5"/>
  <c r="H196" i="5"/>
  <c r="A191" i="5"/>
  <c r="E191" i="5" s="1"/>
  <c r="E198" i="4"/>
  <c r="H50" i="4"/>
  <c r="H43" i="5" l="1"/>
</calcChain>
</file>

<file path=xl/sharedStrings.xml><?xml version="1.0" encoding="utf-8"?>
<sst xmlns="http://schemas.openxmlformats.org/spreadsheetml/2006/main" count="408" uniqueCount="130">
  <si>
    <t>State Point Analysis</t>
  </si>
  <si>
    <t>Spreadsheet developed by Eric J. Wahlberg, Ph.D., Brown and Caldwell</t>
  </si>
  <si>
    <t xml:space="preserve">A state point analysis is a powerful activated sludge design, operations, and </t>
  </si>
  <si>
    <t xml:space="preserve">troubleshooting tool.  The traditional approach to a state point analysis is to </t>
  </si>
  <si>
    <t>(worksheet VoK).  Alternatively, the requiste settling flux curve can be developed</t>
  </si>
  <si>
    <t xml:space="preserve">using correlations between these settling parameters and SVI.  The SVI is </t>
  </si>
  <si>
    <t>performed a number of different ways:  (1) in a 1 L graduated cylinder with</t>
  </si>
  <si>
    <t>stirring (SVIGS), (2) in a 1 L graduated cylinder without stirring (SVIGN), (3) in a 2 L</t>
  </si>
  <si>
    <t>settlometer with stirring (SVISS), and (4) in a 2 L settlometer without stirring</t>
  </si>
  <si>
    <t>(SVISN).  The appropriate correlations are used to generate the flux curves on the</t>
  </si>
  <si>
    <t>following worksheets (labeled SVIGS, SVIGN, SVISS, and SVISN, respectively).</t>
  </si>
  <si>
    <t xml:space="preserve">When you start this template, first choose the worksheet corresponding to the </t>
  </si>
  <si>
    <t>settling data you have.  For example, if you have settling velocity:solids concentration</t>
  </si>
  <si>
    <t xml:space="preserve">(i.e., Vs:X) data from which you can estimate Vo and k in the equation, </t>
  </si>
  <si>
    <r>
      <t>Vs = Vo e</t>
    </r>
    <r>
      <rPr>
        <vertAlign val="superscript"/>
        <sz val="10"/>
        <rFont val="Arial"/>
        <family val="2"/>
      </rPr>
      <t>-KX</t>
    </r>
    <r>
      <rPr>
        <sz val="10"/>
        <rFont val="Arial"/>
        <family val="2"/>
      </rPr>
      <t xml:space="preserve"> ,</t>
    </r>
  </si>
  <si>
    <t>you would use the VoK worksheet, or if you had SVI data that was generated using an</t>
  </si>
  <si>
    <t xml:space="preserve">unstirred 2-L settlometer, you would use the SVISN worksheet.  </t>
  </si>
  <si>
    <t>Once in the desired worksheet, the first step to take is to choose the units you are</t>
  </si>
  <si>
    <t>interested in.  This is done by replacing the "0" with a "1" across from the desired</t>
  </si>
  <si>
    <t>units.  You then must fill in the following to generate a flux curve and a state point</t>
  </si>
  <si>
    <t>analysis:  the SVI, the number of secondary clarifiers, the area of each, the MLSS</t>
  </si>
  <si>
    <t>concentration, the influent flow, and the RAS flow (remember to watch your units).</t>
  </si>
  <si>
    <t>The curve and operating lines will appear on the plot.</t>
  </si>
  <si>
    <t>If you would like to investigate other flow rates, enter them (one at a time) in the</t>
  </si>
  <si>
    <t>alternate influent flow row.  This will allow you to see the impact of different flows on the</t>
  </si>
  <si>
    <t>system (e.g., ADWF versus PWWF).  Similarly, you can see the impact of different</t>
  </si>
  <si>
    <t>RAS flows by entering different RAS flows in the alternate RAS flow row.  It's not a</t>
  </si>
  <si>
    <t>good  idea to investigate alternate influent flows and RAS flows at the same time</t>
  </si>
  <si>
    <t>(which is to say that is not the way I have set it up).</t>
  </si>
  <si>
    <t>To print the plot, double click on the plot before choosing "Print" in the File menu.  If</t>
  </si>
  <si>
    <t>you print the spreadsheet, the print area is set to include the plot (on a smaller scale</t>
  </si>
  <si>
    <t>than if you print the plot by itself) and a table of summary information that you will</t>
  </si>
  <si>
    <t xml:space="preserve">find useful, like surface overflow rates, solids loading rates, predicted RAS solids </t>
  </si>
  <si>
    <t>concentrations, etc.</t>
  </si>
  <si>
    <t xml:space="preserve">The correlations between the SVIs and the settling parameters, Vo and K, were </t>
  </si>
  <si>
    <t xml:space="preserve">developed by the author while he was a graduate student at Clemson University, </t>
  </si>
  <si>
    <t>Clemson, South Carolina.  This work can be referenced in the following two</t>
  </si>
  <si>
    <t>publications.</t>
  </si>
  <si>
    <t>Wahlberg, E.J. and T.M. Keinath (1988).  "Development of settling flux curves using</t>
  </si>
  <si>
    <t>Wahlberg, E.J. and T.M. Keinath (1995).  "Development of settling flux curves using</t>
  </si>
  <si>
    <t>This spreadsheet will generate a flux curve given the</t>
  </si>
  <si>
    <t>following inputs (insert value in the appropriate cell</t>
  </si>
  <si>
    <t xml:space="preserve">between thick lines -- mind your units): </t>
  </si>
  <si>
    <t xml:space="preserve">SVIGS </t>
  </si>
  <si>
    <t>mL/g</t>
  </si>
  <si>
    <t xml:space="preserve">No. of clarifiers </t>
  </si>
  <si>
    <t>alpha=</t>
  </si>
  <si>
    <t>L/g</t>
  </si>
  <si>
    <t xml:space="preserve">Area of each </t>
  </si>
  <si>
    <r>
      <t>ft</t>
    </r>
    <r>
      <rPr>
        <vertAlign val="superscript"/>
        <sz val="10"/>
        <rFont val="Arial"/>
        <family val="2"/>
      </rPr>
      <t>2</t>
    </r>
  </si>
  <si>
    <t>beta=</t>
  </si>
  <si>
    <t>L/mL</t>
  </si>
  <si>
    <t xml:space="preserve">MLSS </t>
  </si>
  <si>
    <t>g/L</t>
  </si>
  <si>
    <t>delta=</t>
  </si>
  <si>
    <t>g/mL</t>
  </si>
  <si>
    <t>Inf. flow</t>
  </si>
  <si>
    <t>mgd</t>
  </si>
  <si>
    <t>gamma=</t>
  </si>
  <si>
    <t>m/h</t>
  </si>
  <si>
    <t xml:space="preserve">RAS flow </t>
  </si>
  <si>
    <t>Alternate inf. flow</t>
  </si>
  <si>
    <t>Alternate RAS flow</t>
  </si>
  <si>
    <t>Choose desired flux units by</t>
  </si>
  <si>
    <t xml:space="preserve">placing a "1" in place of </t>
  </si>
  <si>
    <t>the "0" next to desired units:</t>
  </si>
  <si>
    <r>
      <t>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h</t>
    </r>
  </si>
  <si>
    <r>
      <t>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d</t>
    </r>
  </si>
  <si>
    <r>
      <t>lb/ft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d</t>
    </r>
  </si>
  <si>
    <t>X</t>
  </si>
  <si>
    <t>G</t>
  </si>
  <si>
    <t>Summary Information</t>
  </si>
  <si>
    <t>Solids Concentration  (g/L)</t>
  </si>
  <si>
    <t>Total Clarifier Surface Area</t>
  </si>
  <si>
    <t>MLSS Concentration</t>
  </si>
  <si>
    <t>mg/L</t>
  </si>
  <si>
    <t>Influent Flow</t>
  </si>
  <si>
    <t>Surface Overflow Rate</t>
  </si>
  <si>
    <r>
      <t>gal/ft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d</t>
    </r>
  </si>
  <si>
    <t>RAS Flow</t>
  </si>
  <si>
    <t>Applied Solids Loading*</t>
  </si>
  <si>
    <t>RAS SS Concentration*</t>
  </si>
  <si>
    <t>Alternate Influent Flow</t>
  </si>
  <si>
    <t>Alt. Surface Overflow Rate</t>
  </si>
  <si>
    <t>Alt. Applied Solids Loading*</t>
  </si>
  <si>
    <t>Alt. RAS SS Concentration*</t>
  </si>
  <si>
    <t>Alternate RAS Flow</t>
  </si>
  <si>
    <t>*Assumes underloaded conditions;check flux curve</t>
  </si>
  <si>
    <t>SVIGN</t>
  </si>
  <si>
    <t>`</t>
  </si>
  <si>
    <t xml:space="preserve">SVISS </t>
  </si>
  <si>
    <t xml:space="preserve">SVISN </t>
  </si>
  <si>
    <t>Vo</t>
  </si>
  <si>
    <t>m/d</t>
  </si>
  <si>
    <t xml:space="preserve">K </t>
  </si>
  <si>
    <t>No. of clarifiers</t>
  </si>
  <si>
    <t>Area of each</t>
  </si>
  <si>
    <t>MLSS</t>
  </si>
  <si>
    <t>RAS flow</t>
  </si>
  <si>
    <t>Solids Concentration  (g/l)</t>
  </si>
  <si>
    <t>K</t>
  </si>
  <si>
    <r>
      <t>develop the requiste settling flux curve using the settling parameters V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and K</t>
    </r>
  </si>
  <si>
    <r>
      <t xml:space="preserve">SVI."  </t>
    </r>
    <r>
      <rPr>
        <i/>
        <sz val="12"/>
        <rFont val="Times New Roman"/>
        <family val="1"/>
      </rPr>
      <t>Journal Water Pollution Control Federation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60</t>
    </r>
    <r>
      <rPr>
        <sz val="12"/>
        <rFont val="Times New Roman"/>
        <family val="1"/>
      </rPr>
      <t>, 2095.</t>
    </r>
  </si>
  <si>
    <r>
      <t xml:space="preserve">SVI:  An addendum."  </t>
    </r>
    <r>
      <rPr>
        <i/>
        <sz val="12"/>
        <rFont val="Times New Roman"/>
        <family val="1"/>
      </rPr>
      <t>Water Environment Research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67</t>
    </r>
    <r>
      <rPr>
        <sz val="12"/>
        <rFont val="Times New Roman"/>
        <family val="1"/>
      </rPr>
      <t>, 872.</t>
    </r>
  </si>
  <si>
    <t>gpm</t>
  </si>
  <si>
    <t>Influent flow</t>
  </si>
  <si>
    <t>Combined RAS flow</t>
  </si>
  <si>
    <t>Influent</t>
  </si>
  <si>
    <t>RAS</t>
  </si>
  <si>
    <t>SSV at 30 min</t>
  </si>
  <si>
    <t>mL</t>
  </si>
  <si>
    <t>SVI</t>
  </si>
  <si>
    <t>Surface Area</t>
  </si>
  <si>
    <t>ft</t>
  </si>
  <si>
    <t>Tank diameter</t>
  </si>
  <si>
    <t>Surface area</t>
  </si>
  <si>
    <r>
      <t>ft</t>
    </r>
    <r>
      <rPr>
        <vertAlign val="superscript"/>
        <sz val="14"/>
        <rFont val="Arial"/>
        <family val="2"/>
      </rPr>
      <t>2</t>
    </r>
  </si>
  <si>
    <t>=</t>
  </si>
  <si>
    <t>m</t>
  </si>
  <si>
    <t>in/m</t>
  </si>
  <si>
    <t>ft/d</t>
  </si>
  <si>
    <t>Alternate influent flow</t>
  </si>
  <si>
    <t>following inputs (yellow cells, note units).</t>
  </si>
  <si>
    <t>Alternate influent</t>
  </si>
  <si>
    <t>(This is the sheet you are most likely to use.)</t>
  </si>
  <si>
    <t xml:space="preserve"> 2 L Settlometer Without Stirring (SVISN)</t>
  </si>
  <si>
    <t>In place of a tall, narrow graduated cylinder, use a 1 liter beaker.</t>
  </si>
  <si>
    <t>2 L Settleometer With Stirring (SVISS)</t>
  </si>
  <si>
    <t>1 L Graduated Cylinder With Stirring (SVIGS)</t>
  </si>
  <si>
    <t>1 L Graduated Cylinder Without Stirring (SVIGN)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</si>
</sst>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9" formatCode="#,##0.0"/>
  </numFmts>
  <fonts count="1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color rgb="FFFF0000"/>
      <name val="Arial"/>
      <family val="2"/>
    </font>
    <font>
      <vertAlign val="superscript"/>
      <sz val="14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0" borderId="11" xfId="0" applyNumberFormat="1" applyBorder="1"/>
    <xf numFmtId="1" fontId="0" fillId="0" borderId="11" xfId="0" applyNumberFormat="1" applyBorder="1"/>
    <xf numFmtId="0" fontId="1" fillId="0" borderId="0" xfId="0" applyFont="1"/>
    <xf numFmtId="0" fontId="6" fillId="0" borderId="0" xfId="0" applyFont="1"/>
    <xf numFmtId="0" fontId="10" fillId="0" borderId="0" xfId="0" applyFont="1"/>
    <xf numFmtId="2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" fillId="2" borderId="2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5" xfId="0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0" fillId="3" borderId="4" xfId="0" applyFill="1" applyBorder="1"/>
    <xf numFmtId="0" fontId="0" fillId="3" borderId="6" xfId="0" applyFill="1" applyBorder="1"/>
    <xf numFmtId="0" fontId="11" fillId="2" borderId="2" xfId="0" applyFont="1" applyFill="1" applyBorder="1"/>
    <xf numFmtId="0" fontId="12" fillId="2" borderId="0" xfId="0" applyFont="1" applyFill="1" applyBorder="1"/>
    <xf numFmtId="0" fontId="12" fillId="2" borderId="5" xfId="0" applyFont="1" applyFill="1" applyBorder="1"/>
    <xf numFmtId="0" fontId="11" fillId="2" borderId="0" xfId="0" applyFont="1" applyFill="1" applyBorder="1"/>
    <xf numFmtId="0" fontId="11" fillId="3" borderId="2" xfId="0" applyFont="1" applyFill="1" applyBorder="1"/>
    <xf numFmtId="0" fontId="11" fillId="3" borderId="0" xfId="0" applyFont="1" applyFill="1" applyBorder="1"/>
    <xf numFmtId="0" fontId="12" fillId="3" borderId="0" xfId="0" applyFont="1" applyFill="1" applyBorder="1"/>
    <xf numFmtId="0" fontId="12" fillId="3" borderId="5" xfId="0" applyFont="1" applyFill="1" applyBorder="1"/>
    <xf numFmtId="0" fontId="8" fillId="3" borderId="2" xfId="0" applyFont="1" applyFill="1" applyBorder="1"/>
    <xf numFmtId="0" fontId="8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9" fillId="2" borderId="2" xfId="0" applyFont="1" applyFill="1" applyBorder="1"/>
    <xf numFmtId="0" fontId="7" fillId="0" borderId="0" xfId="0" applyFont="1"/>
    <xf numFmtId="0" fontId="16" fillId="0" borderId="0" xfId="0" applyFont="1"/>
    <xf numFmtId="0" fontId="0" fillId="0" borderId="0" xfId="0" applyAlignment="1">
      <alignment vertical="center"/>
    </xf>
    <xf numFmtId="0" fontId="0" fillId="4" borderId="0" xfId="0" applyFill="1"/>
    <xf numFmtId="0" fontId="0" fillId="2" borderId="0" xfId="0" applyFill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quotePrefix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4" borderId="2" xfId="0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quotePrefix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4" borderId="3" xfId="0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quotePrefix="1" applyFont="1" applyBorder="1" applyAlignment="1">
      <alignment vertical="center"/>
    </xf>
    <xf numFmtId="0" fontId="0" fillId="5" borderId="4" xfId="0" applyFill="1" applyBorder="1" applyAlignment="1">
      <alignment vertical="center"/>
    </xf>
    <xf numFmtId="0" fontId="7" fillId="0" borderId="6" xfId="0" applyFont="1" applyBorder="1" applyAlignment="1">
      <alignment vertical="center"/>
    </xf>
    <xf numFmtId="164" fontId="0" fillId="5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/>
    <xf numFmtId="0" fontId="6" fillId="2" borderId="16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2" xfId="0" applyFont="1" applyFill="1" applyBorder="1"/>
    <xf numFmtId="0" fontId="0" fillId="2" borderId="2" xfId="0" applyFill="1" applyBorder="1"/>
    <xf numFmtId="0" fontId="1" fillId="2" borderId="0" xfId="0" applyFont="1" applyFill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0" xfId="0" applyNumberFormat="1"/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5" borderId="20" xfId="0" applyFill="1" applyBorder="1" applyAlignment="1">
      <alignment horizontal="center" vertical="center"/>
    </xf>
    <xf numFmtId="2" fontId="0" fillId="5" borderId="23" xfId="0" applyNumberFormat="1" applyFill="1" applyBorder="1" applyAlignment="1">
      <alignment horizontal="center" vertical="center"/>
    </xf>
    <xf numFmtId="3" fontId="0" fillId="4" borderId="17" xfId="0" applyNumberFormat="1" applyFill="1" applyBorder="1" applyAlignment="1">
      <alignment horizontal="center" vertical="center"/>
    </xf>
    <xf numFmtId="3" fontId="0" fillId="4" borderId="20" xfId="0" applyNumberForma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3" fontId="6" fillId="4" borderId="20" xfId="0" applyNumberFormat="1" applyFont="1" applyFill="1" applyBorder="1" applyAlignment="1">
      <alignment horizontal="center" vertical="center"/>
    </xf>
    <xf numFmtId="1" fontId="6" fillId="5" borderId="2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3" fontId="6" fillId="5" borderId="23" xfId="0" applyNumberFormat="1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3" xfId="0" applyFont="1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26" xfId="0" applyFill="1" applyBorder="1"/>
    <xf numFmtId="0" fontId="0" fillId="2" borderId="25" xfId="0" applyFill="1" applyBorder="1"/>
    <xf numFmtId="169" fontId="0" fillId="2" borderId="11" xfId="0" applyNumberFormat="1" applyFill="1" applyBorder="1"/>
    <xf numFmtId="0" fontId="0" fillId="2" borderId="27" xfId="0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2" borderId="29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1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0070C0"/>
      <color rgb="FFE82718"/>
      <color rgb="FFFFC000"/>
      <color rgb="FFAFC2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chemeClr val="tx1"/>
                </a:solidFill>
              </a:defRPr>
            </a:pPr>
            <a:r>
              <a:rPr lang="en-US" sz="1400" b="1">
                <a:solidFill>
                  <a:schemeClr val="tx1"/>
                </a:solidFill>
              </a:rPr>
              <a:t>State Point Analysis - Plant Name - Date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70574895243358"/>
          <c:y val="0.11079560823698326"/>
          <c:w val="0.78825655016807106"/>
          <c:h val="0.739373724117818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SVISN!$A$36:$A$187</c:f>
              <c:numCache>
                <c:formatCode>0.0</c:formatCode>
                <c:ptCount val="15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4.3</c:v>
                </c:pt>
              </c:numCache>
            </c:numRef>
          </c:xVal>
          <c:yVal>
            <c:numRef>
              <c:f>SVISN!$B$36:$B$187</c:f>
              <c:numCache>
                <c:formatCode>0.00</c:formatCode>
                <c:ptCount val="152"/>
                <c:pt idx="0">
                  <c:v>0</c:v>
                </c:pt>
                <c:pt idx="1">
                  <c:v>4.1493393172484989</c:v>
                </c:pt>
                <c:pt idx="2">
                  <c:v>7.8991590265080438</c:v>
                </c:pt>
                <c:pt idx="3">
                  <c:v>11.278309970942534</c:v>
                </c:pt>
                <c:pt idx="4">
                  <c:v>14.31379105590606</c:v>
                </c:pt>
                <c:pt idx="5">
                  <c:v>17.030860695219534</c:v>
                </c:pt>
                <c:pt idx="6">
                  <c:v>19.45314181907688</c:v>
                </c:pt>
                <c:pt idx="7">
                  <c:v>21.602720805200267</c:v>
                </c:pt>
                <c:pt idx="8">
                  <c:v>23.500240674967777</c:v>
                </c:pt>
                <c:pt idx="9">
                  <c:v>25.164988877417724</c:v>
                </c:pt>
                <c:pt idx="10">
                  <c:v>26.614979966235627</c:v>
                </c:pt>
                <c:pt idx="11">
                  <c:v>27.867033457995838</c:v>
                </c:pt>
                <c:pt idx="12">
                  <c:v>28.936847144010436</c:v>
                </c:pt>
                <c:pt idx="13">
                  <c:v>29.839066113082925</c:v>
                </c:pt>
                <c:pt idx="14">
                  <c:v>30.587347728227275</c:v>
                </c:pt>
                <c:pt idx="15">
                  <c:v>31.194422786950909</c:v>
                </c:pt>
                <c:pt idx="16">
                  <c:v>31.672153081970666</c:v>
                </c:pt>
                <c:pt idx="17">
                  <c:v>32.031585567194902</c:v>
                </c:pt>
                <c:pt idx="18">
                  <c:v>32.283003322425252</c:v>
                </c:pt>
                <c:pt idx="19">
                  <c:v>32.435973499472965</c:v>
                </c:pt>
                <c:pt idx="20">
                  <c:v>32.499392422213319</c:v>
                </c:pt>
                <c:pt idx="21">
                  <c:v>32.481528003486709</c:v>
                </c:pt>
                <c:pt idx="22">
                  <c:v>32.390059632665313</c:v>
                </c:pt>
                <c:pt idx="23">
                  <c:v>32.232115679112717</c:v>
                </c:pt>
                <c:pt idx="24">
                  <c:v>32.014308748643067</c:v>
                </c:pt>
                <c:pt idx="25">
                  <c:v>31.742768822410046</c:v>
                </c:pt>
                <c:pt idx="26">
                  <c:v>31.423174400402633</c:v>
                </c:pt>
                <c:pt idx="27">
                  <c:v>31.060781764867496</c:v>
                </c:pt>
                <c:pt idx="28">
                  <c:v>30.660452472500157</c:v>
                </c:pt>
                <c:pt idx="29">
                  <c:v>30.226679178123753</c:v>
                </c:pt>
                <c:pt idx="30">
                  <c:v>29.763609886789766</c:v>
                </c:pt>
                <c:pt idx="31">
                  <c:v>29.275070725768394</c:v>
                </c:pt>
                <c:pt idx="32">
                  <c:v>28.764587322732069</c:v>
                </c:pt>
                <c:pt idx="33">
                  <c:v>28.235404871556049</c:v>
                </c:pt>
                <c:pt idx="34">
                  <c:v>27.690506962550899</c:v>
                </c:pt>
                <c:pt idx="35">
                  <c:v>27.132633249586799</c:v>
                </c:pt>
                <c:pt idx="36">
                  <c:v>26.564296022456993</c:v>
                </c:pt>
                <c:pt idx="37">
                  <c:v>25.98779574894213</c:v>
                </c:pt>
                <c:pt idx="38">
                  <c:v>25.405235647368279</c:v>
                </c:pt>
                <c:pt idx="39">
                  <c:v>24.81853534698563</c:v>
                </c:pt>
                <c:pt idx="40">
                  <c:v>24.229443690222229</c:v>
                </c:pt>
                <c:pt idx="41">
                  <c:v>23.639550727776825</c:v>
                </c:pt>
                <c:pt idx="42">
                  <c:v>23.050298954596311</c:v>
                </c:pt>
                <c:pt idx="43">
                  <c:v>22.462993832028396</c:v>
                </c:pt>
                <c:pt idx="44">
                  <c:v>21.878813638838437</c:v>
                </c:pt>
                <c:pt idx="45">
                  <c:v>21.298818691323483</c:v>
                </c:pt>
                <c:pt idx="46">
                  <c:v>20.723959970438489</c:v>
                </c:pt>
                <c:pt idx="47">
                  <c:v>20.155087191660908</c:v>
                </c:pt>
                <c:pt idx="48">
                  <c:v>19.592956351254724</c:v>
                </c:pt>
                <c:pt idx="49">
                  <c:v>19.038236780644958</c:v>
                </c:pt>
                <c:pt idx="50">
                  <c:v>18.491517738774832</c:v>
                </c:pt>
                <c:pt idx="51">
                  <c:v>17.953314570580293</c:v>
                </c:pt>
                <c:pt idx="52">
                  <c:v>17.424074458079858</c:v>
                </c:pt>
                <c:pt idx="53">
                  <c:v>16.904181789030879</c:v>
                </c:pt>
                <c:pt idx="54">
                  <c:v>16.393963166645797</c:v>
                </c:pt>
                <c:pt idx="55">
                  <c:v>15.893692082485874</c:v>
                </c:pt>
                <c:pt idx="56">
                  <c:v>15.403593273352429</c:v>
                </c:pt>
                <c:pt idx="57">
                  <c:v>14.92384678177147</c:v>
                </c:pt>
                <c:pt idx="58">
                  <c:v>14.454591738513267</c:v>
                </c:pt>
                <c:pt idx="59">
                  <c:v>13.995929884499821</c:v>
                </c:pt>
                <c:pt idx="60">
                  <c:v>13.54792884842651</c:v>
                </c:pt>
                <c:pt idx="61">
                  <c:v>13.110625195456064</c:v>
                </c:pt>
                <c:pt idx="62">
                  <c:v>12.684027261431041</c:v>
                </c:pt>
                <c:pt idx="63">
                  <c:v>12.268117786189812</c:v>
                </c:pt>
                <c:pt idx="64">
                  <c:v>11.862856358760633</c:v>
                </c:pt>
                <c:pt idx="65">
                  <c:v>11.468181686444115</c:v>
                </c:pt>
                <c:pt idx="66">
                  <c:v>11.084013699073402</c:v>
                </c:pt>
                <c:pt idx="67">
                  <c:v>10.710255499063249</c:v>
                </c:pt>
                <c:pt idx="68">
                  <c:v>10.34679516721898</c:v>
                </c:pt>
                <c:pt idx="69">
                  <c:v>9.993507433673976</c:v>
                </c:pt>
                <c:pt idx="70">
                  <c:v>9.6502552227563836</c:v>
                </c:pt>
                <c:pt idx="71">
                  <c:v>9.3168910800511267</c:v>
                </c:pt>
                <c:pt idx="72">
                  <c:v>8.9932584894194445</c:v>
                </c:pt>
                <c:pt idx="73">
                  <c:v>8.6791930872639362</c:v>
                </c:pt>
                <c:pt idx="74">
                  <c:v>8.3745237808803719</c:v>
                </c:pt>
                <c:pt idx="75">
                  <c:v>8.0790737773169905</c:v>
                </c:pt>
                <c:pt idx="76">
                  <c:v>7.7926615287659677</c:v>
                </c:pt>
                <c:pt idx="77">
                  <c:v>7.5151016001393831</c:v>
                </c:pt>
                <c:pt idx="78">
                  <c:v>7.2462054641308189</c:v>
                </c:pt>
                <c:pt idx="79">
                  <c:v>6.9857822287339104</c:v>
                </c:pt>
                <c:pt idx="80">
                  <c:v>6.7336393018786111</c:v>
                </c:pt>
                <c:pt idx="81">
                  <c:v>6.4895829975535095</c:v>
                </c:pt>
                <c:pt idx="82">
                  <c:v>6.2534190875078641</c:v>
                </c:pt>
                <c:pt idx="83">
                  <c:v>6.0249533023683322</c:v>
                </c:pt>
                <c:pt idx="84">
                  <c:v>5.8039917857624594</c:v>
                </c:pt>
                <c:pt idx="85">
                  <c:v>5.5903415048120495</c:v>
                </c:pt>
                <c:pt idx="86">
                  <c:v>5.3838106201449722</c:v>
                </c:pt>
                <c:pt idx="87">
                  <c:v>5.1842088183717188</c:v>
                </c:pt>
                <c:pt idx="88">
                  <c:v>4.9913476097832072</c:v>
                </c:pt>
                <c:pt idx="89">
                  <c:v>4.8050405938479503</c:v>
                </c:pt>
                <c:pt idx="90">
                  <c:v>4.625103694919046</c:v>
                </c:pt>
                <c:pt idx="91">
                  <c:v>4.4513553704039817</c:v>
                </c:pt>
                <c:pt idx="92">
                  <c:v>4.2836167935024019</c:v>
                </c:pt>
                <c:pt idx="93">
                  <c:v>4.1217120124780608</c:v>
                </c:pt>
                <c:pt idx="94">
                  <c:v>3.9654680883008711</c:v>
                </c:pt>
                <c:pt idx="95">
                  <c:v>3.8147152123724855</c:v>
                </c:pt>
                <c:pt idx="96">
                  <c:v>3.6692868059341275</c:v>
                </c:pt>
                <c:pt idx="97">
                  <c:v>3.5290196026474705</c:v>
                </c:pt>
                <c:pt idx="98">
                  <c:v>3.3937537157384345</c:v>
                </c:pt>
                <c:pt idx="99">
                  <c:v>3.2633326909987841</c:v>
                </c:pt>
                <c:pt idx="100">
                  <c:v>3.1376035468516315</c:v>
                </c:pt>
                <c:pt idx="101">
                  <c:v>3.0164168026035565</c:v>
                </c:pt>
                <c:pt idx="102">
                  <c:v>2.8996264959279356</c:v>
                </c:pt>
                <c:pt idx="103">
                  <c:v>2.7870901905508574</c:v>
                </c:pt>
                <c:pt idx="104">
                  <c:v>2.6786689750424624</c:v>
                </c:pt>
                <c:pt idx="105">
                  <c:v>2.5742274535523135</c:v>
                </c:pt>
                <c:pt idx="106">
                  <c:v>2.4736337292672506</c:v>
                </c:pt>
                <c:pt idx="107">
                  <c:v>2.3767593813139372</c:v>
                </c:pt>
                <c:pt idx="108">
                  <c:v>2.2834794357756008</c:v>
                </c:pt>
                <c:pt idx="109">
                  <c:v>2.1936723314432394</c:v>
                </c:pt>
                <c:pt idx="110">
                  <c:v>2.1072198808754194</c:v>
                </c:pt>
                <c:pt idx="111">
                  <c:v>2.0240072272978136</c:v>
                </c:pt>
                <c:pt idx="112">
                  <c:v>1.9439227978332414</c:v>
                </c:pt>
                <c:pt idx="113">
                  <c:v>1.8668582535154818</c:v>
                </c:pt>
                <c:pt idx="114">
                  <c:v>1.7927084365048878</c:v>
                </c:pt>
                <c:pt idx="115">
                  <c:v>1.7213713148910947</c:v>
                </c:pt>
                <c:pt idx="116">
                  <c:v>1.6527479254375022</c:v>
                </c:pt>
                <c:pt idx="117">
                  <c:v>1.5867423145936193</c:v>
                </c:pt>
                <c:pt idx="118">
                  <c:v>1.5232614780747586</c:v>
                </c:pt>
                <c:pt idx="119">
                  <c:v>1.4622152992837496</c:v>
                </c:pt>
                <c:pt idx="120">
                  <c:v>1.4035164868261707</c:v>
                </c:pt>
                <c:pt idx="121">
                  <c:v>1.3470805113491544</c:v>
                </c:pt>
                <c:pt idx="122">
                  <c:v>1.2928255419136647</c:v>
                </c:pt>
                <c:pt idx="123">
                  <c:v>1.2406723820915841</c:v>
                </c:pt>
                <c:pt idx="124">
                  <c:v>1.1905444059615751</c:v>
                </c:pt>
                <c:pt idx="125">
                  <c:v>1.1423674941615549</c:v>
                </c:pt>
                <c:pt idx="126">
                  <c:v>1.0960699701407006</c:v>
                </c:pt>
                <c:pt idx="127">
                  <c:v>1.0515825367399558</c:v>
                </c:pt>
                <c:pt idx="128">
                  <c:v>1.0088382132171865</c:v>
                </c:pt>
                <c:pt idx="129">
                  <c:v>0.96777227282113887</c:v>
                </c:pt>
                <c:pt idx="130">
                  <c:v>0.92832218100732145</c:v>
                </c:pt>
                <c:pt idx="131">
                  <c:v>0.8904275343786956</c:v>
                </c:pt>
                <c:pt idx="132">
                  <c:v>0.85403000042457555</c:v>
                </c:pt>
                <c:pt idx="133">
                  <c:v>0.8190732581224025</c:v>
                </c:pt>
                <c:pt idx="134">
                  <c:v>0.7855029394589812</c:v>
                </c:pt>
                <c:pt idx="135">
                  <c:v>0.75326657192030522</c:v>
                </c:pt>
                <c:pt idx="136">
                  <c:v>0.72231352199226673</c:v>
                </c:pt>
                <c:pt idx="137">
                  <c:v>0.69259493970818775</c:v>
                </c:pt>
                <c:pt idx="138">
                  <c:v>0.66406370427334183</c:v>
                </c:pt>
                <c:pt idx="139">
                  <c:v>0.63667437079128752</c:v>
                </c:pt>
                <c:pt idx="140">
                  <c:v>0.61038311811194812</c:v>
                </c:pt>
                <c:pt idx="141">
                  <c:v>0.58514769781690812</c:v>
                </c:pt>
                <c:pt idx="142">
                  <c:v>0.56092738435329892</c:v>
                </c:pt>
                <c:pt idx="143">
                  <c:v>0.53768292632392067</c:v>
                </c:pt>
                <c:pt idx="144">
                  <c:v>0.51537649893784598</c:v>
                </c:pt>
                <c:pt idx="145">
                  <c:v>0.49397165762266093</c:v>
                </c:pt>
                <c:pt idx="146">
                  <c:v>0.4734332927967066</c:v>
                </c:pt>
                <c:pt idx="147">
                  <c:v>0.45372758579713846</c:v>
                </c:pt>
                <c:pt idx="148">
                  <c:v>0.43482196595734113</c:v>
                </c:pt>
                <c:pt idx="149">
                  <c:v>0.4166850688251818</c:v>
                </c:pt>
                <c:pt idx="150">
                  <c:v>0.39928669551173068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51"/>
            <c:marker>
              <c:symbol val="circle"/>
              <c:size val="11"/>
              <c:spPr>
                <a:solidFill>
                  <a:srgbClr val="FF0000"/>
                </a:solidFill>
                <a:ln w="158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spPr>
              <a:ln w="28575">
                <a:solidFill>
                  <a:srgbClr val="FF0000"/>
                </a:solidFill>
              </a:ln>
            </c:spPr>
          </c:dPt>
          <c:xVal>
            <c:numRef>
              <c:f>SVISN!$A$36:$A$187</c:f>
              <c:numCache>
                <c:formatCode>0.0</c:formatCode>
                <c:ptCount val="15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4.3</c:v>
                </c:pt>
              </c:numCache>
            </c:numRef>
          </c:xVal>
          <c:yVal>
            <c:numRef>
              <c:f>SVISN!$C$36:$C$187</c:f>
              <c:numCache>
                <c:formatCode>General</c:formatCode>
                <c:ptCount val="152"/>
                <c:pt idx="151" formatCode="0.00">
                  <c:v>20.121358613230562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SVISN!$A$188:$A$189</c:f>
              <c:numCache>
                <c:formatCode>0.0</c:formatCode>
                <c:ptCount val="2"/>
                <c:pt idx="0">
                  <c:v>0</c:v>
                </c:pt>
                <c:pt idx="1">
                  <c:v>8.6822958563797012</c:v>
                </c:pt>
              </c:numCache>
            </c:numRef>
          </c:xVal>
          <c:yVal>
            <c:numRef>
              <c:f>SVISN!$B$188:$B$189</c:f>
              <c:numCache>
                <c:formatCode>0.00</c:formatCode>
                <c:ptCount val="2"/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SVISN!$A$188:$A$189</c:f>
              <c:numCache>
                <c:formatCode>0.0</c:formatCode>
                <c:ptCount val="2"/>
                <c:pt idx="0">
                  <c:v>0</c:v>
                </c:pt>
                <c:pt idx="1">
                  <c:v>8.6822958563797012</c:v>
                </c:pt>
              </c:numCache>
            </c:numRef>
          </c:xVal>
          <c:yVal>
            <c:numRef>
              <c:f>SVISN!$C$188:$C$189</c:f>
              <c:numCache>
                <c:formatCode>0.00</c:formatCode>
                <c:ptCount val="2"/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92D05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92D050"/>
                </a:solidFill>
                <a:prstDash val="solid"/>
              </a:ln>
            </c:spPr>
          </c:dPt>
          <c:xVal>
            <c:numRef>
              <c:f>SVISN!$A$188:$A$189</c:f>
              <c:numCache>
                <c:formatCode>0.0</c:formatCode>
                <c:ptCount val="2"/>
                <c:pt idx="0">
                  <c:v>0</c:v>
                </c:pt>
                <c:pt idx="1">
                  <c:v>8.6822958563797012</c:v>
                </c:pt>
              </c:numCache>
            </c:numRef>
          </c:xVal>
          <c:yVal>
            <c:numRef>
              <c:f>SVISN!$D$188:$D$189</c:f>
              <c:numCache>
                <c:formatCode>0.00</c:formatCode>
                <c:ptCount val="2"/>
                <c:pt idx="0">
                  <c:v>0</c:v>
                </c:pt>
                <c:pt idx="1">
                  <c:v>40.627811324969208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SVISN!$A$190:$A$191</c:f>
              <c:numCache>
                <c:formatCode>0.0</c:formatCode>
                <c:ptCount val="2"/>
                <c:pt idx="0">
                  <c:v>0</c:v>
                </c:pt>
                <c:pt idx="1">
                  <c:v>21.49999997723409</c:v>
                </c:pt>
              </c:numCache>
            </c:numRef>
          </c:xVal>
          <c:yVal>
            <c:numRef>
              <c:f>SVISN!$B$190:$B$191</c:f>
              <c:numCache>
                <c:formatCode>0.00</c:formatCode>
                <c:ptCount val="2"/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SVISN!$A$190:$A$191</c:f>
              <c:numCache>
                <c:formatCode>0.0</c:formatCode>
                <c:ptCount val="2"/>
                <c:pt idx="0">
                  <c:v>0</c:v>
                </c:pt>
                <c:pt idx="1">
                  <c:v>21.49999997723409</c:v>
                </c:pt>
              </c:numCache>
            </c:numRef>
          </c:xVal>
          <c:yVal>
            <c:numRef>
              <c:f>SVISN!$C$190:$C$191</c:f>
              <c:numCache>
                <c:formatCode>0.00</c:formatCode>
                <c:ptCount val="2"/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SVISN!$A$190:$A$191</c:f>
              <c:numCache>
                <c:formatCode>0.0</c:formatCode>
                <c:ptCount val="2"/>
                <c:pt idx="0">
                  <c:v>0</c:v>
                </c:pt>
                <c:pt idx="1">
                  <c:v>21.49999997723409</c:v>
                </c:pt>
              </c:numCache>
            </c:numRef>
          </c:xVal>
          <c:yVal>
            <c:numRef>
              <c:f>SVISN!$D$190:$D$191</c:f>
              <c:numCache>
                <c:formatCode>0.00</c:formatCode>
                <c:ptCount val="2"/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SVISN!$A$190:$A$191</c:f>
              <c:numCache>
                <c:formatCode>0.0</c:formatCode>
                <c:ptCount val="2"/>
                <c:pt idx="0">
                  <c:v>0</c:v>
                </c:pt>
                <c:pt idx="1">
                  <c:v>21.49999997723409</c:v>
                </c:pt>
              </c:numCache>
            </c:numRef>
          </c:xVal>
          <c:yVal>
            <c:numRef>
              <c:f>SVISN!$E$190:$E$191</c:f>
              <c:numCache>
                <c:formatCode>0.00</c:formatCode>
                <c:ptCount val="2"/>
                <c:pt idx="0">
                  <c:v>25.151698266538212</c:v>
                </c:pt>
                <c:pt idx="1">
                  <c:v>2.6632623217892615E-8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69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  <a:prstDash val="solid"/>
              </a:ln>
            </c:spPr>
          </c:marker>
          <c:xVal>
            <c:numRef>
              <c:f>SVISN!$A$192</c:f>
              <c:numCache>
                <c:formatCode>0.0</c:formatCode>
                <c:ptCount val="1"/>
                <c:pt idx="0">
                  <c:v>4.3</c:v>
                </c:pt>
              </c:numCache>
            </c:numRef>
          </c:xVal>
          <c:yVal>
            <c:numRef>
              <c:f>SVISN!$B$192</c:f>
              <c:numCache>
                <c:formatCode>0.00</c:formatCode>
                <c:ptCount val="1"/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SVISN!$A$192</c:f>
              <c:numCache>
                <c:formatCode>0.0</c:formatCode>
                <c:ptCount val="1"/>
                <c:pt idx="0">
                  <c:v>4.3</c:v>
                </c:pt>
              </c:numCache>
            </c:numRef>
          </c:xVal>
          <c:yVal>
            <c:numRef>
              <c:f>SVISN!$C$192</c:f>
              <c:numCache>
                <c:formatCode>0.00</c:formatCode>
                <c:ptCount val="1"/>
              </c:numCache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SVISN!$A$192</c:f>
              <c:numCache>
                <c:formatCode>0.0</c:formatCode>
                <c:ptCount val="1"/>
                <c:pt idx="0">
                  <c:v>4.3</c:v>
                </c:pt>
              </c:numCache>
            </c:numRef>
          </c:xVal>
          <c:yVal>
            <c:numRef>
              <c:f>SVISN!$D$192</c:f>
              <c:numCache>
                <c:formatCode>0.00</c:formatCode>
                <c:ptCount val="1"/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A6CAF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A6CAF0"/>
                </a:solidFill>
                <a:prstDash val="solid"/>
              </a:ln>
            </c:spPr>
          </c:marker>
          <c:xVal>
            <c:numRef>
              <c:f>SVISN!$A$192</c:f>
              <c:numCache>
                <c:formatCode>0.0</c:formatCode>
                <c:ptCount val="1"/>
                <c:pt idx="0">
                  <c:v>4.3</c:v>
                </c:pt>
              </c:numCache>
            </c:numRef>
          </c:xVal>
          <c:yVal>
            <c:numRef>
              <c:f>SVISN!$E$192</c:f>
              <c:numCache>
                <c:formatCode>0.00</c:formatCode>
                <c:ptCount val="1"/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SVISN!$A$192</c:f>
              <c:numCache>
                <c:formatCode>0.0</c:formatCode>
                <c:ptCount val="1"/>
                <c:pt idx="0">
                  <c:v>4.3</c:v>
                </c:pt>
              </c:numCache>
            </c:numRef>
          </c:xVal>
          <c:yVal>
            <c:numRef>
              <c:f>SVISN!$F$192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xVal>
            <c:numRef>
              <c:f>SVISN!$A$193:$A$194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SVISN!$B$193:$B$194</c:f>
              <c:numCache>
                <c:formatCode>0.00</c:formatCode>
                <c:ptCount val="2"/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rgbClr val="E3E3E3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E3E3E3"/>
                </a:solidFill>
                <a:prstDash val="solid"/>
              </a:ln>
            </c:spPr>
          </c:marker>
          <c:xVal>
            <c:numRef>
              <c:f>SVISN!$A$193:$A$194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SVISN!$C$193:$C$194</c:f>
              <c:numCache>
                <c:formatCode>0.00</c:formatCode>
                <c:ptCount val="2"/>
              </c:numCache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SVISN!$A$193:$A$194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SVISN!$D$193:$D$194</c:f>
              <c:numCache>
                <c:formatCode>0.00</c:formatCode>
                <c:ptCount val="2"/>
              </c:numCache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SVISN!$A$193:$A$194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SVISN!$E$193:$E$194</c:f>
              <c:numCache>
                <c:formatCode>0.00</c:formatCode>
                <c:ptCount val="2"/>
              </c:numCache>
            </c:numRef>
          </c:yVal>
          <c:smooth val="0"/>
        </c:ser>
        <c:ser>
          <c:idx val="18"/>
          <c:order val="18"/>
          <c:spPr>
            <a:ln w="12700">
              <a:solidFill>
                <a:srgbClr val="3399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xVal>
            <c:numRef>
              <c:f>SVISN!$A$193:$A$194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SVISN!$F$193:$F$194</c:f>
              <c:numCache>
                <c:formatCode>0.00</c:formatCode>
                <c:ptCount val="2"/>
              </c:numCache>
            </c:numRef>
          </c:yVal>
          <c:smooth val="0"/>
        </c:ser>
        <c:ser>
          <c:idx val="19"/>
          <c:order val="1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5875">
                <a:solidFill>
                  <a:schemeClr val="tx1"/>
                </a:solidFill>
                <a:prstDash val="solid"/>
              </a:ln>
            </c:spPr>
          </c:dPt>
          <c:xVal>
            <c:numRef>
              <c:f>SVISN!$A$193:$A$194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SVISN!$G$193:$G$194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20"/>
          <c:spPr>
            <a:ln w="12700">
              <a:solidFill>
                <a:srgbClr val="996633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xVal>
            <c:numRef>
              <c:f>SVISN!$A$195:$A$196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SVISN!$B$195:$B$196</c:f>
              <c:numCache>
                <c:formatCode>0.00</c:formatCode>
                <c:ptCount val="2"/>
              </c:numCache>
            </c:numRef>
          </c:yVal>
          <c:smooth val="0"/>
        </c:ser>
        <c:ser>
          <c:idx val="21"/>
          <c:order val="21"/>
          <c:spPr>
            <a:ln w="12700">
              <a:solidFill>
                <a:srgbClr val="996666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6666"/>
                </a:solidFill>
                <a:prstDash val="solid"/>
              </a:ln>
            </c:spPr>
          </c:marker>
          <c:xVal>
            <c:numRef>
              <c:f>SVISN!$A$195:$A$196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SVISN!$C$195:$C$196</c:f>
              <c:numCache>
                <c:formatCode>0.00</c:formatCode>
                <c:ptCount val="2"/>
              </c:numCache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SVISN!$A$195:$A$196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SVISN!$D$195:$D$196</c:f>
              <c:numCache>
                <c:formatCode>0.00</c:formatCode>
                <c:ptCount val="2"/>
              </c:numCache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SVISN!$A$195:$A$196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SVISN!$E$195:$E$196</c:f>
              <c:numCache>
                <c:formatCode>0.00</c:formatCode>
                <c:ptCount val="2"/>
              </c:numCache>
            </c:numRef>
          </c:yVal>
          <c:smooth val="0"/>
        </c:ser>
        <c:ser>
          <c:idx val="24"/>
          <c:order val="24"/>
          <c:spPr>
            <a:ln w="12700">
              <a:solidFill>
                <a:srgbClr val="3333CC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3333CC"/>
                </a:solidFill>
                <a:prstDash val="solid"/>
              </a:ln>
            </c:spPr>
          </c:marker>
          <c:xVal>
            <c:numRef>
              <c:f>SVISN!$A$195:$A$196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SVISN!$F$195:$F$196</c:f>
              <c:numCache>
                <c:formatCode>0.00</c:formatCode>
                <c:ptCount val="2"/>
              </c:numCache>
            </c:numRef>
          </c:yVal>
          <c:smooth val="0"/>
        </c:ser>
        <c:ser>
          <c:idx val="25"/>
          <c:order val="25"/>
          <c:spPr>
            <a:ln w="12700">
              <a:solidFill>
                <a:srgbClr val="3366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66"/>
                </a:solidFill>
                <a:prstDash val="solid"/>
              </a:ln>
            </c:spPr>
          </c:marker>
          <c:xVal>
            <c:numRef>
              <c:f>SVISN!$A$195:$A$196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SVISN!$G$195:$G$196</c:f>
              <c:numCache>
                <c:formatCode>0.00</c:formatCode>
                <c:ptCount val="2"/>
              </c:numCache>
            </c:numRef>
          </c:yVal>
          <c:smooth val="0"/>
        </c:ser>
        <c:ser>
          <c:idx val="26"/>
          <c:order val="26"/>
          <c:spPr>
            <a:ln w="15875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5875">
                <a:solidFill>
                  <a:schemeClr val="tx1"/>
                </a:solidFill>
                <a:prstDash val="solid"/>
              </a:ln>
            </c:spPr>
          </c:dPt>
          <c:xVal>
            <c:numRef>
              <c:f>SVISN!$A$195:$A$196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SVISN!$H$195:$H$196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SVISN!$A$197:$A$199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SVISN!$B$197:$B$199</c:f>
              <c:numCache>
                <c:formatCode>0.00</c:formatCode>
                <c:ptCount val="3"/>
              </c:numCache>
            </c:numRef>
          </c:yVal>
          <c:smooth val="0"/>
        </c:ser>
        <c:ser>
          <c:idx val="28"/>
          <c:order val="28"/>
          <c:spPr>
            <a:ln w="12700">
              <a:solidFill>
                <a:srgbClr val="66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663300"/>
              </a:solidFill>
              <a:ln>
                <a:solidFill>
                  <a:srgbClr val="663300"/>
                </a:solidFill>
                <a:prstDash val="solid"/>
              </a:ln>
            </c:spPr>
          </c:marker>
          <c:xVal>
            <c:numRef>
              <c:f>SVISN!$A$197:$A$199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SVISN!$C$197:$C$199</c:f>
              <c:numCache>
                <c:formatCode>0.00</c:formatCode>
                <c:ptCount val="3"/>
              </c:numCache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SVISN!$A$197:$A$199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SVISN!$D$197:$D$199</c:f>
              <c:numCache>
                <c:formatCode>0.00</c:formatCode>
                <c:ptCount val="3"/>
              </c:numCache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SVISN!$A$197:$A$199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SVISN!$E$197:$E$199</c:f>
              <c:numCache>
                <c:formatCode>0.00</c:formatCode>
                <c:ptCount val="3"/>
              </c:numCache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SVISN!$A$197:$A$199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SVISN!$F$197:$F$199</c:f>
              <c:numCache>
                <c:formatCode>0.00</c:formatCode>
                <c:ptCount val="3"/>
              </c:numCache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SVISN!$A$197:$A$199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SVISN!$G$197:$G$199</c:f>
              <c:numCache>
                <c:formatCode>0.00</c:formatCode>
                <c:ptCount val="3"/>
              </c:numCache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SVISN!$A$197:$A$199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SVISN!$H$197:$H$199</c:f>
              <c:numCache>
                <c:formatCode>0.00</c:formatCode>
                <c:ptCount val="3"/>
              </c:numCache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SVISN!$A$199:$A$200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SVISN!$B$199:$B$200</c:f>
              <c:numCache>
                <c:formatCode>0.00</c:formatCode>
                <c:ptCount val="2"/>
              </c:numCache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SVISN!$A$199:$A$200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SVISN!$C$199:$C$200</c:f>
              <c:numCache>
                <c:formatCode>0.00</c:formatCode>
                <c:ptCount val="2"/>
              </c:numCache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SVISN!$A$199:$A$200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SVISN!$D$199:$D$200</c:f>
              <c:numCache>
                <c:formatCode>0.00</c:formatCode>
                <c:ptCount val="2"/>
              </c:numCache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SVISN!$A$199:$A$200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SVISN!$E$199:$E$200</c:f>
              <c:numCache>
                <c:formatCode>0.00</c:formatCode>
                <c:ptCount val="2"/>
              </c:numCache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SVISN!$A$199:$A$200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SVISN!$F$199:$F$200</c:f>
              <c:numCache>
                <c:formatCode>0.00</c:formatCode>
                <c:ptCount val="2"/>
              </c:numCache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SVISN!$A$199:$A$200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SVISN!$G$199:$G$200</c:f>
              <c:numCache>
                <c:formatCode>0.00</c:formatCode>
                <c:ptCount val="2"/>
              </c:numCache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SVISN!$A$199:$A$200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SVISN!$H$199:$H$200</c:f>
              <c:numCache>
                <c:formatCode>0.00</c:formatCode>
                <c:ptCount val="2"/>
              </c:numCache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SVISN!$A$199:$A$200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SVISN!$I$199:$I$200</c:f>
              <c:numCache>
                <c:formatCode>0.00</c:formatCode>
                <c:ptCount val="2"/>
              </c:numCache>
            </c:numRef>
          </c:yVal>
          <c:smooth val="0"/>
        </c:ser>
        <c:ser>
          <c:idx val="42"/>
          <c:order val="42"/>
          <c:spPr>
            <a:ln w="12700">
              <a:solidFill>
                <a:srgbClr val="FFC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">
                <a:noFill/>
                <a:prstDash val="dash"/>
              </a:ln>
            </c:spPr>
          </c:dPt>
          <c:xVal>
            <c:numRef>
              <c:f>SVISN!$A$199:$A$200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SVISN!$J$199:$J$200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01280"/>
        <c:axId val="136811648"/>
      </c:scatterChart>
      <c:valAx>
        <c:axId val="136801280"/>
        <c:scaling>
          <c:orientation val="minMax"/>
          <c:max val="15"/>
          <c:min val="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Solids Concentration  (g/L)</a:t>
                </a:r>
              </a:p>
            </c:rich>
          </c:tx>
          <c:layout>
            <c:manualLayout>
              <c:xMode val="edge"/>
              <c:yMode val="edge"/>
              <c:x val="0.41845708431182943"/>
              <c:y val="0.9201399825021870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811648"/>
        <c:crossesAt val="0"/>
        <c:crossBetween val="midCat"/>
        <c:majorUnit val="5"/>
        <c:minorUnit val="1"/>
      </c:valAx>
      <c:valAx>
        <c:axId val="13681164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strRef>
              <c:f>SVISN!$B$35</c:f>
              <c:strCache>
                <c:ptCount val="1"/>
                <c:pt idx="0">
                  <c:v>Solids Flux  (lb/ft2d)</c:v>
                </c:pt>
              </c:strCache>
            </c:strRef>
          </c:tx>
          <c:layout>
            <c:manualLayout>
              <c:xMode val="edge"/>
              <c:yMode val="edge"/>
              <c:x val="3.7204954643827413E-2"/>
              <c:y val="0.3506946267133275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 i="0" u="none" strike="noStrike" baseline="0">
                  <a:solidFill>
                    <a:schemeClr val="tx1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0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8012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5875">
      <a:solidFill>
        <a:schemeClr val="tx1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1" r="1" t="1" header="0.5" footer="0.5"/>
    <c:pageSetup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State Point Analysis - Project</a:t>
            </a:r>
            <a:r>
              <a:rPr lang="en-US" baseline="0"/>
              <a:t> - Date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76133904314591"/>
          <c:y val="0.11079560823698326"/>
          <c:w val="0.80655258553207165"/>
          <c:h val="0.74631816856226318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SVIGN!$A$42:$A$193</c:f>
              <c:numCache>
                <c:formatCode>General</c:formatCode>
                <c:ptCount val="15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2.89</c:v>
                </c:pt>
              </c:numCache>
            </c:numRef>
          </c:xVal>
          <c:yVal>
            <c:numRef>
              <c:f>SVIGN!$B$42:$B$193</c:f>
              <c:numCache>
                <c:formatCode>General</c:formatCode>
                <c:ptCount val="152"/>
                <c:pt idx="0">
                  <c:v>0</c:v>
                </c:pt>
                <c:pt idx="1">
                  <c:v>1.6722825707651889</c:v>
                </c:pt>
                <c:pt idx="2">
                  <c:v>3.1790317922839417</c:v>
                </c:pt>
                <c:pt idx="3">
                  <c:v>4.5325368360418867</c:v>
                </c:pt>
                <c:pt idx="4">
                  <c:v>5.7442758990513747</c:v>
                </c:pt>
                <c:pt idx="5">
                  <c:v>6.8249663760394448</c:v>
                </c:pt>
                <c:pt idx="6">
                  <c:v>7.7846120518150794</c:v>
                </c:pt>
                <c:pt idx="7">
                  <c:v>8.6325474858769287</c:v>
                </c:pt>
                <c:pt idx="8">
                  <c:v>9.3774797515901938</c:v>
                </c:pt>
                <c:pt idx="9">
                  <c:v>10.027527683070861</c:v>
                </c:pt>
                <c:pt idx="10">
                  <c:v>10.590258774237078</c:v>
                </c:pt>
                <c:pt idx="11">
                  <c:v>11.072723866292993</c:v>
                </c:pt>
                <c:pt idx="12">
                  <c:v>11.481489752173065</c:v>
                </c:pt>
                <c:pt idx="13">
                  <c:v>11.822669819169876</c:v>
                </c:pt>
                <c:pt idx="14">
                  <c:v>12.101952844071478</c:v>
                </c:pt>
                <c:pt idx="15">
                  <c:v>12.32463004862325</c:v>
                </c:pt>
                <c:pt idx="16">
                  <c:v>12.49562051698268</c:v>
                </c:pt>
                <c:pt idx="17">
                  <c:v>12.619495071032933</c:v>
                </c:pt>
                <c:pt idx="18">
                  <c:v>12.700498693944411</c:v>
                </c:pt>
                <c:pt idx="19">
                  <c:v>12.742571587203448</c:v>
                </c:pt>
                <c:pt idx="20">
                  <c:v>12.749368941448198</c:v>
                </c:pt>
                <c:pt idx="21">
                  <c:v>12.72427949684646</c:v>
                </c:pt>
                <c:pt idx="22">
                  <c:v>12.670442964404179</c:v>
                </c:pt>
                <c:pt idx="23">
                  <c:v>12.590766375491951</c:v>
                </c:pt>
                <c:pt idx="24">
                  <c:v>12.48793942300655</c:v>
                </c:pt>
                <c:pt idx="25">
                  <c:v>12.364448853932451</c:v>
                </c:pt>
                <c:pt idx="26">
                  <c:v>12.22259196962259</c:v>
                </c:pt>
                <c:pt idx="27">
                  <c:v>12.064489286866207</c:v>
                </c:pt>
                <c:pt idx="28">
                  <c:v>11.892096409744697</c:v>
                </c:pt>
                <c:pt idx="29">
                  <c:v>11.707215159382191</c:v>
                </c:pt>
                <c:pt idx="30">
                  <c:v>11.511504005968485</c:v>
                </c:pt>
                <c:pt idx="31">
                  <c:v>11.306487844856417</c:v>
                </c:pt>
                <c:pt idx="32">
                  <c:v>11.093567156107591</c:v>
                </c:pt>
                <c:pt idx="33">
                  <c:v>10.874026584569259</c:v>
                </c:pt>
                <c:pt idx="34">
                  <c:v>10.649042975404898</c:v>
                </c:pt>
                <c:pt idx="35">
                  <c:v>10.419692897963701</c:v>
                </c:pt>
                <c:pt idx="36">
                  <c:v>10.186959688952729</c:v>
                </c:pt>
                <c:pt idx="37">
                  <c:v>9.9517400440639623</c:v>
                </c:pt>
                <c:pt idx="38">
                  <c:v>9.7148501855003513</c:v>
                </c:pt>
                <c:pt idx="39">
                  <c:v>9.4770316312342935</c:v>
                </c:pt>
                <c:pt idx="40">
                  <c:v>9.2389565903139133</c:v>
                </c:pt>
                <c:pt idx="41">
                  <c:v>9.0012330071009998</c:v>
                </c:pt>
                <c:pt idx="42">
                  <c:v>8.7644092759754013</c:v>
                </c:pt>
                <c:pt idx="43">
                  <c:v>8.5289786467690298</c:v>
                </c:pt>
                <c:pt idx="44">
                  <c:v>8.2953833399938954</c:v>
                </c:pt>
                <c:pt idx="45">
                  <c:v>8.0640183897993296</c:v>
                </c:pt>
                <c:pt idx="46">
                  <c:v>7.8352352315287837</c:v>
                </c:pt>
                <c:pt idx="47">
                  <c:v>7.6093450497438564</c:v>
                </c:pt>
                <c:pt idx="48">
                  <c:v>7.3866219016380361</c:v>
                </c:pt>
                <c:pt idx="49">
                  <c:v>7.1673056298722075</c:v>
                </c:pt>
                <c:pt idx="50">
                  <c:v>6.951604578025413</c:v>
                </c:pt>
                <c:pt idx="51">
                  <c:v>6.7396981210638574</c:v>
                </c:pt>
                <c:pt idx="52">
                  <c:v>6.5317390224873755</c:v>
                </c:pt>
                <c:pt idx="53">
                  <c:v>6.3278556291111361</c:v>
                </c:pt>
                <c:pt idx="54">
                  <c:v>6.1281539137806034</c:v>
                </c:pt>
                <c:pt idx="55">
                  <c:v>5.9327193756960321</c:v>
                </c:pt>
                <c:pt idx="56">
                  <c:v>5.7416188074373</c:v>
                </c:pt>
                <c:pt idx="57">
                  <c:v>5.554901937229114</c:v>
                </c:pt>
                <c:pt idx="58">
                  <c:v>5.372602954467486</c:v>
                </c:pt>
                <c:pt idx="59">
                  <c:v>5.1947419260402556</c:v>
                </c:pt>
                <c:pt idx="60">
                  <c:v>5.021326110514674</c:v>
                </c:pt>
                <c:pt idx="61">
                  <c:v>4.8523511768323777</c:v>
                </c:pt>
                <c:pt idx="62">
                  <c:v>4.6878023337450951</c:v>
                </c:pt>
                <c:pt idx="63">
                  <c:v>4.5276553758411957</c:v>
                </c:pt>
                <c:pt idx="64">
                  <c:v>4.3718776516528273</c:v>
                </c:pt>
                <c:pt idx="65">
                  <c:v>4.2204289589943427</c:v>
                </c:pt>
                <c:pt idx="66">
                  <c:v>4.0732623723635637</c:v>
                </c:pt>
                <c:pt idx="67">
                  <c:v>3.9303250069376654</c:v>
                </c:pt>
                <c:pt idx="68">
                  <c:v>3.7915587234130657</c:v>
                </c:pt>
                <c:pt idx="69">
                  <c:v>3.6569007776735472</c:v>
                </c:pt>
                <c:pt idx="70">
                  <c:v>3.526284419021307</c:v>
                </c:pt>
                <c:pt idx="71">
                  <c:v>3.3996394404710899</c:v>
                </c:pt>
                <c:pt idx="72">
                  <c:v>3.2768926843870663</c:v>
                </c:pt>
                <c:pt idx="73">
                  <c:v>3.157968506534973</c:v>
                </c:pt>
                <c:pt idx="74">
                  <c:v>3.0427892014272206</c:v>
                </c:pt>
                <c:pt idx="75">
                  <c:v>2.9312753916557117</c:v>
                </c:pt>
                <c:pt idx="76">
                  <c:v>2.8233463837351933</c:v>
                </c:pt>
                <c:pt idx="77">
                  <c:v>2.7189204928184179</c:v>
                </c:pt>
                <c:pt idx="78">
                  <c:v>2.6179153384927516</c:v>
                </c:pt>
                <c:pt idx="79">
                  <c:v>2.5202481137253092</c:v>
                </c:pt>
                <c:pt idx="80">
                  <c:v>2.4258358288900652</c:v>
                </c:pt>
                <c:pt idx="81">
                  <c:v>2.334595532684546</c:v>
                </c:pt>
                <c:pt idx="82">
                  <c:v>2.2464445116260907</c:v>
                </c:pt>
                <c:pt idx="83">
                  <c:v>2.1613004697067844</c:v>
                </c:pt>
                <c:pt idx="84">
                  <c:v>2.079081689682424</c:v>
                </c:pt>
                <c:pt idx="85">
                  <c:v>1.9997071773734287</c:v>
                </c:pt>
                <c:pt idx="86">
                  <c:v>1.9230967902641702</c:v>
                </c:pt>
                <c:pt idx="87">
                  <c:v>1.8491713516015202</c:v>
                </c:pt>
                <c:pt idx="88">
                  <c:v>1.77785275111296</c:v>
                </c:pt>
                <c:pt idx="89">
                  <c:v>1.7090640333892448</c:v>
                </c:pt>
                <c:pt idx="90">
                  <c:v>1.6427294749059469</c:v>
                </c:pt>
                <c:pt idx="91">
                  <c:v>1.5787746505919926</c:v>
                </c:pt>
                <c:pt idx="92">
                  <c:v>1.5171264907911926</c:v>
                </c:pt>
                <c:pt idx="93">
                  <c:v>1.457713329404706</c:v>
                </c:pt>
                <c:pt idx="94">
                  <c:v>1.400464943947842</c:v>
                </c:pt>
                <c:pt idx="95">
                  <c:v>1.3453125882036521</c:v>
                </c:pt>
                <c:pt idx="96">
                  <c:v>1.2921890181080238</c:v>
                </c:pt>
                <c:pt idx="97">
                  <c:v>1.2410285114562434</c:v>
                </c:pt>
                <c:pt idx="98">
                  <c:v>1.191766881979252</c:v>
                </c:pt>
                <c:pt idx="99">
                  <c:v>1.1443414882986112</c:v>
                </c:pt>
                <c:pt idx="100">
                  <c:v>1.0986912382326548</c:v>
                </c:pt>
                <c:pt idx="101">
                  <c:v>1.0547565888920616</c:v>
                </c:pt>
                <c:pt idx="102">
                  <c:v>1.0124795429710749</c:v>
                </c:pt>
                <c:pt idx="103">
                  <c:v>0.97180364161073851</c:v>
                </c:pt>
                <c:pt idx="104">
                  <c:v>0.93267395418253207</c:v>
                </c:pt>
                <c:pt idx="105">
                  <c:v>0.89503706531474514</c:v>
                </c:pt>
                <c:pt idx="106">
                  <c:v>0.85884105945954436</c:v>
                </c:pt>
                <c:pt idx="107">
                  <c:v>0.82403550327594211</c:v>
                </c:pt>
                <c:pt idx="108">
                  <c:v>0.79057142608267739</c:v>
                </c:pt>
                <c:pt idx="109">
                  <c:v>0.7584012986152181</c:v>
                </c:pt>
                <c:pt idx="110">
                  <c:v>0.72747901030261442</c:v>
                </c:pt>
                <c:pt idx="111">
                  <c:v>0.69775984526278911</c:v>
                </c:pt>
                <c:pt idx="112">
                  <c:v>0.66920045719874999</c:v>
                </c:pt>
                <c:pt idx="113">
                  <c:v>0.64175884336334466</c:v>
                </c:pt>
                <c:pt idx="114">
                  <c:v>0.61539431774624276</c:v>
                </c:pt>
                <c:pt idx="115">
                  <c:v>0.59006748362390293</c:v>
                </c:pt>
                <c:pt idx="116">
                  <c:v>0.56574020560128035</c:v>
                </c:pt>
                <c:pt idx="117">
                  <c:v>0.54237558126280694</c:v>
                </c:pt>
                <c:pt idx="118">
                  <c:v>0.51993791253981858</c:v>
                </c:pt>
                <c:pt idx="119">
                  <c:v>0.49839267689194039</c:v>
                </c:pt>
                <c:pt idx="120">
                  <c:v>0.47770649839097301</c:v>
                </c:pt>
                <c:pt idx="121">
                  <c:v>0.45784711878753875</c:v>
                </c:pt>
                <c:pt idx="122">
                  <c:v>0.43878336863301781</c:v>
                </c:pt>
                <c:pt idx="123">
                  <c:v>0.42048513852217473</c:v>
                </c:pt>
                <c:pt idx="124">
                  <c:v>0.402923350515278</c:v>
                </c:pt>
                <c:pt idx="125">
                  <c:v>0.38606992979237237</c:v>
                </c:pt>
                <c:pt idx="126">
                  <c:v>0.3698977765867455</c:v>
                </c:pt>
                <c:pt idx="127">
                  <c:v>0.35438073843937373</c:v>
                </c:pt>
                <c:pt idx="128">
                  <c:v>0.33949358281133513</c:v>
                </c:pt>
                <c:pt idx="129">
                  <c:v>0.32521197008671299</c:v>
                </c:pt>
                <c:pt idx="130">
                  <c:v>0.31151242699443132</c:v>
                </c:pt>
                <c:pt idx="131">
                  <c:v>0.29837232047368062</c:v>
                </c:pt>
                <c:pt idx="132">
                  <c:v>0.28576983200413342</c:v>
                </c:pt>
                <c:pt idx="133">
                  <c:v>0.27368393241895467</c:v>
                </c:pt>
                <c:pt idx="134">
                  <c:v>0.26209435721570934</c:v>
                </c:pt>
                <c:pt idx="135">
                  <c:v>0.25098158237756002</c:v>
                </c:pt>
                <c:pt idx="136">
                  <c:v>0.24032680071474039</c:v>
                </c:pt>
                <c:pt idx="137">
                  <c:v>0.23011189873402232</c:v>
                </c:pt>
                <c:pt idx="138">
                  <c:v>0.22031943404186452</c:v>
                </c:pt>
                <c:pt idx="139">
                  <c:v>0.21093261328508023</c:v>
                </c:pt>
                <c:pt idx="140">
                  <c:v>0.20193527063116803</c:v>
                </c:pt>
                <c:pt idx="141">
                  <c:v>0.1933118467889213</c:v>
                </c:pt>
                <c:pt idx="142">
                  <c:v>0.18504736856855214</c:v>
                </c:pt>
                <c:pt idx="143">
                  <c:v>0.17712742897931302</c:v>
                </c:pt>
                <c:pt idx="144">
                  <c:v>0.16953816786148532</c:v>
                </c:pt>
                <c:pt idx="145">
                  <c:v>0.16226625304858608</c:v>
                </c:pt>
                <c:pt idx="146">
                  <c:v>0.15529886205475507</c:v>
                </c:pt>
                <c:pt idx="147">
                  <c:v>0.14862366428148327</c:v>
                </c:pt>
                <c:pt idx="148">
                  <c:v>0.14222880373712835</c:v>
                </c:pt>
                <c:pt idx="149">
                  <c:v>0.13610288226204767</c:v>
                </c:pt>
                <c:pt idx="150">
                  <c:v>0.13023494325162888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dPt>
            <c:idx val="151"/>
            <c:marker>
              <c:symbol val="square"/>
              <c:size val="9"/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spPr>
              <a:ln w="28575">
                <a:solidFill>
                  <a:srgbClr val="E82718"/>
                </a:solidFill>
              </a:ln>
            </c:spPr>
          </c:dPt>
          <c:xVal>
            <c:numRef>
              <c:f>SVIGN!$A$42:$A$193</c:f>
              <c:numCache>
                <c:formatCode>General</c:formatCode>
                <c:ptCount val="15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2.89</c:v>
                </c:pt>
              </c:numCache>
            </c:numRef>
          </c:xVal>
          <c:yVal>
            <c:numRef>
              <c:f>SVIGN!$C$42:$C$193</c:f>
              <c:numCache>
                <c:formatCode>General</c:formatCode>
                <c:ptCount val="152"/>
                <c:pt idx="151">
                  <c:v>9.176378034464836</c:v>
                </c:pt>
              </c:numCache>
            </c:numRef>
          </c:yVal>
          <c:smooth val="0"/>
        </c:ser>
        <c:ser>
          <c:idx val="2"/>
          <c:order val="2"/>
          <c:xVal>
            <c:numRef>
              <c:f>SVIGN!$A$194:$A$195</c:f>
              <c:numCache>
                <c:formatCode>General</c:formatCode>
                <c:ptCount val="2"/>
                <c:pt idx="0">
                  <c:v>0</c:v>
                </c:pt>
                <c:pt idx="1">
                  <c:v>5.019667083106051</c:v>
                </c:pt>
              </c:numCache>
            </c:numRef>
          </c:xVal>
          <c:yVal>
            <c:numRef>
              <c:f>SVIGN!$B$194:$B$195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"/>
          <c:order val="3"/>
          <c:xVal>
            <c:numRef>
              <c:f>SVIGN!$A$194:$A$195</c:f>
              <c:numCache>
                <c:formatCode>General</c:formatCode>
                <c:ptCount val="2"/>
                <c:pt idx="0">
                  <c:v>0</c:v>
                </c:pt>
                <c:pt idx="1">
                  <c:v>5.019667083106051</c:v>
                </c:pt>
              </c:numCache>
            </c:numRef>
          </c:xVal>
          <c:yVal>
            <c:numRef>
              <c:f>SVIGN!$C$194:$C$195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4"/>
          <c:order val="4"/>
          <c:marker>
            <c:symbol val="none"/>
          </c:marker>
          <c:dPt>
            <c:idx val="1"/>
            <c:bubble3D val="0"/>
            <c:spPr>
              <a:ln>
                <a:solidFill>
                  <a:srgbClr val="00B050"/>
                </a:solidFill>
              </a:ln>
            </c:spPr>
          </c:dPt>
          <c:xVal>
            <c:numRef>
              <c:f>SVIGN!$A$194:$A$195</c:f>
              <c:numCache>
                <c:formatCode>General</c:formatCode>
                <c:ptCount val="2"/>
                <c:pt idx="0">
                  <c:v>0</c:v>
                </c:pt>
                <c:pt idx="1">
                  <c:v>5.019667083106051</c:v>
                </c:pt>
              </c:numCache>
            </c:numRef>
          </c:xVal>
          <c:yVal>
            <c:numRef>
              <c:f>SVIGN!$D$194:$D$195</c:f>
              <c:numCache>
                <c:formatCode>General</c:formatCode>
                <c:ptCount val="2"/>
                <c:pt idx="0">
                  <c:v>0</c:v>
                </c:pt>
                <c:pt idx="1">
                  <c:v>15.938533844468873</c:v>
                </c:pt>
              </c:numCache>
            </c:numRef>
          </c:yVal>
          <c:smooth val="0"/>
        </c:ser>
        <c:ser>
          <c:idx val="5"/>
          <c:order val="5"/>
          <c:xVal>
            <c:numRef>
              <c:f>SVIGN!$A$196:$A$197</c:f>
              <c:numCache>
                <c:formatCode>General</c:formatCode>
                <c:ptCount val="2"/>
                <c:pt idx="0">
                  <c:v>0</c:v>
                </c:pt>
                <c:pt idx="1">
                  <c:v>9.5592307591086954</c:v>
                </c:pt>
              </c:numCache>
            </c:numRef>
          </c:xVal>
          <c:yVal>
            <c:numRef>
              <c:f>SVIGN!$B$196:$B$197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6"/>
          <c:order val="6"/>
          <c:xVal>
            <c:numRef>
              <c:f>SVIGN!$A$196:$A$197</c:f>
              <c:numCache>
                <c:formatCode>General</c:formatCode>
                <c:ptCount val="2"/>
                <c:pt idx="0">
                  <c:v>0</c:v>
                </c:pt>
                <c:pt idx="1">
                  <c:v>9.5592307591086954</c:v>
                </c:pt>
              </c:numCache>
            </c:numRef>
          </c:xVal>
          <c:yVal>
            <c:numRef>
              <c:f>SVIGN!$C$196:$C$197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7"/>
          <c:order val="7"/>
          <c:xVal>
            <c:numRef>
              <c:f>SVIGN!$A$196:$A$197</c:f>
              <c:numCache>
                <c:formatCode>General</c:formatCode>
                <c:ptCount val="2"/>
                <c:pt idx="0">
                  <c:v>0</c:v>
                </c:pt>
                <c:pt idx="1">
                  <c:v>9.5592307591086954</c:v>
                </c:pt>
              </c:numCache>
            </c:numRef>
          </c:xVal>
          <c:yVal>
            <c:numRef>
              <c:f>SVIGN!$D$196:$D$197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8"/>
          <c:order val="8"/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SVIGN!$A$196:$A$197</c:f>
              <c:numCache>
                <c:formatCode>General</c:formatCode>
                <c:ptCount val="2"/>
                <c:pt idx="0">
                  <c:v>0</c:v>
                </c:pt>
                <c:pt idx="1">
                  <c:v>9.5592307591086954</c:v>
                </c:pt>
              </c:numCache>
            </c:numRef>
          </c:xVal>
          <c:yVal>
            <c:numRef>
              <c:f>SVIGN!$E$196:$E$197</c:f>
              <c:numCache>
                <c:formatCode>General</c:formatCode>
                <c:ptCount val="2"/>
                <c:pt idx="0">
                  <c:v>13.152808516066264</c:v>
                </c:pt>
                <c:pt idx="1">
                  <c:v>1.392724158222336E-8</c:v>
                </c:pt>
              </c:numCache>
            </c:numRef>
          </c:yVal>
          <c:smooth val="0"/>
        </c:ser>
        <c:ser>
          <c:idx val="9"/>
          <c:order val="9"/>
          <c:xVal>
            <c:numRef>
              <c:f>SVIGN!$A$198</c:f>
              <c:numCache>
                <c:formatCode>General</c:formatCode>
                <c:ptCount val="1"/>
                <c:pt idx="0">
                  <c:v>2.89</c:v>
                </c:pt>
              </c:numCache>
            </c:numRef>
          </c:xVal>
          <c:yVal>
            <c:numRef>
              <c:f>SVIGN!$B$198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0"/>
          <c:order val="10"/>
          <c:xVal>
            <c:numRef>
              <c:f>SVIGN!$A$198</c:f>
              <c:numCache>
                <c:formatCode>General</c:formatCode>
                <c:ptCount val="1"/>
                <c:pt idx="0">
                  <c:v>2.89</c:v>
                </c:pt>
              </c:numCache>
            </c:numRef>
          </c:xVal>
          <c:yVal>
            <c:numRef>
              <c:f>SVIGN!$C$198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1"/>
          <c:order val="11"/>
          <c:xVal>
            <c:numRef>
              <c:f>SVIGN!$A$198</c:f>
              <c:numCache>
                <c:formatCode>General</c:formatCode>
                <c:ptCount val="1"/>
                <c:pt idx="0">
                  <c:v>2.89</c:v>
                </c:pt>
              </c:numCache>
            </c:numRef>
          </c:xVal>
          <c:yVal>
            <c:numRef>
              <c:f>SVIGN!$D$198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2"/>
          <c:order val="12"/>
          <c:xVal>
            <c:numRef>
              <c:f>SVIGN!$A$198</c:f>
              <c:numCache>
                <c:formatCode>General</c:formatCode>
                <c:ptCount val="1"/>
                <c:pt idx="0">
                  <c:v>2.89</c:v>
                </c:pt>
              </c:numCache>
            </c:numRef>
          </c:xVal>
          <c:yVal>
            <c:numRef>
              <c:f>SVIGN!$E$198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3"/>
          <c:order val="13"/>
          <c:marker>
            <c:symbol val="none"/>
          </c:marker>
          <c:xVal>
            <c:numRef>
              <c:f>SVIGN!$A$198</c:f>
              <c:numCache>
                <c:formatCode>General</c:formatCode>
                <c:ptCount val="1"/>
                <c:pt idx="0">
                  <c:v>2.89</c:v>
                </c:pt>
              </c:numCache>
            </c:numRef>
          </c:xVal>
          <c:yVal>
            <c:numRef>
              <c:f>SVIGN!$F$198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4"/>
          <c:xVal>
            <c:numRef>
              <c:f>SVIGN!$A$199:$A$200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SVIGN!$B$199:$B$200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5"/>
          <c:order val="15"/>
          <c:xVal>
            <c:numRef>
              <c:f>SVIGN!$A$199:$A$200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SVIGN!$C$199:$C$200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6"/>
          <c:order val="16"/>
          <c:xVal>
            <c:numRef>
              <c:f>SVIGN!$A$199:$A$200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SVIGN!$D$199:$D$200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7"/>
          <c:order val="17"/>
          <c:xVal>
            <c:numRef>
              <c:f>SVIGN!$A$199:$A$200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SVIGN!$E$199:$E$200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8"/>
          <c:order val="18"/>
          <c:xVal>
            <c:numRef>
              <c:f>SVIGN!$A$199:$A$200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SVIGN!$F$199:$F$200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9"/>
          <c:order val="19"/>
          <c:marker>
            <c:symbol val="none"/>
          </c:marker>
          <c:xVal>
            <c:numRef>
              <c:f>SVIGN!$A$199:$A$200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SVIGN!$G$199:$G$200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20"/>
          <c:xVal>
            <c:numRef>
              <c:f>SVIGN!$A$201:$A$202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SVIGN!$B$201:$B$202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1"/>
          <c:order val="21"/>
          <c:xVal>
            <c:numRef>
              <c:f>SVIGN!$A$201:$A$202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SVIGN!$C$201:$C$202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2"/>
          <c:order val="22"/>
          <c:xVal>
            <c:numRef>
              <c:f>SVIGN!$A$201:$A$202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SVIGN!$D$201:$D$202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3"/>
          <c:order val="23"/>
          <c:xVal>
            <c:numRef>
              <c:f>SVIGN!$A$201:$A$202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SVIGN!$E$201:$E$202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4"/>
          <c:order val="24"/>
          <c:xVal>
            <c:numRef>
              <c:f>SVIGN!$A$201:$A$202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SVIGN!$F$201:$F$202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5"/>
          <c:order val="25"/>
          <c:xVal>
            <c:numRef>
              <c:f>SVIGN!$A$201:$A$202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SVIGN!$G$201:$G$202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6"/>
          <c:order val="26"/>
          <c:marker>
            <c:symbol val="none"/>
          </c:marker>
          <c:xVal>
            <c:numRef>
              <c:f>SVIGN!$A$201:$A$202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SVIGN!$H$201:$H$202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7"/>
          <c:xVal>
            <c:numRef>
              <c:f>SVIGN!$A$203:$A$205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SVIGN!$B$203:$B$205</c:f>
              <c:numCache>
                <c:formatCode>General</c:formatCode>
                <c:ptCount val="3"/>
              </c:numCache>
            </c:numRef>
          </c:yVal>
          <c:smooth val="0"/>
        </c:ser>
        <c:ser>
          <c:idx val="28"/>
          <c:order val="28"/>
          <c:xVal>
            <c:numRef>
              <c:f>SVIGN!$A$203:$A$205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SVIGN!$C$203:$C$205</c:f>
              <c:numCache>
                <c:formatCode>General</c:formatCode>
                <c:ptCount val="3"/>
              </c:numCache>
            </c:numRef>
          </c:yVal>
          <c:smooth val="0"/>
        </c:ser>
        <c:ser>
          <c:idx val="29"/>
          <c:order val="29"/>
          <c:xVal>
            <c:numRef>
              <c:f>SVIGN!$A$203:$A$205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SVIGN!$D$203:$D$205</c:f>
              <c:numCache>
                <c:formatCode>General</c:formatCode>
                <c:ptCount val="3"/>
              </c:numCache>
            </c:numRef>
          </c:yVal>
          <c:smooth val="0"/>
        </c:ser>
        <c:ser>
          <c:idx val="30"/>
          <c:order val="30"/>
          <c:xVal>
            <c:numRef>
              <c:f>SVIGN!$A$203:$A$205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SVIGN!$E$203:$E$205</c:f>
              <c:numCache>
                <c:formatCode>General</c:formatCode>
                <c:ptCount val="3"/>
              </c:numCache>
            </c:numRef>
          </c:yVal>
          <c:smooth val="0"/>
        </c:ser>
        <c:ser>
          <c:idx val="31"/>
          <c:order val="31"/>
          <c:xVal>
            <c:numRef>
              <c:f>SVIGN!$A$203:$A$205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SVIGN!$F$203:$F$205</c:f>
              <c:numCache>
                <c:formatCode>General</c:formatCode>
                <c:ptCount val="3"/>
              </c:numCache>
            </c:numRef>
          </c:yVal>
          <c:smooth val="0"/>
        </c:ser>
        <c:ser>
          <c:idx val="32"/>
          <c:order val="32"/>
          <c:xVal>
            <c:numRef>
              <c:f>SVIGN!$A$203:$A$205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SVIGN!$G$203:$G$205</c:f>
              <c:numCache>
                <c:formatCode>General</c:formatCode>
                <c:ptCount val="3"/>
              </c:numCache>
            </c:numRef>
          </c:yVal>
          <c:smooth val="0"/>
        </c:ser>
        <c:ser>
          <c:idx val="33"/>
          <c:order val="33"/>
          <c:xVal>
            <c:numRef>
              <c:f>SVIGN!$A$203:$A$205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SVIGN!$H$203:$H$205</c:f>
              <c:numCache>
                <c:formatCode>General</c:formatCode>
                <c:ptCount val="3"/>
              </c:numCache>
            </c:numRef>
          </c:yVal>
          <c:smooth val="0"/>
        </c:ser>
        <c:ser>
          <c:idx val="34"/>
          <c:order val="34"/>
          <c:xVal>
            <c:numRef>
              <c:f>SVIGN!$A$205:$A$206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SVIGN!$B$205:$B$206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5"/>
          <c:order val="35"/>
          <c:xVal>
            <c:numRef>
              <c:f>SVIGN!$A$205:$A$206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SVIGN!$C$205:$C$206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6"/>
          <c:order val="36"/>
          <c:xVal>
            <c:numRef>
              <c:f>SVIGN!$A$205:$A$206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SVIGN!$D$205:$D$206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7"/>
          <c:order val="37"/>
          <c:xVal>
            <c:numRef>
              <c:f>SVIGN!$A$205:$A$206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SVIGN!$E$205:$E$206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8"/>
          <c:order val="38"/>
          <c:xVal>
            <c:numRef>
              <c:f>SVIGN!$A$205:$A$206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SVIGN!$F$205:$F$206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9"/>
          <c:order val="39"/>
          <c:xVal>
            <c:numRef>
              <c:f>SVIGN!$A$205:$A$206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SVIGN!$G$205:$G$206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40"/>
          <c:order val="40"/>
          <c:xVal>
            <c:numRef>
              <c:f>SVIGN!$A$205:$A$206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SVIGN!$H$205:$H$206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41"/>
          <c:order val="41"/>
          <c:xVal>
            <c:numRef>
              <c:f>SVIGN!$A$205:$A$206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SVIGN!$I$205:$I$206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42"/>
          <c:order val="42"/>
          <c:marker>
            <c:symbol val="none"/>
          </c:marker>
          <c:xVal>
            <c:numRef>
              <c:f>SVIGN!$A$205:$A$206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SVIGN!$J$205:$J$206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632000"/>
        <c:axId val="135633920"/>
      </c:scatterChart>
      <c:valAx>
        <c:axId val="135632000"/>
        <c:scaling>
          <c:orientation val="minMax"/>
          <c:max val="15"/>
          <c:min val="0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Solids Concentration  (g/L)</a:t>
                </a:r>
              </a:p>
            </c:rich>
          </c:tx>
          <c:layout>
            <c:manualLayout>
              <c:xMode val="edge"/>
              <c:yMode val="edge"/>
              <c:x val="0.4393609844822029"/>
              <c:y val="0.92013998250218709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5633920"/>
        <c:crossesAt val="0"/>
        <c:crossBetween val="midCat"/>
        <c:majorUnit val="5"/>
        <c:minorUnit val="1"/>
      </c:valAx>
      <c:valAx>
        <c:axId val="13563392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title>
          <c:tx>
            <c:strRef>
              <c:f>SVIGN!$B$41</c:f>
              <c:strCache>
                <c:ptCount val="1"/>
                <c:pt idx="0">
                  <c:v>Solids Flux  (lb/ft2d)</c:v>
                </c:pt>
              </c:strCache>
            </c:strRef>
          </c:tx>
          <c:layout>
            <c:manualLayout>
              <c:xMode val="edge"/>
              <c:yMode val="edge"/>
              <c:x val="4.0535064695860386E-2"/>
              <c:y val="0.35995388597258676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5632000"/>
        <c:crosses val="autoZero"/>
        <c:crossBetween val="midCat"/>
      </c:valAx>
    </c:plotArea>
    <c:plotVisOnly val="1"/>
    <c:dispBlanksAs val="gap"/>
    <c:showDLblsOverMax val="0"/>
  </c:chart>
  <c:spPr>
    <a:ln w="12700">
      <a:noFill/>
    </a:ln>
  </c:spPr>
  <c:printSettings>
    <c:headerFooter alignWithMargins="0"/>
    <c:pageMargins b="1" l="1" r="1" t="1" header="0.5" footer="0.5"/>
    <c:pageSetup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61890039133543"/>
          <c:y val="0.11079560823698326"/>
          <c:w val="0.71369511504528793"/>
          <c:h val="0.60511447575583133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dPt>
            <c:idx val="151"/>
            <c:marker>
              <c:spPr>
                <a:solidFill>
                  <a:srgbClr val="E82718"/>
                </a:solidFill>
                <a:ln>
                  <a:solidFill>
                    <a:srgbClr val="E82718"/>
                  </a:solidFill>
                </a:ln>
              </c:spPr>
            </c:marker>
            <c:bubble3D val="0"/>
            <c:spPr>
              <a:ln w="28575">
                <a:solidFill>
                  <a:srgbClr val="E82718"/>
                </a:solidFill>
              </a:ln>
            </c:spPr>
          </c:dPt>
          <c:xVal>
            <c:numRef>
              <c:f>SVIGS!$A$40:$A$191</c:f>
              <c:numCache>
                <c:formatCode>General</c:formatCode>
                <c:ptCount val="15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3</c:v>
                </c:pt>
              </c:numCache>
            </c:numRef>
          </c:xVal>
          <c:yVal>
            <c:numRef>
              <c:f>SVIGS!$C$40:$C$191</c:f>
              <c:numCache>
                <c:formatCode>General</c:formatCode>
                <c:ptCount val="152"/>
                <c:pt idx="151">
                  <c:v>7.5418059460341711</c:v>
                </c:pt>
              </c:numCache>
            </c:numRef>
          </c:yVal>
          <c:smooth val="0"/>
        </c:ser>
        <c:ser>
          <c:idx val="0"/>
          <c:order val="1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SVIGS!$A$40:$A$191</c:f>
              <c:numCache>
                <c:formatCode>General</c:formatCode>
                <c:ptCount val="15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3</c:v>
                </c:pt>
              </c:numCache>
            </c:numRef>
          </c:xVal>
          <c:yVal>
            <c:numRef>
              <c:f>SVIGS!$B$40:$B$191</c:f>
              <c:numCache>
                <c:formatCode>General</c:formatCode>
                <c:ptCount val="152"/>
                <c:pt idx="0">
                  <c:v>0</c:v>
                </c:pt>
                <c:pt idx="1">
                  <c:v>2.2277770690873706</c:v>
                </c:pt>
                <c:pt idx="2">
                  <c:v>4.1589034212396259</c:v>
                </c:pt>
                <c:pt idx="3">
                  <c:v>5.8230055558087068</c:v>
                </c:pt>
                <c:pt idx="4">
                  <c:v>7.2470799297319344</c:v>
                </c:pt>
                <c:pt idx="5">
                  <c:v>8.4557118427547202</c:v>
                </c:pt>
                <c:pt idx="6">
                  <c:v>9.4712768346040939</c:v>
                </c:pt>
                <c:pt idx="7">
                  <c:v>10.314125952526064</c:v>
                </c:pt>
                <c:pt idx="8">
                  <c:v>11.002756144236278</c:v>
                </c:pt>
                <c:pt idx="9">
                  <c:v>11.553966935712003</c:v>
                </c:pt>
                <c:pt idx="10">
                  <c:v>11.983004464801679</c:v>
                </c:pt>
                <c:pt idx="11">
                  <c:v>12.303693859814747</c:v>
                </c:pt>
                <c:pt idx="12">
                  <c:v>12.528560876588166</c:v>
                </c:pt>
                <c:pt idx="13">
                  <c:v>12.668943637550139</c:v>
                </c:pt>
                <c:pt idx="14">
                  <c:v>12.735095251594528</c:v>
                </c:pt>
                <c:pt idx="15">
                  <c:v>12.736278033749533</c:v>
                </c:pt>
                <c:pt idx="16">
                  <c:v>12.680849988308566</c:v>
                </c:pt>
                <c:pt idx="17">
                  <c:v>12.576344167954767</c:v>
                </c:pt>
                <c:pt idx="18">
                  <c:v>12.429541474140919</c:v>
                </c:pt>
                <c:pt idx="19">
                  <c:v>12.246537420296443</c:v>
                </c:pt>
                <c:pt idx="20">
                  <c:v>12.032803339054789</c:v>
                </c:pt>
                <c:pt idx="21">
                  <c:v>11.793242477381094</c:v>
                </c:pt>
                <c:pt idx="22">
                  <c:v>11.532241389001955</c:v>
                </c:pt>
                <c:pt idx="23">
                  <c:v>11.253717001684617</c:v>
                </c:pt>
                <c:pt idx="24">
                  <c:v>10.961159707485303</c:v>
                </c:pt>
                <c:pt idx="25">
                  <c:v>10.657672796903745</c:v>
                </c:pt>
                <c:pt idx="26">
                  <c:v>10.34600853277465</c:v>
                </c:pt>
                <c:pt idx="27">
                  <c:v>10.028601136541297</c:v>
                </c:pt>
                <c:pt idx="28">
                  <c:v>9.7075969381464873</c:v>
                </c:pt>
                <c:pt idx="29">
                  <c:v>9.3848819210088887</c:v>
                </c:pt>
                <c:pt idx="30">
                  <c:v>9.0621068753038525</c:v>
                </c:pt>
                <c:pt idx="31">
                  <c:v>8.7407103559227277</c:v>
                </c:pt>
                <c:pt idx="32">
                  <c:v>8.4219396259379309</c:v>
                </c:pt>
                <c:pt idx="33">
                  <c:v>8.1068697520533988</c:v>
                </c:pt>
                <c:pt idx="34">
                  <c:v>7.7964210052819531</c:v>
                </c:pt>
                <c:pt idx="35">
                  <c:v>7.4913747078772701</c:v>
                </c:pt>
                <c:pt idx="36">
                  <c:v>7.1923876562819311</c:v>
                </c:pt>
                <c:pt idx="37">
                  <c:v>6.9000052394612634</c:v>
                </c:pt>
                <c:pt idx="38">
                  <c:v>6.614673362410084</c:v>
                </c:pt>
                <c:pt idx="39">
                  <c:v>6.3367492757832338</c:v>
                </c:pt>
                <c:pt idx="40">
                  <c:v>6.0665114044547597</c:v>
                </c:pt>
                <c:pt idx="41">
                  <c:v>5.804168260301874</c:v>
                </c:pt>
                <c:pt idx="42">
                  <c:v>5.5498665175891677</c:v>
                </c:pt>
                <c:pt idx="43">
                  <c:v>5.3036983229518961</c:v>
                </c:pt>
                <c:pt idx="44">
                  <c:v>5.0657079061017258</c:v>
                </c:pt>
                <c:pt idx="45">
                  <c:v>4.8358975519663385</c:v>
                </c:pt>
                <c:pt idx="46">
                  <c:v>4.6142329899897607</c:v>
                </c:pt>
                <c:pt idx="47">
                  <c:v>4.4006482517304812</c:v>
                </c:pt>
                <c:pt idx="48">
                  <c:v>4.1950500436685081</c:v>
                </c:pt>
                <c:pt idx="49">
                  <c:v>3.9973216782429906</c:v>
                </c:pt>
                <c:pt idx="50">
                  <c:v>3.807326602562175</c:v>
                </c:pt>
                <c:pt idx="51">
                  <c:v>3.6249115609337679</c:v>
                </c:pt>
                <c:pt idx="52">
                  <c:v>3.4499094243337978</c:v>
                </c:pt>
                <c:pt idx="53">
                  <c:v>3.2821417171452079</c:v>
                </c:pt>
                <c:pt idx="54">
                  <c:v>3.1214208689350733</c:v>
                </c:pt>
                <c:pt idx="55">
                  <c:v>2.9675522166834658</c:v>
                </c:pt>
                <c:pt idx="56">
                  <c:v>2.820335780711948</c:v>
                </c:pt>
                <c:pt idx="57">
                  <c:v>2.6795678355701971</c:v>
                </c:pt>
                <c:pt idx="58">
                  <c:v>2.5450422953115819</c:v>
                </c:pt>
                <c:pt idx="59">
                  <c:v>2.416551930910118</c:v>
                </c:pt>
                <c:pt idx="60">
                  <c:v>2.2938894360300379</c:v>
                </c:pt>
                <c:pt idx="61">
                  <c:v>2.1768483559446961</c:v>
                </c:pt>
                <c:pt idx="62">
                  <c:v>2.0652238931033451</c:v>
                </c:pt>
                <c:pt idx="63">
                  <c:v>1.9588136016535935</c:v>
                </c:pt>
                <c:pt idx="64">
                  <c:v>1.8574179821351779</c:v>
                </c:pt>
                <c:pt idx="65">
                  <c:v>1.7608409865595196</c:v>
                </c:pt>
                <c:pt idx="66">
                  <c:v>1.6688904431718448</c:v>
                </c:pt>
                <c:pt idx="67">
                  <c:v>1.5813784093519996</c:v>
                </c:pt>
                <c:pt idx="68">
                  <c:v>1.4981214603400623</c:v>
                </c:pt>
                <c:pt idx="69">
                  <c:v>1.418940920767958</c:v>
                </c:pt>
                <c:pt idx="70">
                  <c:v>1.3436630453331453</c:v>
                </c:pt>
                <c:pt idx="71">
                  <c:v>1.2721191543602397</c:v>
                </c:pt>
                <c:pt idx="72">
                  <c:v>1.2041457294567997</c:v>
                </c:pt>
                <c:pt idx="73">
                  <c:v>1.1395844739762069</c:v>
                </c:pt>
                <c:pt idx="74">
                  <c:v>1.0782823425498849</c:v>
                </c:pt>
                <c:pt idx="75">
                  <c:v>1.0200915435395699</c:v>
                </c:pt>
                <c:pt idx="76">
                  <c:v>0.9648695178846719</c:v>
                </c:pt>
                <c:pt idx="77">
                  <c:v>0.91247889747709232</c:v>
                </c:pt>
                <c:pt idx="78">
                  <c:v>0.86278744588338763</c:v>
                </c:pt>
                <c:pt idx="79">
                  <c:v>0.81566798394942142</c:v>
                </c:pt>
                <c:pt idx="80">
                  <c:v>0.7709983025633359</c:v>
                </c:pt>
                <c:pt idx="81">
                  <c:v>0.72866106461661206</c:v>
                </c:pt>
                <c:pt idx="82">
                  <c:v>0.68854369798832404</c:v>
                </c:pt>
                <c:pt idx="83">
                  <c:v>0.65053828118252843</c:v>
                </c:pt>
                <c:pt idx="84">
                  <c:v>0.61454142307149795</c:v>
                </c:pt>
                <c:pt idx="85">
                  <c:v>0.58045413803660184</c:v>
                </c:pt>
                <c:pt idx="86">
                  <c:v>0.54818171765279045</c:v>
                </c:pt>
                <c:pt idx="87">
                  <c:v>0.51763359993040847</c:v>
                </c:pt>
                <c:pt idx="88">
                  <c:v>0.48872323700841763</c:v>
                </c:pt>
                <c:pt idx="89">
                  <c:v>0.46136796208488157</c:v>
                </c:pt>
                <c:pt idx="90">
                  <c:v>0.43548885627276729</c:v>
                </c:pt>
                <c:pt idx="91">
                  <c:v>0.4110106159809076</c:v>
                </c:pt>
                <c:pt idx="92">
                  <c:v>0.38786142134039592</c:v>
                </c:pt>
                <c:pt idx="93">
                  <c:v>0.36597280612509303</c:v>
                </c:pt>
                <c:pt idx="94">
                  <c:v>0.34527952955054897</c:v>
                </c:pt>
                <c:pt idx="95">
                  <c:v>0.32571945027782317</c:v>
                </c:pt>
                <c:pt idx="96">
                  <c:v>0.30723340289692125</c:v>
                </c:pt>
                <c:pt idx="97">
                  <c:v>0.28976507711816907</c:v>
                </c:pt>
                <c:pt idx="98">
                  <c:v>0.27326089985848828</c:v>
                </c:pt>
                <c:pt idx="99">
                  <c:v>0.25766992037261222</c:v>
                </c:pt>
                <c:pt idx="100">
                  <c:v>0.24294369854647421</c:v>
                </c:pt>
                <c:pt idx="101">
                  <c:v>0.22903619644090467</c:v>
                </c:pt>
                <c:pt idx="102">
                  <c:v>0.21590367314799791</c:v>
                </c:pt>
                <c:pt idx="103">
                  <c:v>0.20350458299981811</c:v>
                </c:pt>
                <c:pt idx="104">
                  <c:v>0.19179947714913401</c:v>
                </c:pt>
                <c:pt idx="105">
                  <c:v>0.18075090852439032</c:v>
                </c:pt>
                <c:pt idx="106">
                  <c:v>0.17032334014589234</c:v>
                </c:pt>
                <c:pt idx="107">
                  <c:v>0.16048305677693997</c:v>
                </c:pt>
                <c:pt idx="108">
                  <c:v>0.15119807987226189</c:v>
                </c:pt>
                <c:pt idx="109">
                  <c:v>0.14243808577631933</c:v>
                </c:pt>
                <c:pt idx="110">
                  <c:v>0.1341743271157492</c:v>
                </c:pt>
                <c:pt idx="111">
                  <c:v>0.12637955732323974</c:v>
                </c:pt>
                <c:pt idx="112">
                  <c:v>0.11902795822430835</c:v>
                </c:pt>
                <c:pt idx="113">
                  <c:v>0.11209507061371003</c:v>
                </c:pt>
                <c:pt idx="114">
                  <c:v>0.10555772774437444</c:v>
                </c:pt>
                <c:pt idx="115">
                  <c:v>9.9393991648785124E-2</c:v>
                </c:pt>
                <c:pt idx="116">
                  <c:v>9.3583092210474395E-2</c:v>
                </c:pt>
                <c:pt idx="117">
                  <c:v>8.8105368901703382E-2</c:v>
                </c:pt>
                <c:pt idx="118">
                  <c:v>8.2942215102393094E-2</c:v>
                </c:pt>
                <c:pt idx="119">
                  <c:v>7.8076024914853021E-2</c:v>
                </c:pt>
                <c:pt idx="120">
                  <c:v>7.3490142388799862E-2</c:v>
                </c:pt>
                <c:pt idx="121">
                  <c:v>6.9168813071472685E-2</c:v>
                </c:pt>
                <c:pt idx="122">
                  <c:v>6.5097137798317939E-2</c:v>
                </c:pt>
                <c:pt idx="123">
                  <c:v>6.1261028640662386E-2</c:v>
                </c:pt>
                <c:pt idx="124">
                  <c:v>5.7647166927989012E-2</c:v>
                </c:pt>
                <c:pt idx="125">
                  <c:v>5.424296326384434E-2</c:v>
                </c:pt>
                <c:pt idx="126">
                  <c:v>5.1036519455984433E-2</c:v>
                </c:pt>
                <c:pt idx="127">
                  <c:v>4.8016592283107777E-2</c:v>
                </c:pt>
                <c:pt idx="128">
                  <c:v>4.5172559022373659E-2</c:v>
                </c:pt>
                <c:pt idx="129">
                  <c:v>4.2494384663857236E-2</c:v>
                </c:pt>
                <c:pt idx="130">
                  <c:v>3.9972590740124034E-2</c:v>
                </c:pt>
                <c:pt idx="131">
                  <c:v>3.7598225701186885E-2</c:v>
                </c:pt>
                <c:pt idx="132">
                  <c:v>3.5362836767239371E-2</c:v>
                </c:pt>
                <c:pt idx="133">
                  <c:v>3.3258443193709103E-2</c:v>
                </c:pt>
                <c:pt idx="134">
                  <c:v>3.1277510885339498E-2</c:v>
                </c:pt>
                <c:pt idx="135">
                  <c:v>2.9412928298178341E-2</c:v>
                </c:pt>
                <c:pt idx="136">
                  <c:v>2.7657983570506653E-2</c:v>
                </c:pt>
                <c:pt idx="137">
                  <c:v>2.6006342825887718E-2</c:v>
                </c:pt>
                <c:pt idx="138">
                  <c:v>2.4452029593632258E-2</c:v>
                </c:pt>
                <c:pt idx="139">
                  <c:v>2.2989405294064628E-2</c:v>
                </c:pt>
                <c:pt idx="140">
                  <c:v>2.1613150738029083E-2</c:v>
                </c:pt>
                <c:pt idx="141">
                  <c:v>2.0318248592085461E-2</c:v>
                </c:pt>
                <c:pt idx="142">
                  <c:v>1.909996676281487E-2</c:v>
                </c:pt>
                <c:pt idx="143">
                  <c:v>1.795384265557616E-2</c:v>
                </c:pt>
                <c:pt idx="144">
                  <c:v>1.6875668264926778E-2</c:v>
                </c:pt>
                <c:pt idx="145">
                  <c:v>1.5861476055743562E-2</c:v>
                </c:pt>
                <c:pt idx="146">
                  <c:v>1.4907525595845603E-2</c:v>
                </c:pt>
                <c:pt idx="147">
                  <c:v>1.4010290902637397E-2</c:v>
                </c:pt>
                <c:pt idx="148">
                  <c:v>1.3166448467949293E-2</c:v>
                </c:pt>
                <c:pt idx="149">
                  <c:v>1.2372865926857192E-2</c:v>
                </c:pt>
                <c:pt idx="150">
                  <c:v>1.1626591337814511E-2</c:v>
                </c:pt>
              </c:numCache>
            </c:numRef>
          </c:yVal>
          <c:smooth val="0"/>
        </c:ser>
        <c:ser>
          <c:idx val="2"/>
          <c:order val="2"/>
          <c:xVal>
            <c:numRef>
              <c:f>SVIGS!$A$192:$A$193</c:f>
              <c:numCache>
                <c:formatCode>General</c:formatCode>
                <c:ptCount val="2"/>
                <c:pt idx="0">
                  <c:v>0</c:v>
                </c:pt>
                <c:pt idx="1">
                  <c:v>6.3363160155319074</c:v>
                </c:pt>
              </c:numCache>
            </c:numRef>
          </c:xVal>
          <c:yVal>
            <c:numRef>
              <c:f>SVIGS!$B$192:$B$193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"/>
          <c:order val="3"/>
          <c:xVal>
            <c:numRef>
              <c:f>SVIGS!$A$192:$A$193</c:f>
              <c:numCache>
                <c:formatCode>General</c:formatCode>
                <c:ptCount val="2"/>
                <c:pt idx="0">
                  <c:v>0</c:v>
                </c:pt>
                <c:pt idx="1">
                  <c:v>6.3363160155319074</c:v>
                </c:pt>
              </c:numCache>
            </c:numRef>
          </c:xVal>
          <c:yVal>
            <c:numRef>
              <c:f>SVIGS!$C$192:$C$193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4"/>
          <c:order val="4"/>
          <c:marker>
            <c:symbol val="none"/>
          </c:marker>
          <c:dPt>
            <c:idx val="1"/>
            <c:bubble3D val="0"/>
            <c:spPr>
              <a:ln>
                <a:solidFill>
                  <a:srgbClr val="00B050"/>
                </a:solidFill>
              </a:ln>
            </c:spPr>
          </c:dPt>
          <c:xVal>
            <c:numRef>
              <c:f>SVIGS!$A$192:$A$193</c:f>
              <c:numCache>
                <c:formatCode>General</c:formatCode>
                <c:ptCount val="2"/>
                <c:pt idx="0">
                  <c:v>0</c:v>
                </c:pt>
                <c:pt idx="1">
                  <c:v>6.3363160155319074</c:v>
                </c:pt>
              </c:numCache>
            </c:numRef>
          </c:xVal>
          <c:yVal>
            <c:numRef>
              <c:f>SVIGS!$D$192:$D$193</c:f>
              <c:numCache>
                <c:formatCode>General</c:formatCode>
                <c:ptCount val="2"/>
                <c:pt idx="0">
                  <c:v>0</c:v>
                </c:pt>
                <c:pt idx="1">
                  <c:v>15.929088617497019</c:v>
                </c:pt>
              </c:numCache>
            </c:numRef>
          </c:yVal>
          <c:smooth val="0"/>
        </c:ser>
        <c:ser>
          <c:idx val="5"/>
          <c:order val="5"/>
          <c:xVal>
            <c:numRef>
              <c:f>SVIGS!$A$194:$A$195</c:f>
              <c:numCache>
                <c:formatCode>General</c:formatCode>
                <c:ptCount val="2"/>
                <c:pt idx="0">
                  <c:v>0</c:v>
                </c:pt>
                <c:pt idx="1">
                  <c:v>8.9999999904700818</c:v>
                </c:pt>
              </c:numCache>
            </c:numRef>
          </c:xVal>
          <c:yVal>
            <c:numRef>
              <c:f>SVIGS!$B$194:$B$195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6"/>
          <c:order val="6"/>
          <c:xVal>
            <c:numRef>
              <c:f>SVIGS!$A$194:$A$195</c:f>
              <c:numCache>
                <c:formatCode>General</c:formatCode>
                <c:ptCount val="2"/>
                <c:pt idx="0">
                  <c:v>0</c:v>
                </c:pt>
                <c:pt idx="1">
                  <c:v>8.9999999904700818</c:v>
                </c:pt>
              </c:numCache>
            </c:numRef>
          </c:xVal>
          <c:yVal>
            <c:numRef>
              <c:f>SVIGS!$C$194:$C$195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7"/>
          <c:order val="7"/>
          <c:xVal>
            <c:numRef>
              <c:f>SVIGS!$A$194:$A$195</c:f>
              <c:numCache>
                <c:formatCode>General</c:formatCode>
                <c:ptCount val="2"/>
                <c:pt idx="0">
                  <c:v>0</c:v>
                </c:pt>
                <c:pt idx="1">
                  <c:v>8.9999999904700818</c:v>
                </c:pt>
              </c:numCache>
            </c:numRef>
          </c:xVal>
          <c:yVal>
            <c:numRef>
              <c:f>SVIGS!$D$194:$D$195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8"/>
          <c:order val="8"/>
          <c:marker>
            <c:symbol val="none"/>
          </c:marker>
          <c:dPt>
            <c:idx val="1"/>
            <c:bubble3D val="0"/>
            <c:spPr>
              <a:ln>
                <a:solidFill>
                  <a:srgbClr val="FFC000"/>
                </a:solidFill>
              </a:ln>
            </c:spPr>
          </c:dPt>
          <c:xVal>
            <c:numRef>
              <c:f>SVIGS!$A$194:$A$195</c:f>
              <c:numCache>
                <c:formatCode>General</c:formatCode>
                <c:ptCount val="2"/>
                <c:pt idx="0">
                  <c:v>0</c:v>
                </c:pt>
                <c:pt idx="1">
                  <c:v>8.9999999904700818</c:v>
                </c:pt>
              </c:numCache>
            </c:numRef>
          </c:xVal>
          <c:yVal>
            <c:numRef>
              <c:f>SVIGS!$E$194:$E$195</c:f>
              <c:numCache>
                <c:formatCode>General</c:formatCode>
                <c:ptCount val="2"/>
                <c:pt idx="0">
                  <c:v>11.312708919051255</c:v>
                </c:pt>
                <c:pt idx="1">
                  <c:v>1.197880017400621E-8</c:v>
                </c:pt>
              </c:numCache>
            </c:numRef>
          </c:yVal>
          <c:smooth val="0"/>
        </c:ser>
        <c:ser>
          <c:idx val="9"/>
          <c:order val="9"/>
          <c:xVal>
            <c:numRef>
              <c:f>SVIGS!$A$196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SVIGS!$B$196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0"/>
          <c:order val="10"/>
          <c:xVal>
            <c:numRef>
              <c:f>SVIGS!$A$196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SVIGS!$C$196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1"/>
          <c:order val="11"/>
          <c:xVal>
            <c:numRef>
              <c:f>SVIGS!$A$196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SVIGS!$D$196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2"/>
          <c:order val="12"/>
          <c:xVal>
            <c:numRef>
              <c:f>SVIGS!$A$196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SVIGS!$E$196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3"/>
          <c:order val="13"/>
          <c:marker>
            <c:symbol val="none"/>
          </c:marker>
          <c:xVal>
            <c:numRef>
              <c:f>SVIGS!$A$196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SVIGS!$F$196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4"/>
          <c:xVal>
            <c:numRef>
              <c:f>SVIGS!$A$197:$A$198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SVIGS!$B$197:$B$198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5"/>
          <c:order val="15"/>
          <c:xVal>
            <c:numRef>
              <c:f>SVIGS!$A$197:$A$198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SVIGS!$C$197:$C$198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6"/>
          <c:order val="16"/>
          <c:xVal>
            <c:numRef>
              <c:f>SVIGS!$A$197:$A$198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SVIGS!$D$197:$D$198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7"/>
          <c:order val="17"/>
          <c:xVal>
            <c:numRef>
              <c:f>SVIGS!$A$197:$A$198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SVIGS!$E$197:$E$198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8"/>
          <c:order val="18"/>
          <c:xVal>
            <c:numRef>
              <c:f>SVIGS!$A$197:$A$198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SVIGS!$F$197:$F$198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9"/>
          <c:order val="19"/>
          <c:marker>
            <c:symbol val="none"/>
          </c:marker>
          <c:xVal>
            <c:numRef>
              <c:f>SVIGS!$A$197:$A$198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SVIGS!$G$197:$G$198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20"/>
          <c:xVal>
            <c:numRef>
              <c:f>SVIGS!$A$199:$A$200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SVIGS!$B$199:$B$200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1"/>
          <c:order val="21"/>
          <c:xVal>
            <c:numRef>
              <c:f>SVIGS!$A$199:$A$200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SVIGS!$C$199:$C$200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2"/>
          <c:order val="22"/>
          <c:xVal>
            <c:numRef>
              <c:f>SVIGS!$A$199:$A$200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SVIGS!$D$199:$D$200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3"/>
          <c:order val="23"/>
          <c:xVal>
            <c:numRef>
              <c:f>SVIGS!$A$199:$A$200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SVIGS!$E$199:$E$200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4"/>
          <c:order val="24"/>
          <c:xVal>
            <c:numRef>
              <c:f>SVIGS!$A$199:$A$200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SVIGS!$F$199:$F$200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5"/>
          <c:order val="25"/>
          <c:xVal>
            <c:numRef>
              <c:f>SVIGS!$A$199:$A$200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SVIGS!$G$199:$G$200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6"/>
          <c:order val="26"/>
          <c:marker>
            <c:symbol val="none"/>
          </c:marker>
          <c:xVal>
            <c:numRef>
              <c:f>SVIGS!$A$199:$A$200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SVIGS!$H$199:$H$200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7"/>
          <c:xVal>
            <c:numRef>
              <c:f>SVIGS!$A$201:$A$201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SVIGS!$B$201:$B$201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8"/>
          <c:order val="28"/>
          <c:xVal>
            <c:numRef>
              <c:f>SVIGS!$A$201:$A$201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SVIGS!$C$201:$C$201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9"/>
          <c:order val="29"/>
          <c:xVal>
            <c:numRef>
              <c:f>SVIGS!$A$201:$A$201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SVIGS!$D$201:$D$201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30"/>
          <c:order val="30"/>
          <c:xVal>
            <c:numRef>
              <c:f>SVIGS!$A$201:$A$201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SVIGS!$E$201:$E$201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31"/>
          <c:order val="31"/>
          <c:xVal>
            <c:numRef>
              <c:f>SVIGS!$A$201:$A$201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SVIGS!$F$201:$F$201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32"/>
          <c:order val="32"/>
          <c:xVal>
            <c:numRef>
              <c:f>SVIGS!$A$201:$A$201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SVIGS!$G$201:$G$201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33"/>
          <c:order val="33"/>
          <c:xVal>
            <c:numRef>
              <c:f>SVIGS!$A$201:$A$201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SVIGS!$H$201:$H$201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34"/>
          <c:order val="34"/>
          <c:xVal>
            <c:numRef>
              <c:f>SVIGS!$A$201:$A$202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SVIGS!$B$201:$B$202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5"/>
          <c:order val="35"/>
          <c:xVal>
            <c:numRef>
              <c:f>SVIGS!$A$201:$A$202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SVIGS!$C$201:$C$202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6"/>
          <c:order val="36"/>
          <c:xVal>
            <c:numRef>
              <c:f>SVIGS!$A$201:$A$202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SVIGS!$D$201:$D$202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7"/>
          <c:order val="37"/>
          <c:xVal>
            <c:numRef>
              <c:f>SVIGS!$A$201:$A$202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SVIGS!$E$201:$E$202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8"/>
          <c:order val="38"/>
          <c:xVal>
            <c:numRef>
              <c:f>SVIGS!$A$201:$A$202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SVIGS!$F$201:$F$202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9"/>
          <c:order val="39"/>
          <c:xVal>
            <c:numRef>
              <c:f>SVIGS!$A$201:$A$202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SVIGS!$G$201:$G$202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40"/>
          <c:order val="40"/>
          <c:xVal>
            <c:numRef>
              <c:f>SVIGS!$A$201:$A$202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SVIGS!$H$201:$H$202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41"/>
          <c:order val="41"/>
          <c:xVal>
            <c:numRef>
              <c:f>SVIGS!$A$201:$A$202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SVIGS!$I$201:$I$202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42"/>
          <c:order val="42"/>
          <c:marker>
            <c:symbol val="none"/>
          </c:marker>
          <c:xVal>
            <c:numRef>
              <c:f>SVIGS!$A$201:$A$202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SVIGS!$J$201:$J$202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79648"/>
        <c:axId val="164390016"/>
      </c:scatterChart>
      <c:valAx>
        <c:axId val="16437964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Solids Concentration  (g/L)</a:t>
                </a:r>
              </a:p>
            </c:rich>
          </c:tx>
          <c:layout>
            <c:manualLayout>
              <c:xMode val="edge"/>
              <c:yMode val="edge"/>
              <c:x val="0.44404183852018497"/>
              <c:y val="0.8048622047244095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4390016"/>
        <c:crossesAt val="0"/>
        <c:crossBetween val="midCat"/>
        <c:majorUnit val="1"/>
      </c:valAx>
      <c:valAx>
        <c:axId val="164390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title>
          <c:tx>
            <c:strRef>
              <c:f>SVIGS!$B$39</c:f>
              <c:strCache>
                <c:ptCount val="1"/>
                <c:pt idx="0">
                  <c:v>Solids Flux  (lb/ft2d)</c:v>
                </c:pt>
              </c:strCache>
            </c:strRef>
          </c:tx>
          <c:layout>
            <c:manualLayout>
              <c:xMode val="edge"/>
              <c:yMode val="edge"/>
              <c:x val="0.11625671791026122"/>
              <c:y val="0.25763910761154857"/>
            </c:manualLayout>
          </c:layout>
          <c:overlay val="0"/>
          <c:txPr>
            <a:bodyPr/>
            <a:lstStyle/>
            <a:p>
              <a:pPr>
                <a:defRPr sz="1200"/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4379648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</c:spPr>
  <c:printSettings>
    <c:headerFooter alignWithMargins="0"/>
    <c:pageMargins b="1" l="1" r="1" t="1" header="0.5" footer="0.5"/>
    <c:pageSetup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61890039133543"/>
          <c:y val="0.11079560823698326"/>
          <c:w val="0.71369511504528793"/>
          <c:h val="0.6051144757558313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SVISS!$A$43:$A$194</c:f>
              <c:numCache>
                <c:formatCode>General</c:formatCode>
                <c:ptCount val="15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3</c:v>
                </c:pt>
              </c:numCache>
            </c:numRef>
          </c:xVal>
          <c:yVal>
            <c:numRef>
              <c:f>SVISS!$B$43:$B$194</c:f>
              <c:numCache>
                <c:formatCode>General</c:formatCode>
                <c:ptCount val="152"/>
                <c:pt idx="0">
                  <c:v>0</c:v>
                </c:pt>
                <c:pt idx="1">
                  <c:v>2.416043866734491</c:v>
                </c:pt>
                <c:pt idx="2">
                  <c:v>4.5419235748856446</c:v>
                </c:pt>
                <c:pt idx="3">
                  <c:v>6.4037754169538674</c:v>
                </c:pt>
                <c:pt idx="4">
                  <c:v>8.0256430591628387</c:v>
                </c:pt>
                <c:pt idx="5">
                  <c:v>9.4296346177524946</c:v>
                </c:pt>
                <c:pt idx="6">
                  <c:v>10.63606841646004</c:v>
                </c:pt>
                <c:pt idx="7">
                  <c:v>11.663608218158679</c:v>
                </c:pt>
                <c:pt idx="8">
                  <c:v>12.529388669203927</c:v>
                </c:pt>
                <c:pt idx="9">
                  <c:v>13.249131644293781</c:v>
                </c:pt>
                <c:pt idx="10">
                  <c:v>13.837254132336675</c:v>
                </c:pt>
                <c:pt idx="11">
                  <c:v>14.306968259710699</c:v>
                </c:pt>
                <c:pt idx="12">
                  <c:v>14.670374006175063</c:v>
                </c:pt>
                <c:pt idx="13">
                  <c:v>14.938545130360774</c:v>
                </c:pt>
                <c:pt idx="14">
                  <c:v>15.121608786034807</c:v>
                </c:pt>
                <c:pt idx="15">
                  <c:v>15.228819277027101</c:v>
                </c:pt>
                <c:pt idx="16">
                  <c:v>15.268626367669295</c:v>
                </c:pt>
                <c:pt idx="17">
                  <c:v>15.248738536666636</c:v>
                </c:pt>
                <c:pt idx="18">
                  <c:v>15.176181535368109</c:v>
                </c:pt>
                <c:pt idx="19">
                  <c:v>15.057352586281853</c:v>
                </c:pt>
                <c:pt idx="20">
                  <c:v>14.898070534280286</c:v>
                </c:pt>
                <c:pt idx="21">
                  <c:v>14.703622241135935</c:v>
                </c:pt>
                <c:pt idx="22">
                  <c:v>14.47880549371782</c:v>
                </c:pt>
                <c:pt idx="23">
                  <c:v>14.227968677258124</c:v>
                </c:pt>
                <c:pt idx="24">
                  <c:v>13.955047447476446</c:v>
                </c:pt>
                <c:pt idx="25">
                  <c:v>13.663598618936176</c:v>
                </c:pt>
                <c:pt idx="26">
                  <c:v>13.356831471723176</c:v>
                </c:pt>
                <c:pt idx="27">
                  <c:v>13.037636664304074</c:v>
                </c:pt>
                <c:pt idx="28">
                  <c:v>12.708612927169517</c:v>
                </c:pt>
                <c:pt idx="29">
                  <c:v>12.37209169952969</c:v>
                </c:pt>
                <c:pt idx="30">
                  <c:v>12.030159859843693</c:v>
                </c:pt>
                <c:pt idx="31">
                  <c:v>11.684680690272845</c:v>
                </c:pt>
                <c:pt idx="32">
                  <c:v>11.337313205196887</c:v>
                </c:pt>
                <c:pt idx="33">
                  <c:v>10.989529964670815</c:v>
                </c:pt>
                <c:pt idx="34">
                  <c:v>10.642633485081856</c:v>
                </c:pt>
                <c:pt idx="35">
                  <c:v>10.297771351247238</c:v>
                </c:pt>
                <c:pt idx="36">
                  <c:v>9.9559501267323167</c:v>
                </c:pt>
                <c:pt idx="37">
                  <c:v>9.618048152228333</c:v>
                </c:pt>
                <c:pt idx="38">
                  <c:v>9.284827315372862</c:v>
                </c:pt>
                <c:pt idx="39">
                  <c:v>8.9569438693913508</c:v>
                </c:pt>
                <c:pt idx="40">
                  <c:v>8.6349583723541397</c:v>
                </c:pt>
                <c:pt idx="41">
                  <c:v>8.3193448136506785</c:v>
                </c:pt>
                <c:pt idx="42">
                  <c:v>8.0104989894549607</c:v>
                </c:pt>
                <c:pt idx="43">
                  <c:v>7.7087461844680076</c:v>
                </c:pt>
                <c:pt idx="44">
                  <c:v>7.4143482130513361</c:v>
                </c:pt>
                <c:pt idx="45">
                  <c:v>7.1275098689880254</c:v>
                </c:pt>
                <c:pt idx="46">
                  <c:v>6.8483848295046119</c:v>
                </c:pt>
                <c:pt idx="47">
                  <c:v>6.5770810558390984</c:v>
                </c:pt>
                <c:pt idx="48">
                  <c:v>6.3136657295298066</c:v>
                </c:pt>
                <c:pt idx="49">
                  <c:v>6.0581697607103218</c:v>
                </c:pt>
                <c:pt idx="50">
                  <c:v>5.8105919020122743</c:v>
                </c:pt>
                <c:pt idx="51">
                  <c:v>5.5709024991852933</c:v>
                </c:pt>
                <c:pt idx="52">
                  <c:v>5.3390469072296272</c:v>
                </c:pt>
                <c:pt idx="53">
                  <c:v>5.1149485986884216</c:v>
                </c:pt>
                <c:pt idx="54">
                  <c:v>4.8985119887525608</c:v>
                </c:pt>
                <c:pt idx="55">
                  <c:v>4.6896249999803992</c:v>
                </c:pt>
                <c:pt idx="56">
                  <c:v>4.4881613877170174</c:v>
                </c:pt>
                <c:pt idx="57">
                  <c:v>4.2939828457046314</c:v>
                </c:pt>
                <c:pt idx="58">
                  <c:v>4.1069409098976379</c:v>
                </c:pt>
                <c:pt idx="59">
                  <c:v>3.9268786771249036</c:v>
                </c:pt>
                <c:pt idx="60">
                  <c:v>3.7536323539710095</c:v>
                </c:pt>
                <c:pt idx="61">
                  <c:v>3.5870326500695207</c:v>
                </c:pt>
                <c:pt idx="62">
                  <c:v>3.4269060289090714</c:v>
                </c:pt>
                <c:pt idx="63">
                  <c:v>3.2730758282406893</c:v>
                </c:pt>
                <c:pt idx="64">
                  <c:v>3.125363261236783</c:v>
                </c:pt>
                <c:pt idx="65">
                  <c:v>2.9835883086832715</c:v>
                </c:pt>
                <c:pt idx="66">
                  <c:v>2.8475705116815169</c:v>
                </c:pt>
                <c:pt idx="67">
                  <c:v>2.7171296735915438</c:v>
                </c:pt>
                <c:pt idx="68">
                  <c:v>2.5920864792581977</c:v>
                </c:pt>
                <c:pt idx="69">
                  <c:v>2.4722630389231561</c:v>
                </c:pt>
                <c:pt idx="70">
                  <c:v>2.3574833636352159</c:v>
                </c:pt>
                <c:pt idx="71">
                  <c:v>2.2475737784244147</c:v>
                </c:pt>
                <c:pt idx="72">
                  <c:v>2.1423632790002243</c:v>
                </c:pt>
                <c:pt idx="73">
                  <c:v>2.0416838372666239</c:v>
                </c:pt>
                <c:pt idx="74">
                  <c:v>1.9453706605148637</c:v>
                </c:pt>
                <c:pt idx="75">
                  <c:v>1.8532624087554956</c:v>
                </c:pt>
                <c:pt idx="76">
                  <c:v>1.7652013742824784</c:v>
                </c:pt>
                <c:pt idx="77">
                  <c:v>1.6810336272215574</c:v>
                </c:pt>
                <c:pt idx="78">
                  <c:v>1.6006091305006598</c:v>
                </c:pt>
                <c:pt idx="79">
                  <c:v>1.5237818273898665</c:v>
                </c:pt>
                <c:pt idx="80">
                  <c:v>1.450409704490732</c:v>
                </c:pt>
                <c:pt idx="81">
                  <c:v>1.3803548328078099</c:v>
                </c:pt>
                <c:pt idx="82">
                  <c:v>1.3134833893075344</c:v>
                </c:pt>
                <c:pt idx="83">
                  <c:v>1.2496656611598196</c:v>
                </c:pt>
                <c:pt idx="84">
                  <c:v>1.1887760346644094</c:v>
                </c:pt>
                <c:pt idx="85">
                  <c:v>1.1306929706860387</c:v>
                </c:pt>
                <c:pt idx="86">
                  <c:v>1.0752989682586018</c:v>
                </c:pt>
                <c:pt idx="87">
                  <c:v>1.0224805178678078</c:v>
                </c:pt>
                <c:pt idx="88">
                  <c:v>0.97212804578315726</c:v>
                </c:pt>
                <c:pt idx="89">
                  <c:v>0.9241358506826689</c:v>
                </c:pt>
                <c:pt idx="90">
                  <c:v>0.87840203369672898</c:v>
                </c:pt>
                <c:pt idx="91">
                  <c:v>0.83482842288993708</c:v>
                </c:pt>
                <c:pt idx="92">
                  <c:v>0.79332049310120256</c:v>
                </c:pt>
                <c:pt idx="93">
                  <c:v>0.75378728197187383</c:v>
                </c:pt>
                <c:pt idx="94">
                  <c:v>0.71614130290876132</c:v>
                </c:pt>
                <c:pt idx="95">
                  <c:v>0.6802984556529702</c:v>
                </c:pt>
                <c:pt idx="96">
                  <c:v>0.64617793505593202</c:v>
                </c:pt>
                <c:pt idx="97">
                  <c:v>0.61370213860042844</c:v>
                </c:pt>
                <c:pt idx="98">
                  <c:v>0.58279657314628475</c:v>
                </c:pt>
                <c:pt idx="99">
                  <c:v>0.5533897613273181</c:v>
                </c:pt>
                <c:pt idx="100">
                  <c:v>0.52541314797769645</c:v>
                </c:pt>
                <c:pt idx="101">
                  <c:v>0.49880100692170082</c:v>
                </c:pt>
                <c:pt idx="102">
                  <c:v>0.47349034842066784</c:v>
                </c:pt>
                <c:pt idx="103">
                  <c:v>0.44942082753429585</c:v>
                </c:pt>
                <c:pt idx="104">
                  <c:v>0.42653465362024057</c:v>
                </c:pt>
                <c:pt idx="105">
                  <c:v>0.40477650116573638</c:v>
                </c:pt>
                <c:pt idx="106">
                  <c:v>0.38409342211760794</c:v>
                </c:pt>
                <c:pt idx="107">
                  <c:v>0.36443475985225043</c:v>
                </c:pt>
                <c:pt idx="108">
                  <c:v>0.34575206490475424</c:v>
                </c:pt>
                <c:pt idx="109">
                  <c:v>0.32799901255612124</c:v>
                </c:pt>
                <c:pt idx="110">
                  <c:v>0.3111313223592917</c:v>
                </c:pt>
                <c:pt idx="111">
                  <c:v>0.29510667966831045</c:v>
                </c:pt>
                <c:pt idx="112">
                  <c:v>0.27988465922023908</c:v>
                </c:pt>
                <c:pt idx="113">
                  <c:v>0.26542665080624417</c:v>
                </c:pt>
                <c:pt idx="114">
                  <c:v>0.25169578705651113</c:v>
                </c:pt>
                <c:pt idx="115">
                  <c:v>0.23865687335314262</c:v>
                </c:pt>
                <c:pt idx="116">
                  <c:v>0.22627631987587335</c:v>
                </c:pt>
                <c:pt idx="117">
                  <c:v>0.21452207577718466</c:v>
                </c:pt>
                <c:pt idx="118">
                  <c:v>0.20336356547611709</c:v>
                </c:pt>
                <c:pt idx="119">
                  <c:v>0.19277162705368872</c:v>
                </c:pt>
                <c:pt idx="120">
                  <c:v>0.18271845272723963</c:v>
                </c:pt>
                <c:pt idx="121">
                  <c:v>0.17317753137616676</c:v>
                </c:pt>
                <c:pt idx="122">
                  <c:v>0.16412359308732641</c:v>
                </c:pt>
                <c:pt idx="123">
                  <c:v>0.15553255568479152</c:v>
                </c:pt>
                <c:pt idx="124">
                  <c:v>0.14738147320561371</c:v>
                </c:pt>
                <c:pt idx="125">
                  <c:v>0.13964848628068077</c:v>
                </c:pt>
                <c:pt idx="126">
                  <c:v>0.13231277437767267</c:v>
                </c:pt>
                <c:pt idx="127">
                  <c:v>0.12535450986139396</c:v>
                </c:pt>
                <c:pt idx="128">
                  <c:v>0.11875481382543229</c:v>
                </c:pt>
                <c:pt idx="129">
                  <c:v>0.11249571364806303</c:v>
                </c:pt>
                <c:pt idx="130">
                  <c:v>0.1065601022245851</c:v>
                </c:pt>
                <c:pt idx="131">
                  <c:v>0.10093169882780809</c:v>
                </c:pt>
                <c:pt idx="132">
                  <c:v>9.5595011548148381E-2</c:v>
                </c:pt>
                <c:pt idx="133">
                  <c:v>9.0535301264765847E-2</c:v>
                </c:pt>
                <c:pt idx="134">
                  <c:v>8.5738547099302703E-2</c:v>
                </c:pt>
                <c:pt idx="135">
                  <c:v>8.1191413304079432E-2</c:v>
                </c:pt>
                <c:pt idx="136">
                  <c:v>7.6881217537047478E-2</c:v>
                </c:pt>
                <c:pt idx="137">
                  <c:v>7.2795900476347125E-2</c:v>
                </c:pt>
                <c:pt idx="138">
                  <c:v>6.8923996727984008E-2</c:v>
                </c:pt>
                <c:pt idx="139">
                  <c:v>6.5254606980892305E-2</c:v>
                </c:pt>
                <c:pt idx="140">
                  <c:v>6.1777371364476003E-2</c:v>
                </c:pt>
                <c:pt idx="141">
                  <c:v>5.8482443964622939E-2</c:v>
                </c:pt>
                <c:pt idx="142">
                  <c:v>5.5360468455128972E-2</c:v>
                </c:pt>
                <c:pt idx="143">
                  <c:v>5.2402554802467041E-2</c:v>
                </c:pt>
                <c:pt idx="144">
                  <c:v>4.9600257002865238E-2</c:v>
                </c:pt>
                <c:pt idx="145">
                  <c:v>4.6945551811715565E-2</c:v>
                </c:pt>
                <c:pt idx="146">
                  <c:v>4.4430818426414408E-2</c:v>
                </c:pt>
                <c:pt idx="147">
                  <c:v>4.2048819084828888E-2</c:v>
                </c:pt>
                <c:pt idx="148">
                  <c:v>3.9792680542685928E-2</c:v>
                </c:pt>
                <c:pt idx="149">
                  <c:v>3.7655876394287031E-2</c:v>
                </c:pt>
                <c:pt idx="150">
                  <c:v>3.5632210202057521E-2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SVISS!$A$43:$A$194</c:f>
              <c:numCache>
                <c:formatCode>General</c:formatCode>
                <c:ptCount val="15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3</c:v>
                </c:pt>
              </c:numCache>
            </c:numRef>
          </c:xVal>
          <c:yVal>
            <c:numRef>
              <c:f>SVISS!$C$43:$C$194</c:f>
              <c:numCache>
                <c:formatCode>General</c:formatCode>
                <c:ptCount val="152"/>
                <c:pt idx="151">
                  <c:v>9.3108312384889196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SVISS!$A$195:$A$196</c:f>
              <c:numCache>
                <c:formatCode>General</c:formatCode>
                <c:ptCount val="2"/>
                <c:pt idx="0">
                  <c:v>0</c:v>
                </c:pt>
                <c:pt idx="1">
                  <c:v>6.1498012418060002</c:v>
                </c:pt>
              </c:numCache>
            </c:numRef>
          </c:xVal>
          <c:yVal>
            <c:numRef>
              <c:f>SVISS!$B$195:$B$196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SVISS!$A$195:$A$196</c:f>
              <c:numCache>
                <c:formatCode>General</c:formatCode>
                <c:ptCount val="2"/>
                <c:pt idx="0">
                  <c:v>0</c:v>
                </c:pt>
                <c:pt idx="1">
                  <c:v>6.1498012418060002</c:v>
                </c:pt>
              </c:numCache>
            </c:numRef>
          </c:xVal>
          <c:yVal>
            <c:numRef>
              <c:f>SVISS!$C$195:$C$196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SVISS!$A$195:$A$196</c:f>
              <c:numCache>
                <c:formatCode>General</c:formatCode>
                <c:ptCount val="2"/>
                <c:pt idx="0">
                  <c:v>0</c:v>
                </c:pt>
                <c:pt idx="1">
                  <c:v>6.1498012418060002</c:v>
                </c:pt>
              </c:numCache>
            </c:numRef>
          </c:xVal>
          <c:yVal>
            <c:numRef>
              <c:f>SVISS!$D$195:$D$196</c:f>
              <c:numCache>
                <c:formatCode>General</c:formatCode>
                <c:ptCount val="2"/>
                <c:pt idx="0">
                  <c:v>0</c:v>
                </c:pt>
                <c:pt idx="1">
                  <c:v>19.086587191112152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SVISS!$A$197:$A$198</c:f>
              <c:numCache>
                <c:formatCode>General</c:formatCode>
                <c:ptCount val="2"/>
                <c:pt idx="0">
                  <c:v>0</c:v>
                </c:pt>
                <c:pt idx="1">
                  <c:v>10.166666655901389</c:v>
                </c:pt>
              </c:numCache>
            </c:numRef>
          </c:xVal>
          <c:yVal>
            <c:numRef>
              <c:f>SVISS!$B$197:$B$198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SVISS!$A$197:$A$198</c:f>
              <c:numCache>
                <c:formatCode>General</c:formatCode>
                <c:ptCount val="2"/>
                <c:pt idx="0">
                  <c:v>0</c:v>
                </c:pt>
                <c:pt idx="1">
                  <c:v>10.166666655901389</c:v>
                </c:pt>
              </c:numCache>
            </c:numRef>
          </c:xVal>
          <c:yVal>
            <c:numRef>
              <c:f>SVISS!$C$197:$C$198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SVISS!$A$197:$A$198</c:f>
              <c:numCache>
                <c:formatCode>General</c:formatCode>
                <c:ptCount val="2"/>
                <c:pt idx="0">
                  <c:v>0</c:v>
                </c:pt>
                <c:pt idx="1">
                  <c:v>10.166666655901389</c:v>
                </c:pt>
              </c:numCache>
            </c:numRef>
          </c:xVal>
          <c:yVal>
            <c:numRef>
              <c:f>SVISS!$D$197:$D$198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SVISS!$A$197:$A$198</c:f>
              <c:numCache>
                <c:formatCode>General</c:formatCode>
                <c:ptCount val="2"/>
                <c:pt idx="0">
                  <c:v>0</c:v>
                </c:pt>
                <c:pt idx="1">
                  <c:v>10.166666655901389</c:v>
                </c:pt>
              </c:numCache>
            </c:numRef>
          </c:xVal>
          <c:yVal>
            <c:numRef>
              <c:f>SVISS!$E$197:$E$198</c:f>
              <c:numCache>
                <c:formatCode>General</c:formatCode>
                <c:ptCount val="2"/>
                <c:pt idx="0">
                  <c:v>13.208388501112188</c:v>
                </c:pt>
                <c:pt idx="1">
                  <c:v>1.3986094060669529E-8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69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  <a:prstDash val="solid"/>
              </a:ln>
            </c:spPr>
          </c:marker>
          <c:xVal>
            <c:numRef>
              <c:f>SVISS!$A$199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SVISS!$B$199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SVISS!$A$199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SVISS!$C$199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SVISS!$A$199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SVISS!$D$199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A6CAF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A6CAF0"/>
                </a:solidFill>
                <a:prstDash val="solid"/>
              </a:ln>
            </c:spPr>
          </c:marker>
          <c:xVal>
            <c:numRef>
              <c:f>SVISS!$A$199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SVISS!$E$199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SVISS!$A$199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SVISS!$F$199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xVal>
            <c:numRef>
              <c:f>SVISS!$A$200:$A$201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SVISS!$B$200:$B$201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rgbClr val="E3E3E3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E3E3E3"/>
                </a:solidFill>
                <a:prstDash val="solid"/>
              </a:ln>
            </c:spPr>
          </c:marker>
          <c:xVal>
            <c:numRef>
              <c:f>SVISS!$A$200:$A$201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SVISS!$C$200:$C$201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SVISS!$A$200:$A$201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SVISS!$D$200:$D$201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SVISS!$A$200:$A$201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SVISS!$E$200:$E$201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8"/>
          <c:order val="18"/>
          <c:spPr>
            <a:ln w="12700">
              <a:solidFill>
                <a:srgbClr val="3399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xVal>
            <c:numRef>
              <c:f>SVISS!$A$200:$A$201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SVISS!$F$200:$F$201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9"/>
          <c:order val="1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SVISS!$A$200:$A$201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SVISS!$G$200:$G$201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20"/>
          <c:spPr>
            <a:ln w="12700">
              <a:solidFill>
                <a:srgbClr val="996633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xVal>
            <c:numRef>
              <c:f>SVISS!$A$202:$A$203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SVISS!$B$202:$B$203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1"/>
          <c:order val="21"/>
          <c:spPr>
            <a:ln w="12700">
              <a:solidFill>
                <a:srgbClr val="996666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6666"/>
                </a:solidFill>
                <a:prstDash val="solid"/>
              </a:ln>
            </c:spPr>
          </c:marker>
          <c:xVal>
            <c:numRef>
              <c:f>SVISS!$A$202:$A$203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SVISS!$C$202:$C$203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SVISS!$A$202:$A$203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SVISS!$D$202:$D$203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SVISS!$A$202:$A$203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SVISS!$E$202:$E$203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4"/>
          <c:order val="24"/>
          <c:spPr>
            <a:ln w="12700">
              <a:solidFill>
                <a:srgbClr val="3333CC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3333CC"/>
                </a:solidFill>
                <a:prstDash val="solid"/>
              </a:ln>
            </c:spPr>
          </c:marker>
          <c:xVal>
            <c:numRef>
              <c:f>SVISS!$A$202:$A$203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SVISS!$F$202:$F$203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5"/>
          <c:order val="25"/>
          <c:spPr>
            <a:ln w="12700">
              <a:solidFill>
                <a:srgbClr val="3366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66"/>
                </a:solidFill>
                <a:prstDash val="solid"/>
              </a:ln>
            </c:spPr>
          </c:marker>
          <c:xVal>
            <c:numRef>
              <c:f>SVISS!$A$202:$A$203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SVISS!$G$202:$G$203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6"/>
          <c:order val="2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SVISS!$A$202:$A$203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SVISS!$H$202:$H$203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SVISS!$A$204:$A$206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SVISS!$B$204:$B$206</c:f>
              <c:numCache>
                <c:formatCode>General</c:formatCode>
                <c:ptCount val="3"/>
              </c:numCache>
            </c:numRef>
          </c:yVal>
          <c:smooth val="0"/>
        </c:ser>
        <c:ser>
          <c:idx val="28"/>
          <c:order val="28"/>
          <c:spPr>
            <a:ln w="12700">
              <a:solidFill>
                <a:srgbClr val="66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663300"/>
              </a:solidFill>
              <a:ln>
                <a:solidFill>
                  <a:srgbClr val="663300"/>
                </a:solidFill>
                <a:prstDash val="solid"/>
              </a:ln>
            </c:spPr>
          </c:marker>
          <c:xVal>
            <c:numRef>
              <c:f>SVISS!$A$204:$A$206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SVISS!$C$204:$C$206</c:f>
              <c:numCache>
                <c:formatCode>General</c:formatCode>
                <c:ptCount val="3"/>
              </c:numCache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SVISS!$A$204:$A$206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SVISS!$D$204:$D$206</c:f>
              <c:numCache>
                <c:formatCode>General</c:formatCode>
                <c:ptCount val="3"/>
              </c:numCache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SVISS!$A$204:$A$206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SVISS!$E$204:$E$206</c:f>
              <c:numCache>
                <c:formatCode>General</c:formatCode>
                <c:ptCount val="3"/>
              </c:numCache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SVISS!$A$204:$A$206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SVISS!$F$204:$F$206</c:f>
              <c:numCache>
                <c:formatCode>General</c:formatCode>
                <c:ptCount val="3"/>
              </c:numCache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SVISS!$A$204:$A$206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SVISS!$G$204:$G$206</c:f>
              <c:numCache>
                <c:formatCode>General</c:formatCode>
                <c:ptCount val="3"/>
              </c:numCache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SVISS!$A$204:$A$206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SVISS!$H$204:$H$206</c:f>
              <c:numCache>
                <c:formatCode>General</c:formatCode>
                <c:ptCount val="3"/>
              </c:numCache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SVISS!$A$206:$A$207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SVISS!$B$206:$B$207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SVISS!$A$206:$A$207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SVISS!$C$206:$C$207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SVISS!$A$206:$A$207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SVISS!$D$206:$D$207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SVISS!$A$206:$A$207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SVISS!$E$206:$E$207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SVISS!$A$206:$A$207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SVISS!$F$206:$F$207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SVISS!$A$206:$A$207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SVISS!$G$206:$G$207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SVISS!$A$206:$A$207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SVISS!$H$206:$H$207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SVISS!$A$206:$A$207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SVISS!$I$206:$I$207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42"/>
          <c:order val="4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SVISS!$A$206:$A$207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SVISS!$J$206:$J$207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9008"/>
        <c:axId val="172225280"/>
      </c:scatterChart>
      <c:valAx>
        <c:axId val="172219008"/>
        <c:scaling>
          <c:orientation val="minMax"/>
          <c:max val="1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Solids Concentration  (g/L)</a:t>
                </a:r>
              </a:p>
            </c:rich>
          </c:tx>
          <c:layout>
            <c:manualLayout>
              <c:xMode val="edge"/>
              <c:yMode val="edge"/>
              <c:x val="0.26348627793823137"/>
              <c:y val="0.84375117042010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225280"/>
        <c:crossesAt val="0"/>
        <c:crossBetween val="midCat"/>
        <c:majorUnit val="5"/>
        <c:minorUnit val="1"/>
      </c:valAx>
      <c:valAx>
        <c:axId val="172225280"/>
        <c:scaling>
          <c:orientation val="minMax"/>
          <c:min val="0"/>
        </c:scaling>
        <c:delete val="0"/>
        <c:axPos val="l"/>
        <c:title>
          <c:tx>
            <c:strRef>
              <c:f>SVISS!$B$42</c:f>
              <c:strCache>
                <c:ptCount val="1"/>
                <c:pt idx="0">
                  <c:v>Solids Flux  (lb/ft2d)</c:v>
                </c:pt>
              </c:strCache>
            </c:strRef>
          </c:tx>
          <c:layout>
            <c:manualLayout>
              <c:xMode val="edge"/>
              <c:yMode val="edge"/>
              <c:x val="2.6971036324385883E-2"/>
              <c:y val="9.3750130046678135E-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2190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1" r="1" t="1" header="0.5" footer="0.5"/>
    <c:pageSetup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41709476134202"/>
          <c:y val="9.7015337805214999E-2"/>
          <c:w val="0.71458478715980467"/>
          <c:h val="0.65423163699414288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VoK!$A$25:$A$176</c:f>
              <c:numCache>
                <c:formatCode>General</c:formatCode>
                <c:ptCount val="15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2.5</c:v>
                </c:pt>
              </c:numCache>
            </c:numRef>
          </c:xVal>
          <c:yVal>
            <c:numRef>
              <c:f>VoK!$B$25:$B$176</c:f>
              <c:numCache>
                <c:formatCode>General</c:formatCode>
                <c:ptCount val="152"/>
                <c:pt idx="0">
                  <c:v>0</c:v>
                </c:pt>
                <c:pt idx="1">
                  <c:v>4.3101524479887567</c:v>
                </c:pt>
                <c:pt idx="2">
                  <c:v>8.0697334727287036</c:v>
                </c:pt>
                <c:pt idx="3">
                  <c:v>11.331489855642795</c:v>
                </c:pt>
                <c:pt idx="4">
                  <c:v>14.143676523032797</c:v>
                </c:pt>
                <c:pt idx="5">
                  <c:v>16.550415159709715</c:v>
                </c:pt>
                <c:pt idx="6">
                  <c:v>18.592025337412998</c:v>
                </c:pt>
                <c:pt idx="7">
                  <c:v>20.305330206051458</c:v>
                </c:pt>
                <c:pt idx="8">
                  <c:v>21.723938646305903</c:v>
                </c:pt>
                <c:pt idx="9">
                  <c:v>22.878505643382507</c:v>
                </c:pt>
                <c:pt idx="10">
                  <c:v>23.796972512933714</c:v>
                </c:pt>
                <c:pt idx="11">
                  <c:v>24.50478849066219</c:v>
                </c:pt>
                <c:pt idx="12">
                  <c:v>25.025115086232994</c:v>
                </c:pt>
                <c:pt idx="13">
                  <c:v>25.37901449922856</c:v>
                </c:pt>
                <c:pt idx="14">
                  <c:v>25.585623299419467</c:v>
                </c:pt>
                <c:pt idx="15">
                  <c:v>25.662312485062849</c:v>
                </c:pt>
                <c:pt idx="16">
                  <c:v>25.624834950787712</c:v>
                </c:pt>
                <c:pt idx="17">
                  <c:v>25.487461320424178</c:v>
                </c:pt>
                <c:pt idx="18">
                  <c:v>25.263105029457758</c:v>
                </c:pt>
                <c:pt idx="19">
                  <c:v>24.96343747624492</c:v>
                </c:pt>
                <c:pt idx="20">
                  <c:v>24.598994000344149</c:v>
                </c:pt>
                <c:pt idx="21">
                  <c:v>24.179271389958842</c:v>
                </c:pt>
                <c:pt idx="22">
                  <c:v>23.712817568234438</c:v>
                </c:pt>
                <c:pt idx="23">
                  <c:v>23.207314059710825</c:v>
                </c:pt>
                <c:pt idx="24">
                  <c:v>22.669651793326054</c:v>
                </c:pt>
                <c:pt idx="25">
                  <c:v>22.106000756746209</c:v>
                </c:pt>
                <c:pt idx="26">
                  <c:v>21.52187397822177</c:v>
                </c:pt>
                <c:pt idx="27">
                  <c:v>20.922186276423741</c:v>
                </c:pt>
                <c:pt idx="28">
                  <c:v>20.311308185589876</c:v>
                </c:pt>
                <c:pt idx="29">
                  <c:v>19.693115432622168</c:v>
                </c:pt>
                <c:pt idx="30">
                  <c:v>19.071034314346768</c:v>
                </c:pt>
                <c:pt idx="31">
                  <c:v>18.448083296812037</c:v>
                </c:pt>
                <c:pt idx="32">
                  <c:v>17.826911134109352</c:v>
                </c:pt>
                <c:pt idx="33">
                  <c:v>17.209831781611914</c:v>
                </c:pt>
                <c:pt idx="34">
                  <c:v>16.598856357610508</c:v>
                </c:pt>
                <c:pt idx="35">
                  <c:v>15.995722387958311</c:v>
                </c:pt>
                <c:pt idx="36">
                  <c:v>15.401920550408441</c:v>
                </c:pt>
                <c:pt idx="37">
                  <c:v>14.818719118732609</c:v>
                </c:pt>
                <c:pt idx="38">
                  <c:v>14.247186291349408</c:v>
                </c:pt>
                <c:pt idx="39">
                  <c:v>13.688210574977379</c:v>
                </c:pt>
                <c:pt idx="40">
                  <c:v>13.142519380676152</c:v>
                </c:pt>
                <c:pt idx="41">
                  <c:v>12.610695977471758</c:v>
                </c:pt>
                <c:pt idx="42">
                  <c:v>12.093194937507272</c:v>
                </c:pt>
                <c:pt idx="43">
                  <c:v>11.590356196250372</c:v>
                </c:pt>
                <c:pt idx="44">
                  <c:v>11.102417841663197</c:v>
                </c:pt>
                <c:pt idx="45">
                  <c:v>10.629527737339286</c:v>
                </c:pt>
                <c:pt idx="46">
                  <c:v>10.171754076384213</c:v>
                </c:pt>
                <c:pt idx="47">
                  <c:v>9.7290949552109858</c:v>
                </c:pt>
                <c:pt idx="48">
                  <c:v>9.3014870493925699</c:v>
                </c:pt>
                <c:pt idx="49">
                  <c:v>8.8888134672190198</c:v>
                </c:pt>
                <c:pt idx="50">
                  <c:v>8.4909108506068609</c:v>
                </c:pt>
                <c:pt idx="51">
                  <c:v>8.1075757874657199</c:v>
                </c:pt>
                <c:pt idx="52">
                  <c:v>7.7385705945091052</c:v>
                </c:pt>
                <c:pt idx="53">
                  <c:v>7.3836285247698941</c:v>
                </c:pt>
                <c:pt idx="54">
                  <c:v>7.0424584497180911</c:v>
                </c:pt>
                <c:pt idx="55">
                  <c:v>6.7147490618515304</c:v>
                </c:pt>
                <c:pt idx="56">
                  <c:v>6.4001726399137286</c:v>
                </c:pt>
                <c:pt idx="57">
                  <c:v>6.0983884154647585</c:v>
                </c:pt>
                <c:pt idx="58">
                  <c:v>5.809045576368268</c:v>
                </c:pt>
                <c:pt idx="59">
                  <c:v>5.53178593984115</c:v>
                </c:pt>
                <c:pt idx="60">
                  <c:v>5.2662463250234479</c:v>
                </c:pt>
                <c:pt idx="61">
                  <c:v>5.0120606525470421</c:v>
                </c:pt>
                <c:pt idx="62">
                  <c:v>4.7688617962976094</c:v>
                </c:pt>
                <c:pt idx="63">
                  <c:v>4.5362832104594819</c:v>
                </c:pt>
                <c:pt idx="64">
                  <c:v>4.3139603529945347</c:v>
                </c:pt>
                <c:pt idx="65">
                  <c:v>4.1015319249211863</c:v>
                </c:pt>
                <c:pt idx="66">
                  <c:v>3.8986409431160785</c:v>
                </c:pt>
                <c:pt idx="67">
                  <c:v>3.7049356628486398</c:v>
                </c:pt>
                <c:pt idx="68">
                  <c:v>3.5200703648671507</c:v>
                </c:pt>
                <c:pt idx="69">
                  <c:v>3.3437060205749649</c:v>
                </c:pt>
                <c:pt idx="70">
                  <c:v>3.1755108476587717</c:v>
                </c:pt>
                <c:pt idx="71">
                  <c:v>3.0151607674488776</c:v>
                </c:pt>
                <c:pt idx="72">
                  <c:v>2.8623397742975629</c:v>
                </c:pt>
                <c:pt idx="73">
                  <c:v>2.7167402263484748</c:v>
                </c:pt>
                <c:pt idx="74">
                  <c:v>2.5780630662316177</c:v>
                </c:pt>
                <c:pt idx="75">
                  <c:v>2.4460179794490262</c:v>
                </c:pt>
                <c:pt idx="76">
                  <c:v>2.3203234975101159</c:v>
                </c:pt>
                <c:pt idx="77">
                  <c:v>2.2007070522281933</c:v>
                </c:pt>
                <c:pt idx="78">
                  <c:v>2.0869049869960166</c:v>
                </c:pt>
                <c:pt idx="79">
                  <c:v>1.9786625303142877</c:v>
                </c:pt>
                <c:pt idx="80">
                  <c:v>1.8757337363489173</c:v>
                </c:pt>
                <c:pt idx="81">
                  <c:v>1.7778813968366256</c:v>
                </c:pt>
                <c:pt idx="82">
                  <c:v>1.6848769282413605</c:v>
                </c:pt>
                <c:pt idx="83">
                  <c:v>1.5965002376822699</c:v>
                </c:pt>
                <c:pt idx="84">
                  <c:v>1.5125395708052454</c:v>
                </c:pt>
                <c:pt idx="85">
                  <c:v>1.4327913444514413</c:v>
                </c:pt>
                <c:pt idx="86">
                  <c:v>1.3570599666853593</c:v>
                </c:pt>
                <c:pt idx="87">
                  <c:v>1.2851576464797527</c:v>
                </c:pt>
                <c:pt idx="88">
                  <c:v>1.2169041951127175</c:v>
                </c:pt>
                <c:pt idx="89">
                  <c:v>1.1521268211119988</c:v>
                </c:pt>
                <c:pt idx="90">
                  <c:v>1.0906599203809189</c:v>
                </c:pt>
                <c:pt idx="91">
                  <c:v>1.0323448629579113</c:v>
                </c:pt>
                <c:pt idx="92">
                  <c:v>0.97702977769580046</c:v>
                </c:pt>
                <c:pt idx="93">
                  <c:v>0.92456933599641977</c:v>
                </c:pt>
                <c:pt idx="94">
                  <c:v>0.87482453559959694</c:v>
                </c:pt>
                <c:pt idx="95">
                  <c:v>0.82766248530175179</c:v>
                </c:pt>
                <c:pt idx="96">
                  <c:v>0.78295619136735506</c:v>
                </c:pt>
                <c:pt idx="97">
                  <c:v>0.74058434629518777</c:v>
                </c:pt>
                <c:pt idx="98">
                  <c:v>0.70043112050989087</c:v>
                </c:pt>
                <c:pt idx="99">
                  <c:v>0.66238595746681073</c:v>
                </c:pt>
                <c:pt idx="100">
                  <c:v>0.62634337258387596</c:v>
                </c:pt>
                <c:pt idx="101">
                  <c:v>0.59220275634747399</c:v>
                </c:pt>
                <c:pt idx="102">
                  <c:v>0.55986818187935505</c:v>
                </c:pt>
                <c:pt idx="103">
                  <c:v>0.52924821719790249</c:v>
                </c:pt>
                <c:pt idx="104">
                  <c:v>0.50025574235910852</c:v>
                </c:pt>
                <c:pt idx="105">
                  <c:v>0.47280777161976123</c:v>
                </c:pt>
                <c:pt idx="106">
                  <c:v>0.44682528072725103</c:v>
                </c:pt>
                <c:pt idx="107">
                  <c:v>0.4222330394065707</c:v>
                </c:pt>
                <c:pt idx="108">
                  <c:v>0.39895944908516073</c:v>
                </c:pt>
                <c:pt idx="109">
                  <c:v>0.37693638586985712</c:v>
                </c:pt>
                <c:pt idx="110">
                  <c:v>0.35609904876700854</c:v>
                </c:pt>
                <c:pt idx="111">
                  <c:v>0.33638581311655291</c:v>
                </c:pt>
                <c:pt idx="112">
                  <c:v>0.31773808919317709</c:v>
                </c:pt>
                <c:pt idx="113">
                  <c:v>0.30010018591240784</c:v>
                </c:pt>
                <c:pt idx="114">
                  <c:v>0.28341917956634871</c:v>
                </c:pt>
                <c:pt idx="115">
                  <c:v>0.26764478750255055</c:v>
                </c:pt>
                <c:pt idx="116">
                  <c:v>0.2527292466500653</c:v>
                </c:pt>
                <c:pt idx="117">
                  <c:v>0.23862719678879793</c:v>
                </c:pt>
                <c:pt idx="118">
                  <c:v>0.2252955684517883</c:v>
                </c:pt>
                <c:pt idx="119">
                  <c:v>0.21269347534479202</c:v>
                </c:pt>
                <c:pt idx="120">
                  <c:v>0.2007821111634035</c:v>
                </c:pt>
                <c:pt idx="121">
                  <c:v>0.18952465068484028</c:v>
                </c:pt>
                <c:pt idx="122">
                  <c:v>0.17888615500925897</c:v>
                </c:pt>
                <c:pt idx="123">
                  <c:v>0.16883348082402053</c:v>
                </c:pt>
                <c:pt idx="124">
                  <c:v>0.15933519356356857</c:v>
                </c:pt>
                <c:pt idx="125">
                  <c:v>0.15036148433743549</c:v>
                </c:pt>
                <c:pt idx="126">
                  <c:v>0.14188409049928585</c:v>
                </c:pt>
                <c:pt idx="127">
                  <c:v>0.13387621973077393</c:v>
                </c:pt>
                <c:pt idx="128">
                  <c:v>0.12631247751525188</c:v>
                </c:pt>
                <c:pt idx="129">
                  <c:v>0.11916879787800558</c:v>
                </c:pt>
                <c:pt idx="130">
                  <c:v>0.1124223772716046</c:v>
                </c:pt>
                <c:pt idx="131">
                  <c:v>0.10605161148714702</c:v>
                </c:pt>
                <c:pt idx="132">
                  <c:v>0.1000360354745773</c:v>
                </c:pt>
                <c:pt idx="133">
                  <c:v>9.4356265957828492E-2</c:v>
                </c:pt>
                <c:pt idx="134">
                  <c:v>8.8993946733277138E-2</c:v>
                </c:pt>
                <c:pt idx="135">
                  <c:v>8.3931696542832737E-2</c:v>
                </c:pt>
                <c:pt idx="136">
                  <c:v>7.9153059415926832E-2</c:v>
                </c:pt>
                <c:pt idx="137">
                  <c:v>7.4642457377668975E-2</c:v>
                </c:pt>
                <c:pt idx="138">
                  <c:v>7.0385145423484952E-2</c:v>
                </c:pt>
                <c:pt idx="139">
                  <c:v>6.6367168663640355E-2</c:v>
                </c:pt>
                <c:pt idx="140">
                  <c:v>6.2575321544139501E-2</c:v>
                </c:pt>
                <c:pt idx="141">
                  <c:v>5.8997109053587231E-2</c:v>
                </c:pt>
                <c:pt idx="142">
                  <c:v>5.562070982868015E-2</c:v>
                </c:pt>
                <c:pt idx="143">
                  <c:v>5.243494107404436E-2</c:v>
                </c:pt>
                <c:pt idx="144">
                  <c:v>4.9429225215163852E-2</c:v>
                </c:pt>
                <c:pt idx="145">
                  <c:v>4.6593558206116582E-2</c:v>
                </c:pt>
                <c:pt idx="146">
                  <c:v>4.3918479416768297E-2</c:v>
                </c:pt>
                <c:pt idx="147">
                  <c:v>4.1395043026949151E-2</c:v>
                </c:pt>
                <c:pt idx="148">
                  <c:v>3.9014790857949531E-2</c:v>
                </c:pt>
                <c:pt idx="149">
                  <c:v>3.6769726574428001E-2</c:v>
                </c:pt>
                <c:pt idx="150">
                  <c:v>3.4652291192502509E-2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VoK!$A$25:$A$176</c:f>
              <c:numCache>
                <c:formatCode>General</c:formatCode>
                <c:ptCount val="15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2.5</c:v>
                </c:pt>
              </c:numCache>
            </c:numRef>
          </c:xVal>
          <c:yVal>
            <c:numRef>
              <c:f>VoK!$C$25:$C$176</c:f>
              <c:numCache>
                <c:formatCode>General</c:formatCode>
                <c:ptCount val="152"/>
                <c:pt idx="151">
                  <c:v>11.478366550881058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VoK!$A$177:$A$180</c:f>
              <c:numCache>
                <c:formatCode>General</c:formatCode>
                <c:ptCount val="4"/>
                <c:pt idx="0">
                  <c:v>0</c:v>
                </c:pt>
                <c:pt idx="1">
                  <c:v>6.9869491313941774</c:v>
                </c:pt>
                <c:pt idx="2">
                  <c:v>0</c:v>
                </c:pt>
                <c:pt idx="3">
                  <c:v>6.0714285649996595</c:v>
                </c:pt>
              </c:numCache>
            </c:numRef>
          </c:xVal>
          <c:yVal>
            <c:numRef>
              <c:f>VoK!$B$177:$B$180</c:f>
              <c:numCache>
                <c:formatCode>General</c:formatCode>
                <c:ptCount val="4"/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VoK!$A$177:$A$180</c:f>
              <c:numCache>
                <c:formatCode>General</c:formatCode>
                <c:ptCount val="4"/>
                <c:pt idx="0">
                  <c:v>0</c:v>
                </c:pt>
                <c:pt idx="1">
                  <c:v>6.9869491313941774</c:v>
                </c:pt>
                <c:pt idx="2">
                  <c:v>0</c:v>
                </c:pt>
                <c:pt idx="3">
                  <c:v>6.0714285649996595</c:v>
                </c:pt>
              </c:numCache>
            </c:numRef>
          </c:xVal>
          <c:yVal>
            <c:numRef>
              <c:f>VoK!$C$177:$C$180</c:f>
              <c:numCache>
                <c:formatCode>General</c:formatCode>
                <c:ptCount val="4"/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VoK!$A$177:$A$180</c:f>
              <c:numCache>
                <c:formatCode>General</c:formatCode>
                <c:ptCount val="4"/>
                <c:pt idx="0">
                  <c:v>0</c:v>
                </c:pt>
                <c:pt idx="1">
                  <c:v>6.9869491313941774</c:v>
                </c:pt>
                <c:pt idx="2">
                  <c:v>0</c:v>
                </c:pt>
                <c:pt idx="3">
                  <c:v>6.0714285649996595</c:v>
                </c:pt>
              </c:numCache>
            </c:numRef>
          </c:xVal>
          <c:yVal>
            <c:numRef>
              <c:f>VoK!$D$177:$D$180</c:f>
              <c:numCache>
                <c:formatCode>General</c:formatCode>
                <c:ptCount val="4"/>
                <c:pt idx="0">
                  <c:v>0</c:v>
                </c:pt>
                <c:pt idx="1">
                  <c:v>32.079505314969289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VoK!$A$177:$A$180</c:f>
              <c:numCache>
                <c:formatCode>General</c:formatCode>
                <c:ptCount val="4"/>
                <c:pt idx="0">
                  <c:v>0</c:v>
                </c:pt>
                <c:pt idx="1">
                  <c:v>6.9869491313941774</c:v>
                </c:pt>
                <c:pt idx="2">
                  <c:v>0</c:v>
                </c:pt>
                <c:pt idx="3">
                  <c:v>6.0714285649996595</c:v>
                </c:pt>
              </c:numCache>
            </c:numRef>
          </c:xVal>
          <c:yVal>
            <c:numRef>
              <c:f>VoK!$E$177:$E$180</c:f>
              <c:numCache>
                <c:formatCode>General</c:formatCode>
                <c:ptCount val="4"/>
                <c:pt idx="2">
                  <c:v>19.513223136497796</c:v>
                </c:pt>
                <c:pt idx="3">
                  <c:v>2.0662152877548579E-8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VoK!$B$181</c:f>
              <c:strCache>
                <c:ptCount val="1"/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VoK!$A$25:$A$176</c:f>
              <c:numCache>
                <c:formatCode>General</c:formatCode>
                <c:ptCount val="15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2.5</c:v>
                </c:pt>
              </c:numCache>
            </c:numRef>
          </c:xVal>
          <c:yVal>
            <c:numRef>
              <c:f>VoK!$B$182:$B$183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8"/>
          <c:order val="7"/>
          <c:tx>
            <c:strRef>
              <c:f>VoK!$C$181</c:f>
              <c:strCache>
                <c:ptCount val="1"/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VoK!$A$25:$A$176</c:f>
              <c:numCache>
                <c:formatCode>General</c:formatCode>
                <c:ptCount val="15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2.5</c:v>
                </c:pt>
              </c:numCache>
            </c:numRef>
          </c:xVal>
          <c:yVal>
            <c:numRef>
              <c:f>VoK!$C$182:$C$183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9"/>
          <c:order val="8"/>
          <c:tx>
            <c:strRef>
              <c:f>VoK!$D$181</c:f>
              <c:strCache>
                <c:ptCount val="1"/>
              </c:strCache>
            </c:strRef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  <a:prstDash val="solid"/>
              </a:ln>
            </c:spPr>
          </c:marker>
          <c:xVal>
            <c:numRef>
              <c:f>VoK!$A$25:$A$176</c:f>
              <c:numCache>
                <c:formatCode>General</c:formatCode>
                <c:ptCount val="15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2.5</c:v>
                </c:pt>
              </c:numCache>
            </c:numRef>
          </c:xVal>
          <c:yVal>
            <c:numRef>
              <c:f>VoK!$D$182:$D$183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0"/>
          <c:order val="9"/>
          <c:tx>
            <c:strRef>
              <c:f>VoK!$E$181</c:f>
              <c:strCache>
                <c:ptCount val="1"/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VoK!$A$25:$A$176</c:f>
              <c:numCache>
                <c:formatCode>General</c:formatCode>
                <c:ptCount val="15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2.5</c:v>
                </c:pt>
              </c:numCache>
            </c:numRef>
          </c:xVal>
          <c:yVal>
            <c:numRef>
              <c:f>VoK!$E$182:$E$183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1"/>
          <c:order val="10"/>
          <c:tx>
            <c:strRef>
              <c:f>VoK!$F$181</c:f>
              <c:strCache>
                <c:ptCount val="1"/>
                <c:pt idx="0">
                  <c:v>28.69591638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VoK!$A$25:$A$176</c:f>
              <c:numCache>
                <c:formatCode>General</c:formatCode>
                <c:ptCount val="15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2.5</c:v>
                </c:pt>
              </c:numCache>
            </c:numRef>
          </c:xVal>
          <c:yVal>
            <c:numRef>
              <c:f>VoK!$F$182:$F$183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6"/>
          <c:order val="11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VoK!$A$181</c:f>
              <c:numCache>
                <c:formatCode>General</c:formatCode>
                <c:ptCount val="1"/>
                <c:pt idx="0">
                  <c:v>2.5</c:v>
                </c:pt>
              </c:numCache>
            </c:numRef>
          </c:xVal>
          <c:yVal>
            <c:numRef>
              <c:f>VoK!$B$181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A6CAF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A6CAF0"/>
                </a:solidFill>
                <a:prstDash val="solid"/>
              </a:ln>
            </c:spPr>
          </c:marker>
          <c:xVal>
            <c:numRef>
              <c:f>VoK!$A$181</c:f>
              <c:numCache>
                <c:formatCode>General</c:formatCode>
                <c:ptCount val="1"/>
                <c:pt idx="0">
                  <c:v>2.5</c:v>
                </c:pt>
              </c:numCache>
            </c:numRef>
          </c:xVal>
          <c:yVal>
            <c:numRef>
              <c:f>VoK!$C$181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CC9C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9CCC"/>
                </a:solidFill>
                <a:prstDash val="solid"/>
              </a:ln>
            </c:spPr>
          </c:marker>
          <c:xVal>
            <c:numRef>
              <c:f>VoK!$A$181</c:f>
              <c:numCache>
                <c:formatCode>General</c:formatCode>
                <c:ptCount val="1"/>
                <c:pt idx="0">
                  <c:v>2.5</c:v>
                </c:pt>
              </c:numCache>
            </c:numRef>
          </c:xVal>
          <c:yVal>
            <c:numRef>
              <c:f>VoK!$D$181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xVal>
            <c:numRef>
              <c:f>VoK!$A$181</c:f>
              <c:numCache>
                <c:formatCode>General</c:formatCode>
                <c:ptCount val="1"/>
                <c:pt idx="0">
                  <c:v>2.5</c:v>
                </c:pt>
              </c:numCache>
            </c:numRef>
          </c:xVal>
          <c:yVal>
            <c:numRef>
              <c:f>VoK!$E$181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xVal>
            <c:numRef>
              <c:f>VoK!$A$181</c:f>
              <c:numCache>
                <c:formatCode>General</c:formatCode>
                <c:ptCount val="1"/>
                <c:pt idx="0">
                  <c:v>2.5</c:v>
                </c:pt>
              </c:numCache>
            </c:numRef>
          </c:xVal>
          <c:yVal>
            <c:numRef>
              <c:f>VoK!$F$181</c:f>
              <c:numCache>
                <c:formatCode>General</c:formatCode>
                <c:ptCount val="1"/>
                <c:pt idx="0">
                  <c:v>28.695916377202643</c:v>
                </c:pt>
              </c:numCache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VoK!$A$182:$A$183</c:f>
              <c:numCache>
                <c:formatCode>General</c:formatCode>
                <c:ptCount val="2"/>
                <c:pt idx="0">
                  <c:v>0</c:v>
                </c:pt>
                <c:pt idx="1">
                  <c:v>2.7947796525576711</c:v>
                </c:pt>
              </c:numCache>
            </c:numRef>
          </c:xVal>
          <c:yVal>
            <c:numRef>
              <c:f>VoK!$B$182:$B$183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VoK!$A$182:$A$183</c:f>
              <c:numCache>
                <c:formatCode>General</c:formatCode>
                <c:ptCount val="2"/>
                <c:pt idx="0">
                  <c:v>0</c:v>
                </c:pt>
                <c:pt idx="1">
                  <c:v>2.7947796525576711</c:v>
                </c:pt>
              </c:numCache>
            </c:numRef>
          </c:xVal>
          <c:yVal>
            <c:numRef>
              <c:f>VoK!$C$182:$C$183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8"/>
          <c:order val="18"/>
          <c:spPr>
            <a:ln w="12700">
              <a:solidFill>
                <a:srgbClr val="3399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xVal>
            <c:numRef>
              <c:f>VoK!$A$182:$A$183</c:f>
              <c:numCache>
                <c:formatCode>General</c:formatCode>
                <c:ptCount val="2"/>
                <c:pt idx="0">
                  <c:v>0</c:v>
                </c:pt>
                <c:pt idx="1">
                  <c:v>2.7947796525576711</c:v>
                </c:pt>
              </c:numCache>
            </c:numRef>
          </c:xVal>
          <c:yVal>
            <c:numRef>
              <c:f>VoK!$D$182:$D$183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9"/>
          <c:order val="19"/>
          <c:spPr>
            <a:ln w="12700">
              <a:solidFill>
                <a:srgbClr val="99993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  <a:prstDash val="solid"/>
              </a:ln>
            </c:spPr>
          </c:marker>
          <c:xVal>
            <c:numRef>
              <c:f>VoK!$A$182:$A$183</c:f>
              <c:numCache>
                <c:formatCode>General</c:formatCode>
                <c:ptCount val="2"/>
                <c:pt idx="0">
                  <c:v>0</c:v>
                </c:pt>
                <c:pt idx="1">
                  <c:v>2.7947796525576711</c:v>
                </c:pt>
              </c:numCache>
            </c:numRef>
          </c:xVal>
          <c:yVal>
            <c:numRef>
              <c:f>VoK!$E$182:$E$183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0"/>
          <c:order val="20"/>
          <c:spPr>
            <a:ln w="12700">
              <a:solidFill>
                <a:srgbClr val="996633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xVal>
            <c:numRef>
              <c:f>VoK!$A$182:$A$183</c:f>
              <c:numCache>
                <c:formatCode>General</c:formatCode>
                <c:ptCount val="2"/>
                <c:pt idx="0">
                  <c:v>0</c:v>
                </c:pt>
                <c:pt idx="1">
                  <c:v>2.7947796525576711</c:v>
                </c:pt>
              </c:numCache>
            </c:numRef>
          </c:xVal>
          <c:yVal>
            <c:numRef>
              <c:f>VoK!$F$182:$F$183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1"/>
          <c:order val="2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VoK!$A$182:$A$183</c:f>
              <c:numCache>
                <c:formatCode>General</c:formatCode>
                <c:ptCount val="2"/>
                <c:pt idx="0">
                  <c:v>0</c:v>
                </c:pt>
                <c:pt idx="1">
                  <c:v>2.7947796525576711</c:v>
                </c:pt>
              </c:numCache>
            </c:numRef>
          </c:xVal>
          <c:yVal>
            <c:numRef>
              <c:f>VoK!$G$182:$G$183</c:f>
              <c:numCache>
                <c:formatCode>General</c:formatCode>
                <c:ptCount val="2"/>
                <c:pt idx="0">
                  <c:v>0</c:v>
                </c:pt>
                <c:pt idx="1">
                  <c:v>32.079505314969289</c:v>
                </c:pt>
              </c:numCache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VoK!$A$184:$A$185</c:f>
              <c:numCache>
                <c:formatCode>General</c:formatCode>
                <c:ptCount val="2"/>
                <c:pt idx="0">
                  <c:v>0</c:v>
                </c:pt>
                <c:pt idx="1">
                  <c:v>11.428571416469946</c:v>
                </c:pt>
              </c:numCache>
            </c:numRef>
          </c:xVal>
          <c:yVal>
            <c:numRef>
              <c:f>VoK!$B$184:$B$185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VoK!$A$184:$A$185</c:f>
              <c:numCache>
                <c:formatCode>General</c:formatCode>
                <c:ptCount val="2"/>
                <c:pt idx="0">
                  <c:v>0</c:v>
                </c:pt>
                <c:pt idx="1">
                  <c:v>11.428571416469946</c:v>
                </c:pt>
              </c:numCache>
            </c:numRef>
          </c:xVal>
          <c:yVal>
            <c:numRef>
              <c:f>VoK!$C$184:$C$185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4"/>
          <c:order val="24"/>
          <c:spPr>
            <a:ln w="12700">
              <a:solidFill>
                <a:srgbClr val="3333CC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3333CC"/>
                </a:solidFill>
                <a:prstDash val="solid"/>
              </a:ln>
            </c:spPr>
          </c:marker>
          <c:xVal>
            <c:numRef>
              <c:f>VoK!$A$184:$A$185</c:f>
              <c:numCache>
                <c:formatCode>General</c:formatCode>
                <c:ptCount val="2"/>
                <c:pt idx="0">
                  <c:v>0</c:v>
                </c:pt>
                <c:pt idx="1">
                  <c:v>11.428571416469946</c:v>
                </c:pt>
              </c:numCache>
            </c:numRef>
          </c:xVal>
          <c:yVal>
            <c:numRef>
              <c:f>VoK!$D$184:$D$185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5"/>
          <c:order val="25"/>
          <c:spPr>
            <a:ln w="12700">
              <a:solidFill>
                <a:srgbClr val="3366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66"/>
                </a:solidFill>
                <a:prstDash val="solid"/>
              </a:ln>
            </c:spPr>
          </c:marker>
          <c:xVal>
            <c:numRef>
              <c:f>VoK!$A$184:$A$185</c:f>
              <c:numCache>
                <c:formatCode>General</c:formatCode>
                <c:ptCount val="2"/>
                <c:pt idx="0">
                  <c:v>0</c:v>
                </c:pt>
                <c:pt idx="1">
                  <c:v>11.428571416469946</c:v>
                </c:pt>
              </c:numCache>
            </c:numRef>
          </c:xVal>
          <c:yVal>
            <c:numRef>
              <c:f>VoK!$E$184:$E$185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VoK!$A$184:$A$185</c:f>
              <c:numCache>
                <c:formatCode>General</c:formatCode>
                <c:ptCount val="2"/>
                <c:pt idx="0">
                  <c:v>0</c:v>
                </c:pt>
                <c:pt idx="1">
                  <c:v>11.428571416469946</c:v>
                </c:pt>
              </c:numCache>
            </c:numRef>
          </c:xVal>
          <c:yVal>
            <c:numRef>
              <c:f>VoK!$F$184:$F$185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VoK!$A$184:$A$185</c:f>
              <c:numCache>
                <c:formatCode>General</c:formatCode>
                <c:ptCount val="2"/>
                <c:pt idx="0">
                  <c:v>0</c:v>
                </c:pt>
                <c:pt idx="1">
                  <c:v>11.428571416469946</c:v>
                </c:pt>
              </c:numCache>
            </c:numRef>
          </c:xVal>
          <c:yVal>
            <c:numRef>
              <c:f>VoK!$G$184:$G$185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28"/>
          <c:order val="2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VoK!$A$184:$A$185</c:f>
              <c:numCache>
                <c:formatCode>General</c:formatCode>
                <c:ptCount val="2"/>
                <c:pt idx="0">
                  <c:v>0</c:v>
                </c:pt>
                <c:pt idx="1">
                  <c:v>11.428571416469946</c:v>
                </c:pt>
              </c:numCache>
            </c:numRef>
          </c:xVal>
          <c:yVal>
            <c:numRef>
              <c:f>VoK!$H$184:$H$185</c:f>
              <c:numCache>
                <c:formatCode>General</c:formatCode>
                <c:ptCount val="2"/>
                <c:pt idx="0">
                  <c:v>36.73077296281938</c:v>
                </c:pt>
                <c:pt idx="1">
                  <c:v>3.8893468001788278E-8</c:v>
                </c:pt>
              </c:numCache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VoK!$A$186:$A$187</c:f>
              <c:numCache>
                <c:formatCode>General</c:formatCode>
                <c:ptCount val="2"/>
                <c:pt idx="0">
                  <c:v>0</c:v>
                </c:pt>
                <c:pt idx="1">
                  <c:v>4.2857142811762294</c:v>
                </c:pt>
              </c:numCache>
            </c:numRef>
          </c:xVal>
          <c:yVal>
            <c:numRef>
              <c:f>VoK!$B$186:$B$187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VoK!$A$186:$A$187</c:f>
              <c:numCache>
                <c:formatCode>General</c:formatCode>
                <c:ptCount val="2"/>
                <c:pt idx="0">
                  <c:v>0</c:v>
                </c:pt>
                <c:pt idx="1">
                  <c:v>4.2857142811762294</c:v>
                </c:pt>
              </c:numCache>
            </c:numRef>
          </c:xVal>
          <c:yVal>
            <c:numRef>
              <c:f>VoK!$C$186:$C$187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VoK!$A$186:$A$187</c:f>
              <c:numCache>
                <c:formatCode>General</c:formatCode>
                <c:ptCount val="2"/>
                <c:pt idx="0">
                  <c:v>0</c:v>
                </c:pt>
                <c:pt idx="1">
                  <c:v>4.2857142811762294</c:v>
                </c:pt>
              </c:numCache>
            </c:numRef>
          </c:xVal>
          <c:yVal>
            <c:numRef>
              <c:f>VoK!$D$186:$D$187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VoK!$A$186:$A$187</c:f>
              <c:numCache>
                <c:formatCode>General</c:formatCode>
                <c:ptCount val="2"/>
                <c:pt idx="0">
                  <c:v>0</c:v>
                </c:pt>
                <c:pt idx="1">
                  <c:v>4.2857142811762294</c:v>
                </c:pt>
              </c:numCache>
            </c:numRef>
          </c:xVal>
          <c:yVal>
            <c:numRef>
              <c:f>VoK!$E$186:$E$187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VoK!$A$186:$A$187</c:f>
              <c:numCache>
                <c:formatCode>General</c:formatCode>
                <c:ptCount val="2"/>
                <c:pt idx="0">
                  <c:v>0</c:v>
                </c:pt>
                <c:pt idx="1">
                  <c:v>4.2857142811762294</c:v>
                </c:pt>
              </c:numCache>
            </c:numRef>
          </c:xVal>
          <c:yVal>
            <c:numRef>
              <c:f>VoK!$F$186:$F$187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VoK!$A$186:$A$187</c:f>
              <c:numCache>
                <c:formatCode>General</c:formatCode>
                <c:ptCount val="2"/>
                <c:pt idx="0">
                  <c:v>0</c:v>
                </c:pt>
                <c:pt idx="1">
                  <c:v>4.2857142811762294</c:v>
                </c:pt>
              </c:numCache>
            </c:numRef>
          </c:xVal>
          <c:yVal>
            <c:numRef>
              <c:f>VoK!$G$186:$G$187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VoK!$A$186:$A$187</c:f>
              <c:numCache>
                <c:formatCode>General</c:formatCode>
                <c:ptCount val="2"/>
                <c:pt idx="0">
                  <c:v>0</c:v>
                </c:pt>
                <c:pt idx="1">
                  <c:v>4.2857142811762294</c:v>
                </c:pt>
              </c:numCache>
            </c:numRef>
          </c:xVal>
          <c:yVal>
            <c:numRef>
              <c:f>VoK!$H$186:$H$187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6"/>
          <c:order val="3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VoK!$A$186:$A$187</c:f>
              <c:numCache>
                <c:formatCode>General</c:formatCode>
                <c:ptCount val="2"/>
                <c:pt idx="0">
                  <c:v>0</c:v>
                </c:pt>
                <c:pt idx="1">
                  <c:v>4.2857142811762294</c:v>
                </c:pt>
              </c:numCache>
            </c:numRef>
          </c:xVal>
          <c:yVal>
            <c:numRef>
              <c:f>VoK!$I$186:$I$187</c:f>
              <c:numCache>
                <c:formatCode>General</c:formatCode>
                <c:ptCount val="2"/>
                <c:pt idx="0">
                  <c:v>27.548079722114537</c:v>
                </c:pt>
                <c:pt idx="1">
                  <c:v>2.9170102777698048E-8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12768"/>
        <c:axId val="172514688"/>
      </c:scatterChart>
      <c:valAx>
        <c:axId val="172512768"/>
        <c:scaling>
          <c:orientation val="minMax"/>
          <c:max val="15"/>
          <c:min val="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1"/>
                  <a:t>Solids Concentration  (g/L)</a:t>
                </a:r>
              </a:p>
            </c:rich>
          </c:tx>
          <c:layout>
            <c:manualLayout>
              <c:xMode val="edge"/>
              <c:yMode val="edge"/>
              <c:x val="0.46204977667265273"/>
              <c:y val="0.835410104986876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514688"/>
        <c:crosses val="autoZero"/>
        <c:crossBetween val="midCat"/>
        <c:majorUnit val="5"/>
        <c:minorUnit val="1"/>
      </c:valAx>
      <c:valAx>
        <c:axId val="172514688"/>
        <c:scaling>
          <c:orientation val="minMax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VoK!$B$24</c:f>
              <c:strCache>
                <c:ptCount val="1"/>
                <c:pt idx="0">
                  <c:v>Solids Flux  (lb/ft2d)</c:v>
                </c:pt>
              </c:strCache>
            </c:strRef>
          </c:tx>
          <c:layout>
            <c:manualLayout>
              <c:xMode val="edge"/>
              <c:yMode val="edge"/>
              <c:x val="0.11479048671547636"/>
              <c:y val="0.3086311606882473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5127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1" r="1" t="1" header="0.5" footer="0.5"/>
    <c:pageSetup orientation="landscape" horizontalDpi="-4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367578</xdr:colOff>
      <xdr:row>2</xdr:row>
      <xdr:rowOff>165602</xdr:rowOff>
    </xdr:from>
    <xdr:to>
      <xdr:col>18</xdr:col>
      <xdr:colOff>523900</xdr:colOff>
      <xdr:row>23</xdr:row>
      <xdr:rowOff>245164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14967</xdr:colOff>
      <xdr:row>52</xdr:row>
      <xdr:rowOff>156603</xdr:rowOff>
    </xdr:from>
    <xdr:to>
      <xdr:col>13</xdr:col>
      <xdr:colOff>439368</xdr:colOff>
      <xdr:row>55</xdr:row>
      <xdr:rowOff>92717</xdr:rowOff>
    </xdr:to>
    <xdr:pic>
      <xdr:nvPicPr>
        <xdr:cNvPr id="7" name="Picture 6" descr="CodeCogs:emf:ref:C2:R63:L0:Arial@16@offline@19.5439:=:::eqn:matrix:AB8A5F17A5DFAE8DD55754EA65D5CF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2393" y="13064379"/>
          <a:ext cx="6650670" cy="4193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1"/>
        </a:solidFill>
        <a:ln w="3175" cap="flat" cmpd="sng" algn="ctr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  <xdr:twoCellAnchor editAs="oneCell">
    <xdr:from>
      <xdr:col>3</xdr:col>
      <xdr:colOff>14967</xdr:colOff>
      <xdr:row>55</xdr:row>
      <xdr:rowOff>158859</xdr:rowOff>
    </xdr:from>
    <xdr:to>
      <xdr:col>18</xdr:col>
      <xdr:colOff>134493</xdr:colOff>
      <xdr:row>58</xdr:row>
      <xdr:rowOff>84685</xdr:rowOff>
    </xdr:to>
    <xdr:pic>
      <xdr:nvPicPr>
        <xdr:cNvPr id="8" name="Picture 7" descr="CodeCogs:emf:name:C2:R66:L0:Arial@16@offline@19.3664:=:::eqn:matrix:5EF1C5FE63E1B16400A56960F508B6BD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2393" y="13549888"/>
          <a:ext cx="9392394" cy="4090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1"/>
        </a:solidFill>
        <a:ln w="3175" cap="flat" cmpd="sng" algn="ctr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  <xdr:twoCellAnchor editAs="oneCell">
    <xdr:from>
      <xdr:col>3</xdr:col>
      <xdr:colOff>14967</xdr:colOff>
      <xdr:row>59</xdr:row>
      <xdr:rowOff>64159</xdr:rowOff>
    </xdr:from>
    <xdr:to>
      <xdr:col>15</xdr:col>
      <xdr:colOff>230793</xdr:colOff>
      <xdr:row>61</xdr:row>
      <xdr:rowOff>90169</xdr:rowOff>
    </xdr:to>
    <xdr:pic>
      <xdr:nvPicPr>
        <xdr:cNvPr id="10" name="Picture 9" descr="CodeCogs:emf:value:C2:R69:L0:Arial@16@offline@14.07295:=:::eqn:matrix:7E34616DB9F50C7E2305F9178FCE4EFE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2393" y="14099527"/>
          <a:ext cx="7660735" cy="3481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1"/>
        </a:solidFill>
        <a:ln w="3175" cap="flat" cmpd="sng" algn="ctr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  <xdr:twoCellAnchor>
    <xdr:from>
      <xdr:col>1</xdr:col>
      <xdr:colOff>630330</xdr:colOff>
      <xdr:row>54</xdr:row>
      <xdr:rowOff>77040</xdr:rowOff>
    </xdr:from>
    <xdr:to>
      <xdr:col>2</xdr:col>
      <xdr:colOff>637334</xdr:colOff>
      <xdr:row>54</xdr:row>
      <xdr:rowOff>77040</xdr:rowOff>
    </xdr:to>
    <xdr:cxnSp macro="">
      <xdr:nvCxnSpPr>
        <xdr:cNvPr id="12" name="Straight Arrow Connector 11"/>
        <xdr:cNvCxnSpPr/>
      </xdr:nvCxnSpPr>
      <xdr:spPr bwMode="auto">
        <a:xfrm>
          <a:off x="1975036" y="13306985"/>
          <a:ext cx="721379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stealth" w="lg" len="lg"/>
        </a:ln>
        <a:effectLst/>
      </xdr:spPr>
    </xdr:cxnSp>
    <xdr:clientData/>
  </xdr:twoCellAnchor>
  <xdr:twoCellAnchor>
    <xdr:from>
      <xdr:col>1</xdr:col>
      <xdr:colOff>630330</xdr:colOff>
      <xdr:row>57</xdr:row>
      <xdr:rowOff>77040</xdr:rowOff>
    </xdr:from>
    <xdr:to>
      <xdr:col>2</xdr:col>
      <xdr:colOff>637334</xdr:colOff>
      <xdr:row>57</xdr:row>
      <xdr:rowOff>77040</xdr:rowOff>
    </xdr:to>
    <xdr:cxnSp macro="">
      <xdr:nvCxnSpPr>
        <xdr:cNvPr id="14" name="Straight Arrow Connector 13"/>
        <xdr:cNvCxnSpPr/>
      </xdr:nvCxnSpPr>
      <xdr:spPr bwMode="auto">
        <a:xfrm>
          <a:off x="1975036" y="13790239"/>
          <a:ext cx="721379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stealth" w="lg" len="lg"/>
        </a:ln>
        <a:effectLst/>
      </xdr:spPr>
    </xdr:cxnSp>
    <xdr:clientData/>
  </xdr:twoCellAnchor>
  <xdr:twoCellAnchor>
    <xdr:from>
      <xdr:col>1</xdr:col>
      <xdr:colOff>630330</xdr:colOff>
      <xdr:row>60</xdr:row>
      <xdr:rowOff>98052</xdr:rowOff>
    </xdr:from>
    <xdr:to>
      <xdr:col>2</xdr:col>
      <xdr:colOff>637334</xdr:colOff>
      <xdr:row>60</xdr:row>
      <xdr:rowOff>98052</xdr:rowOff>
    </xdr:to>
    <xdr:cxnSp macro="">
      <xdr:nvCxnSpPr>
        <xdr:cNvPr id="15" name="Straight Arrow Connector 14"/>
        <xdr:cNvCxnSpPr/>
      </xdr:nvCxnSpPr>
      <xdr:spPr bwMode="auto">
        <a:xfrm>
          <a:off x="1975036" y="14294504"/>
          <a:ext cx="721379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stealth" w="lg" len="lg"/>
        </a:ln>
        <a:effectLst/>
      </xdr:spPr>
    </xdr:cxnSp>
    <xdr:clientData/>
  </xdr:twoCellAnchor>
  <xdr:twoCellAnchor>
    <xdr:from>
      <xdr:col>3</xdr:col>
      <xdr:colOff>7004</xdr:colOff>
      <xdr:row>63</xdr:row>
      <xdr:rowOff>14007</xdr:rowOff>
    </xdr:from>
    <xdr:to>
      <xdr:col>13</xdr:col>
      <xdr:colOff>28015</xdr:colOff>
      <xdr:row>67</xdr:row>
      <xdr:rowOff>77041</xdr:rowOff>
    </xdr:to>
    <xdr:sp macro="" textlink="">
      <xdr:nvSpPr>
        <xdr:cNvPr id="13" name="TextBox 12"/>
        <xdr:cNvSpPr txBox="1"/>
      </xdr:nvSpPr>
      <xdr:spPr>
        <a:xfrm>
          <a:off x="2724430" y="13412040"/>
          <a:ext cx="6247280" cy="7073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 have used fxRender  (www.codecogs.com/fxrender</a:t>
          </a:r>
          <a:r>
            <a:rPr lang="en-US" sz="1100" baseline="0"/>
            <a:t>) </a:t>
          </a:r>
          <a:r>
            <a:rPr lang="en-US" sz="1100"/>
            <a:t>to show </a:t>
          </a:r>
          <a:r>
            <a:rPr lang="en-US" sz="1100" baseline="0"/>
            <a:t>how the solids flux is calculated.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123825</xdr:colOff>
      <xdr:row>2</xdr:row>
      <xdr:rowOff>0</xdr:rowOff>
    </xdr:from>
    <xdr:to>
      <xdr:col>22</xdr:col>
      <xdr:colOff>47625</xdr:colOff>
      <xdr:row>7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485775"/>
          <a:ext cx="6019800" cy="1504950"/>
        </a:xfrm>
        <a:prstGeom prst="rect">
          <a:avLst/>
        </a:prstGeom>
      </xdr:spPr>
    </xdr:pic>
    <xdr:clientData/>
  </xdr:twoCellAnchor>
  <xdr:twoCellAnchor editAs="oneCell">
    <xdr:from>
      <xdr:col>4</xdr:col>
      <xdr:colOff>107952</xdr:colOff>
      <xdr:row>7</xdr:row>
      <xdr:rowOff>226101</xdr:rowOff>
    </xdr:from>
    <xdr:to>
      <xdr:col>10</xdr:col>
      <xdr:colOff>195009</xdr:colOff>
      <xdr:row>9</xdr:row>
      <xdr:rowOff>54291</xdr:rowOff>
    </xdr:to>
    <xdr:pic>
      <xdr:nvPicPr>
        <xdr:cNvPr id="9" name="Picture 8" descr="CodeCogs:emf:name:C3:R9:L0:Arial@16@offline@17.82169:=:::eqn:matrix:B79367EBA68B607BDCDE9399B33EE9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4552" y="2045376"/>
          <a:ext cx="3744657" cy="456840"/>
        </a:xfrm>
        <a:prstGeom prst="rect">
          <a:avLst/>
        </a:prstGeom>
        <a:solidFill>
          <a:srgbClr val="DCE6F1"/>
        </a:solidFill>
        <a:ln w="3175" cap="flat" cmpd="sng" algn="ctr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  <xdr:twoCellAnchor editAs="oneCell">
    <xdr:from>
      <xdr:col>4</xdr:col>
      <xdr:colOff>127000</xdr:colOff>
      <xdr:row>2</xdr:row>
      <xdr:rowOff>242764</xdr:rowOff>
    </xdr:from>
    <xdr:to>
      <xdr:col>8</xdr:col>
      <xdr:colOff>214657</xdr:colOff>
      <xdr:row>4</xdr:row>
      <xdr:rowOff>70954</xdr:rowOff>
    </xdr:to>
    <xdr:pic>
      <xdr:nvPicPr>
        <xdr:cNvPr id="10" name="Picture 9" descr="CodeCogs:emf:name:C3:R4:L0:Arial@16@offline@18.00964:=:::eqn:matrix:4E48C73864F7F43CEB579928E6A27F6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3600" y="728539"/>
          <a:ext cx="2526057" cy="456840"/>
        </a:xfrm>
        <a:prstGeom prst="rect">
          <a:avLst/>
        </a:prstGeom>
        <a:solidFill>
          <a:srgbClr val="DCE6F1"/>
        </a:solidFill>
        <a:ln w="3175" cap="flat" cmpd="sng" algn="ctr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13136</xdr:colOff>
      <xdr:row>5</xdr:row>
      <xdr:rowOff>19705</xdr:rowOff>
    </xdr:from>
    <xdr:to>
      <xdr:col>19</xdr:col>
      <xdr:colOff>165536</xdr:colOff>
      <xdr:row>37</xdr:row>
      <xdr:rowOff>86380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204683</xdr:colOff>
      <xdr:row>4</xdr:row>
      <xdr:rowOff>168962</xdr:rowOff>
    </xdr:from>
    <xdr:to>
      <xdr:col>18</xdr:col>
      <xdr:colOff>310701</xdr:colOff>
      <xdr:row>37</xdr:row>
      <xdr:rowOff>6623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5</xdr:row>
      <xdr:rowOff>28574</xdr:rowOff>
    </xdr:from>
    <xdr:to>
      <xdr:col>19</xdr:col>
      <xdr:colOff>142875</xdr:colOff>
      <xdr:row>37</xdr:row>
      <xdr:rowOff>123824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8</xdr:row>
      <xdr:rowOff>0</xdr:rowOff>
    </xdr:from>
    <xdr:to>
      <xdr:col>23</xdr:col>
      <xdr:colOff>447675</xdr:colOff>
      <xdr:row>36</xdr:row>
      <xdr:rowOff>57150</xdr:rowOff>
    </xdr:to>
    <xdr:graphicFrame macro="">
      <xdr:nvGraphicFramePr>
        <xdr:cNvPr id="9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0.02002</cdr:x>
      <cdr:y>0.93309</cdr:y>
    </cdr:from>
    <cdr:to>
      <cdr:x>0.24043</cdr:x>
      <cdr:y>0.98015</cdr:y>
    </cdr:to>
    <cdr:sp macro="" textlink="">
      <cdr:nvSpPr>
        <cdr:cNvPr id="1024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35" y="2387835"/>
          <a:ext cx="673227" cy="12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400" b="0" i="1" u="none" strike="noStrike" baseline="0">
              <a:solidFill>
                <a:srgbClr val="000000"/>
              </a:solidFill>
              <a:latin typeface="Arial"/>
              <a:cs typeface="Arial"/>
            </a:rPr>
            <a:t>EJWahlberg, April 1996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zoomScaleSheetLayoutView="160" workbookViewId="0">
      <selection activeCell="M18" sqref="M18"/>
    </sheetView>
  </sheetViews>
  <sheetFormatPr defaultRowHeight="12.75" x14ac:dyDescent="0.2"/>
  <cols>
    <col min="1" max="1" width="8.85546875" customWidth="1"/>
  </cols>
  <sheetData>
    <row r="1" spans="1:10" ht="15" x14ac:dyDescent="0.2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x14ac:dyDescent="0.2">
      <c r="A2" s="47" t="s">
        <v>1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5" x14ac:dyDescent="0.2">
      <c r="A3" s="43"/>
      <c r="B3" s="29"/>
      <c r="C3" s="29"/>
      <c r="D3" s="29"/>
      <c r="E3" s="29"/>
      <c r="F3" s="29"/>
      <c r="G3" s="29"/>
      <c r="H3" s="29"/>
      <c r="I3" s="29"/>
      <c r="J3" s="30"/>
    </row>
    <row r="4" spans="1:10" ht="15.75" x14ac:dyDescent="0.25">
      <c r="A4" s="35" t="s">
        <v>2</v>
      </c>
      <c r="B4" s="36"/>
      <c r="C4" s="36"/>
      <c r="D4" s="36"/>
      <c r="E4" s="36"/>
      <c r="F4" s="36"/>
      <c r="G4" s="36"/>
      <c r="H4" s="36"/>
      <c r="I4" s="36"/>
      <c r="J4" s="37"/>
    </row>
    <row r="5" spans="1:10" ht="15.75" x14ac:dyDescent="0.25">
      <c r="A5" s="35" t="s">
        <v>3</v>
      </c>
      <c r="B5" s="36"/>
      <c r="C5" s="36"/>
      <c r="D5" s="36"/>
      <c r="E5" s="36"/>
      <c r="F5" s="36"/>
      <c r="G5" s="36"/>
      <c r="H5" s="36"/>
      <c r="I5" s="36"/>
      <c r="J5" s="37"/>
    </row>
    <row r="6" spans="1:10" ht="18.75" x14ac:dyDescent="0.35">
      <c r="A6" s="35" t="s">
        <v>101</v>
      </c>
      <c r="B6" s="36"/>
      <c r="C6" s="36"/>
      <c r="D6" s="36"/>
      <c r="E6" s="36"/>
      <c r="F6" s="36"/>
      <c r="G6" s="36"/>
      <c r="H6" s="36"/>
      <c r="I6" s="36"/>
      <c r="J6" s="37"/>
    </row>
    <row r="7" spans="1:10" ht="15.75" x14ac:dyDescent="0.25">
      <c r="A7" s="35" t="s">
        <v>4</v>
      </c>
      <c r="B7" s="36"/>
      <c r="C7" s="36"/>
      <c r="D7" s="36"/>
      <c r="E7" s="36"/>
      <c r="F7" s="36"/>
      <c r="G7" s="36"/>
      <c r="H7" s="36"/>
      <c r="I7" s="36"/>
      <c r="J7" s="37"/>
    </row>
    <row r="8" spans="1:10" ht="15.75" x14ac:dyDescent="0.25">
      <c r="A8" s="35" t="s">
        <v>5</v>
      </c>
      <c r="B8" s="36"/>
      <c r="C8" s="36"/>
      <c r="D8" s="36"/>
      <c r="E8" s="36"/>
      <c r="F8" s="36"/>
      <c r="G8" s="36"/>
      <c r="H8" s="36"/>
      <c r="I8" s="36"/>
      <c r="J8" s="37"/>
    </row>
    <row r="9" spans="1:10" ht="15.75" x14ac:dyDescent="0.25">
      <c r="A9" s="35" t="s">
        <v>6</v>
      </c>
      <c r="B9" s="36"/>
      <c r="C9" s="36"/>
      <c r="D9" s="36"/>
      <c r="E9" s="36"/>
      <c r="F9" s="36"/>
      <c r="G9" s="36"/>
      <c r="H9" s="36"/>
      <c r="I9" s="36"/>
      <c r="J9" s="37"/>
    </row>
    <row r="10" spans="1:10" ht="15.75" x14ac:dyDescent="0.25">
      <c r="A10" s="35" t="s">
        <v>7</v>
      </c>
      <c r="B10" s="36"/>
      <c r="C10" s="36"/>
      <c r="D10" s="36"/>
      <c r="E10" s="36"/>
      <c r="F10" s="36"/>
      <c r="G10" s="36"/>
      <c r="H10" s="36"/>
      <c r="I10" s="36"/>
      <c r="J10" s="37"/>
    </row>
    <row r="11" spans="1:10" ht="15.75" x14ac:dyDescent="0.25">
      <c r="A11" s="35" t="s">
        <v>8</v>
      </c>
      <c r="B11" s="36"/>
      <c r="C11" s="36"/>
      <c r="D11" s="36"/>
      <c r="E11" s="36"/>
      <c r="F11" s="36"/>
      <c r="G11" s="36"/>
      <c r="H11" s="36"/>
      <c r="I11" s="36"/>
      <c r="J11" s="37"/>
    </row>
    <row r="12" spans="1:10" ht="15.75" x14ac:dyDescent="0.25">
      <c r="A12" s="35" t="s">
        <v>9</v>
      </c>
      <c r="B12" s="36"/>
      <c r="C12" s="36"/>
      <c r="D12" s="36"/>
      <c r="E12" s="36"/>
      <c r="F12" s="36"/>
      <c r="G12" s="36"/>
      <c r="H12" s="36"/>
      <c r="I12" s="36"/>
      <c r="J12" s="37"/>
    </row>
    <row r="13" spans="1:10" ht="15.75" x14ac:dyDescent="0.25">
      <c r="A13" s="35" t="s">
        <v>10</v>
      </c>
      <c r="B13" s="36"/>
      <c r="C13" s="36"/>
      <c r="D13" s="36"/>
      <c r="E13" s="36"/>
      <c r="F13" s="36"/>
      <c r="G13" s="36"/>
      <c r="H13" s="36"/>
      <c r="I13" s="36"/>
      <c r="J13" s="37"/>
    </row>
    <row r="14" spans="1:10" x14ac:dyDescent="0.2">
      <c r="A14" s="28"/>
      <c r="B14" s="29"/>
      <c r="C14" s="29"/>
      <c r="D14" s="29"/>
      <c r="E14" s="29"/>
      <c r="F14" s="29"/>
      <c r="G14" s="29"/>
      <c r="H14" s="29"/>
      <c r="I14" s="29"/>
      <c r="J14" s="30"/>
    </row>
    <row r="15" spans="1:10" ht="15.75" x14ac:dyDescent="0.25">
      <c r="A15" s="35" t="s">
        <v>11</v>
      </c>
      <c r="B15" s="36"/>
      <c r="C15" s="36"/>
      <c r="D15" s="36"/>
      <c r="E15" s="36"/>
      <c r="F15" s="36"/>
      <c r="G15" s="36"/>
      <c r="H15" s="36"/>
      <c r="I15" s="36"/>
      <c r="J15" s="37"/>
    </row>
    <row r="16" spans="1:10" ht="15.75" x14ac:dyDescent="0.25">
      <c r="A16" s="35" t="s">
        <v>12</v>
      </c>
      <c r="B16" s="36"/>
      <c r="C16" s="36"/>
      <c r="D16" s="36"/>
      <c r="E16" s="36"/>
      <c r="F16" s="36"/>
      <c r="G16" s="36"/>
      <c r="H16" s="36"/>
      <c r="I16" s="36"/>
      <c r="J16" s="37"/>
    </row>
    <row r="17" spans="1:10" ht="15.75" x14ac:dyDescent="0.25">
      <c r="A17" s="35" t="s">
        <v>13</v>
      </c>
      <c r="B17" s="36"/>
      <c r="C17" s="36"/>
      <c r="D17" s="36"/>
      <c r="E17" s="36"/>
      <c r="F17" s="36"/>
      <c r="G17" s="36"/>
      <c r="H17" s="36"/>
      <c r="I17" s="36"/>
      <c r="J17" s="37"/>
    </row>
    <row r="18" spans="1:10" ht="15" x14ac:dyDescent="0.2">
      <c r="A18" s="25"/>
      <c r="B18" s="26" t="s">
        <v>14</v>
      </c>
      <c r="C18" s="26"/>
      <c r="D18" s="26"/>
      <c r="E18" s="26"/>
      <c r="F18" s="26"/>
      <c r="G18" s="26"/>
      <c r="H18" s="26"/>
      <c r="I18" s="26"/>
      <c r="J18" s="27"/>
    </row>
    <row r="19" spans="1:10" ht="15.75" x14ac:dyDescent="0.25">
      <c r="A19" s="35" t="s">
        <v>15</v>
      </c>
      <c r="B19" s="36"/>
      <c r="C19" s="36"/>
      <c r="D19" s="36"/>
      <c r="E19" s="36"/>
      <c r="F19" s="36"/>
      <c r="G19" s="36"/>
      <c r="H19" s="36"/>
      <c r="I19" s="36"/>
      <c r="J19" s="37"/>
    </row>
    <row r="20" spans="1:10" ht="15.75" x14ac:dyDescent="0.25">
      <c r="A20" s="35" t="s">
        <v>16</v>
      </c>
      <c r="B20" s="36"/>
      <c r="C20" s="36"/>
      <c r="D20" s="36"/>
      <c r="E20" s="36"/>
      <c r="F20" s="36"/>
      <c r="G20" s="36"/>
      <c r="H20" s="36"/>
      <c r="I20" s="36"/>
      <c r="J20" s="37"/>
    </row>
    <row r="21" spans="1:10" ht="15" x14ac:dyDescent="0.2">
      <c r="A21" s="31"/>
      <c r="B21" s="29"/>
      <c r="C21" s="29"/>
      <c r="D21" s="29"/>
      <c r="E21" s="29"/>
      <c r="F21" s="29"/>
      <c r="G21" s="29"/>
      <c r="H21" s="29"/>
      <c r="I21" s="29"/>
      <c r="J21" s="30"/>
    </row>
    <row r="22" spans="1:10" ht="15.75" x14ac:dyDescent="0.25">
      <c r="A22" s="35" t="s">
        <v>17</v>
      </c>
      <c r="B22" s="36"/>
      <c r="C22" s="36"/>
      <c r="D22" s="36"/>
      <c r="E22" s="36"/>
      <c r="F22" s="36"/>
      <c r="G22" s="36"/>
      <c r="H22" s="36"/>
      <c r="I22" s="36"/>
      <c r="J22" s="37"/>
    </row>
    <row r="23" spans="1:10" ht="15.75" x14ac:dyDescent="0.25">
      <c r="A23" s="35" t="s">
        <v>18</v>
      </c>
      <c r="B23" s="36"/>
      <c r="C23" s="36"/>
      <c r="D23" s="36"/>
      <c r="E23" s="36"/>
      <c r="F23" s="36"/>
      <c r="G23" s="36"/>
      <c r="H23" s="36"/>
      <c r="I23" s="36"/>
      <c r="J23" s="37"/>
    </row>
    <row r="24" spans="1:10" ht="15.75" x14ac:dyDescent="0.25">
      <c r="A24" s="35" t="s">
        <v>19</v>
      </c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15.75" x14ac:dyDescent="0.25">
      <c r="A25" s="35" t="s">
        <v>20</v>
      </c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5.75" x14ac:dyDescent="0.25">
      <c r="A26" s="35" t="s">
        <v>21</v>
      </c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15.75" x14ac:dyDescent="0.25">
      <c r="A27" s="35" t="s">
        <v>22</v>
      </c>
      <c r="B27" s="36"/>
      <c r="C27" s="36"/>
      <c r="D27" s="36"/>
      <c r="E27" s="36"/>
      <c r="F27" s="36"/>
      <c r="G27" s="36"/>
      <c r="H27" s="36"/>
      <c r="I27" s="36"/>
      <c r="J27" s="37"/>
    </row>
    <row r="28" spans="1:10" x14ac:dyDescent="0.2">
      <c r="A28" s="28"/>
      <c r="B28" s="29"/>
      <c r="C28" s="29"/>
      <c r="D28" s="29"/>
      <c r="E28" s="29"/>
      <c r="F28" s="29"/>
      <c r="G28" s="29"/>
      <c r="H28" s="29"/>
      <c r="I28" s="29"/>
      <c r="J28" s="30"/>
    </row>
    <row r="29" spans="1:10" ht="15.75" x14ac:dyDescent="0.25">
      <c r="A29" s="35" t="s">
        <v>23</v>
      </c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5.75" x14ac:dyDescent="0.25">
      <c r="A30" s="35" t="s">
        <v>24</v>
      </c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5.75" x14ac:dyDescent="0.25">
      <c r="A31" s="35" t="s">
        <v>25</v>
      </c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.75" x14ac:dyDescent="0.25">
      <c r="A32" s="35" t="s">
        <v>26</v>
      </c>
      <c r="B32" s="36"/>
      <c r="C32" s="36"/>
      <c r="D32" s="36"/>
      <c r="E32" s="36"/>
      <c r="F32" s="36"/>
      <c r="G32" s="36"/>
      <c r="H32" s="36"/>
      <c r="I32" s="36"/>
      <c r="J32" s="37"/>
    </row>
    <row r="33" spans="1:10" ht="15.75" x14ac:dyDescent="0.25">
      <c r="A33" s="35" t="s">
        <v>27</v>
      </c>
      <c r="B33" s="36"/>
      <c r="C33" s="36"/>
      <c r="D33" s="36"/>
      <c r="E33" s="36"/>
      <c r="F33" s="36"/>
      <c r="G33" s="36"/>
      <c r="H33" s="36"/>
      <c r="I33" s="36"/>
      <c r="J33" s="37"/>
    </row>
    <row r="34" spans="1:10" ht="15.75" x14ac:dyDescent="0.25">
      <c r="A34" s="35" t="s">
        <v>28</v>
      </c>
      <c r="B34" s="36"/>
      <c r="C34" s="36"/>
      <c r="D34" s="36"/>
      <c r="E34" s="36"/>
      <c r="F34" s="36"/>
      <c r="G34" s="36"/>
      <c r="H34" s="36"/>
      <c r="I34" s="36"/>
      <c r="J34" s="37"/>
    </row>
    <row r="35" spans="1:10" ht="15" x14ac:dyDescent="0.2">
      <c r="A35" s="31"/>
      <c r="B35" s="29"/>
      <c r="C35" s="29"/>
      <c r="D35" s="29"/>
      <c r="E35" s="29"/>
      <c r="F35" s="29"/>
      <c r="G35" s="29"/>
      <c r="H35" s="29"/>
      <c r="I35" s="29"/>
      <c r="J35" s="30"/>
    </row>
    <row r="36" spans="1:10" ht="15.75" x14ac:dyDescent="0.25">
      <c r="A36" s="35" t="s">
        <v>29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0" ht="15.75" x14ac:dyDescent="0.25">
      <c r="A37" s="35" t="s">
        <v>30</v>
      </c>
      <c r="B37" s="36"/>
      <c r="C37" s="36"/>
      <c r="D37" s="36"/>
      <c r="E37" s="36"/>
      <c r="F37" s="36"/>
      <c r="G37" s="36"/>
      <c r="H37" s="36"/>
      <c r="I37" s="36"/>
      <c r="J37" s="37"/>
    </row>
    <row r="38" spans="1:10" ht="15.75" x14ac:dyDescent="0.25">
      <c r="A38" s="35" t="s">
        <v>31</v>
      </c>
      <c r="B38" s="36"/>
      <c r="C38" s="36"/>
      <c r="D38" s="36"/>
      <c r="E38" s="36"/>
      <c r="F38" s="36"/>
      <c r="G38" s="36"/>
      <c r="H38" s="36"/>
      <c r="I38" s="36"/>
      <c r="J38" s="37"/>
    </row>
    <row r="39" spans="1:10" ht="15.75" x14ac:dyDescent="0.25">
      <c r="A39" s="35" t="s">
        <v>32</v>
      </c>
      <c r="B39" s="36"/>
      <c r="C39" s="36"/>
      <c r="D39" s="36"/>
      <c r="E39" s="36"/>
      <c r="F39" s="36"/>
      <c r="G39" s="36"/>
      <c r="H39" s="36"/>
      <c r="I39" s="36"/>
      <c r="J39" s="37"/>
    </row>
    <row r="40" spans="1:10" ht="15.75" x14ac:dyDescent="0.25">
      <c r="A40" s="35" t="s">
        <v>33</v>
      </c>
      <c r="B40" s="36"/>
      <c r="C40" s="36"/>
      <c r="D40" s="36"/>
      <c r="E40" s="36"/>
      <c r="F40" s="36"/>
      <c r="G40" s="36"/>
      <c r="H40" s="36"/>
      <c r="I40" s="36"/>
      <c r="J40" s="37"/>
    </row>
    <row r="41" spans="1:10" ht="15" x14ac:dyDescent="0.2">
      <c r="A41" s="31"/>
      <c r="B41" s="29"/>
      <c r="C41" s="29"/>
      <c r="D41" s="29"/>
      <c r="E41" s="29"/>
      <c r="F41" s="29"/>
      <c r="G41" s="29"/>
      <c r="H41" s="29"/>
      <c r="I41" s="29"/>
      <c r="J41" s="30"/>
    </row>
    <row r="42" spans="1:10" ht="15.75" x14ac:dyDescent="0.25">
      <c r="A42" s="35" t="s">
        <v>34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ht="15.75" x14ac:dyDescent="0.25">
      <c r="A43" s="35" t="s">
        <v>35</v>
      </c>
      <c r="B43" s="36"/>
      <c r="C43" s="36"/>
      <c r="D43" s="36"/>
      <c r="E43" s="36"/>
      <c r="F43" s="36"/>
      <c r="G43" s="36"/>
      <c r="H43" s="36"/>
      <c r="I43" s="36"/>
      <c r="J43" s="37"/>
    </row>
    <row r="44" spans="1:10" ht="15.75" x14ac:dyDescent="0.25">
      <c r="A44" s="35" t="s">
        <v>36</v>
      </c>
      <c r="B44" s="36"/>
      <c r="C44" s="36"/>
      <c r="D44" s="36"/>
      <c r="E44" s="36"/>
      <c r="F44" s="36"/>
      <c r="G44" s="36"/>
      <c r="H44" s="36"/>
      <c r="I44" s="36"/>
      <c r="J44" s="37"/>
    </row>
    <row r="45" spans="1:10" ht="15.75" x14ac:dyDescent="0.25">
      <c r="A45" s="35" t="s">
        <v>37</v>
      </c>
      <c r="B45" s="36"/>
      <c r="C45" s="36"/>
      <c r="D45" s="36"/>
      <c r="E45" s="36"/>
      <c r="F45" s="36"/>
      <c r="G45" s="36"/>
      <c r="H45" s="36"/>
      <c r="I45" s="36"/>
      <c r="J45" s="37"/>
    </row>
    <row r="46" spans="1:10" ht="15" x14ac:dyDescent="0.2">
      <c r="A46" s="31"/>
      <c r="B46" s="29"/>
      <c r="C46" s="29"/>
      <c r="D46" s="29"/>
      <c r="E46" s="29"/>
      <c r="F46" s="29"/>
      <c r="G46" s="29"/>
      <c r="H46" s="29"/>
      <c r="I46" s="29"/>
      <c r="J46" s="30"/>
    </row>
    <row r="47" spans="1:10" ht="15.75" x14ac:dyDescent="0.25">
      <c r="A47" s="35" t="s">
        <v>38</v>
      </c>
      <c r="B47" s="36"/>
      <c r="C47" s="36"/>
      <c r="D47" s="36"/>
      <c r="E47" s="36"/>
      <c r="F47" s="36"/>
      <c r="G47" s="36"/>
      <c r="H47" s="36"/>
      <c r="I47" s="36"/>
      <c r="J47" s="37"/>
    </row>
    <row r="48" spans="1:10" ht="15.75" x14ac:dyDescent="0.25">
      <c r="A48" s="35"/>
      <c r="B48" s="38" t="s">
        <v>102</v>
      </c>
      <c r="C48" s="36"/>
      <c r="D48" s="36"/>
      <c r="E48" s="36"/>
      <c r="F48" s="36"/>
      <c r="G48" s="36"/>
      <c r="H48" s="36"/>
      <c r="I48" s="36"/>
      <c r="J48" s="37"/>
    </row>
    <row r="49" spans="1:10" ht="15.75" x14ac:dyDescent="0.25">
      <c r="A49" s="39"/>
      <c r="B49" s="40"/>
      <c r="C49" s="41"/>
      <c r="D49" s="41"/>
      <c r="E49" s="41"/>
      <c r="F49" s="41"/>
      <c r="G49" s="41"/>
      <c r="H49" s="41"/>
      <c r="I49" s="41"/>
      <c r="J49" s="42"/>
    </row>
    <row r="50" spans="1:10" ht="15.75" x14ac:dyDescent="0.25">
      <c r="A50" s="35" t="s">
        <v>39</v>
      </c>
      <c r="B50" s="36"/>
      <c r="C50" s="36"/>
      <c r="D50" s="36"/>
      <c r="E50" s="36"/>
      <c r="F50" s="36"/>
      <c r="G50" s="36"/>
      <c r="H50" s="36"/>
      <c r="I50" s="36"/>
      <c r="J50" s="37"/>
    </row>
    <row r="51" spans="1:10" ht="15.75" x14ac:dyDescent="0.25">
      <c r="A51" s="35"/>
      <c r="B51" s="38" t="s">
        <v>103</v>
      </c>
      <c r="C51" s="36"/>
      <c r="D51" s="36"/>
      <c r="E51" s="36"/>
      <c r="F51" s="36"/>
      <c r="G51" s="36"/>
      <c r="H51" s="36"/>
      <c r="I51" s="36"/>
      <c r="J51" s="37"/>
    </row>
    <row r="52" spans="1:10" ht="15.75" thickBot="1" x14ac:dyDescent="0.25">
      <c r="A52" s="32"/>
      <c r="B52" s="33"/>
      <c r="C52" s="33"/>
      <c r="D52" s="33"/>
      <c r="E52" s="33"/>
      <c r="F52" s="33"/>
      <c r="G52" s="33"/>
      <c r="H52" s="33"/>
      <c r="I52" s="33"/>
      <c r="J52" s="34"/>
    </row>
    <row r="53" spans="1:10" ht="15" x14ac:dyDescent="0.2">
      <c r="A53" s="18"/>
    </row>
  </sheetData>
  <phoneticPr fontId="5" type="noConversion"/>
  <printOptions horizontalCentered="1" verticalCentered="1" gridLines="1" gridLinesSet="0"/>
  <pageMargins left="0.75" right="0.75" top="1" bottom="1" header="0.5" footer="0.5"/>
  <pageSetup scale="81" orientation="portrait" horizontalDpi="1200" verticalDpi="12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0"/>
  <sheetViews>
    <sheetView tabSelected="1" zoomScale="136" zoomScaleNormal="136" workbookViewId="0"/>
  </sheetViews>
  <sheetFormatPr defaultRowHeight="12.75" x14ac:dyDescent="0.2"/>
  <cols>
    <col min="1" max="1" width="20.140625" customWidth="1"/>
    <col min="2" max="2" width="10.7109375" customWidth="1"/>
    <col min="3" max="5" width="9.85546875" bestFit="1" customWidth="1"/>
    <col min="6" max="10" width="9.28515625" bestFit="1" customWidth="1"/>
  </cols>
  <sheetData>
    <row r="1" spans="1:20" x14ac:dyDescent="0.2">
      <c r="A1" s="87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.75" x14ac:dyDescent="0.2">
      <c r="A2" s="87" t="s">
        <v>122</v>
      </c>
      <c r="B2" s="52"/>
      <c r="C2" s="52"/>
      <c r="D2" s="52"/>
      <c r="E2" s="52"/>
      <c r="F2" s="52"/>
      <c r="G2" s="52"/>
      <c r="H2" s="52"/>
      <c r="I2" s="135" t="s">
        <v>125</v>
      </c>
      <c r="J2" s="52"/>
      <c r="K2" s="52"/>
      <c r="L2" s="52"/>
      <c r="N2" s="134" t="s">
        <v>124</v>
      </c>
      <c r="O2" s="52"/>
      <c r="P2" s="52"/>
      <c r="Q2" s="52"/>
      <c r="R2" s="52"/>
      <c r="S2" s="52"/>
      <c r="T2" s="52"/>
    </row>
    <row r="3" spans="1:20" ht="13.5" thickBot="1" x14ac:dyDescent="0.25">
      <c r="A3" s="52"/>
      <c r="B3" s="52"/>
      <c r="C3" s="26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s="50" customFormat="1" ht="24.95" customHeight="1" x14ac:dyDescent="0.2">
      <c r="A4" s="100" t="s">
        <v>91</v>
      </c>
      <c r="B4" s="102">
        <v>140</v>
      </c>
      <c r="C4" s="101" t="s">
        <v>44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s="50" customFormat="1" ht="24.95" customHeight="1" x14ac:dyDescent="0.2">
      <c r="A5" s="90" t="s">
        <v>45</v>
      </c>
      <c r="B5" s="103">
        <v>3</v>
      </c>
      <c r="C5" s="91"/>
      <c r="D5" s="75"/>
      <c r="E5" s="75"/>
      <c r="F5" s="75" t="s">
        <v>46</v>
      </c>
      <c r="G5" s="75">
        <v>0.26100000000000001</v>
      </c>
      <c r="H5" s="75" t="s">
        <v>47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s="50" customFormat="1" ht="24.95" customHeight="1" x14ac:dyDescent="0.2">
      <c r="A6" s="90" t="s">
        <v>48</v>
      </c>
      <c r="B6" s="109">
        <v>21382</v>
      </c>
      <c r="C6" s="91" t="s">
        <v>49</v>
      </c>
      <c r="D6" s="75"/>
      <c r="E6" s="75"/>
      <c r="F6" s="75" t="s">
        <v>50</v>
      </c>
      <c r="G6" s="75">
        <v>1.66E-3</v>
      </c>
      <c r="H6" s="75" t="s">
        <v>51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s="50" customFormat="1" ht="24.95" customHeight="1" x14ac:dyDescent="0.2">
      <c r="A7" s="90" t="s">
        <v>52</v>
      </c>
      <c r="B7" s="103">
        <v>4.3</v>
      </c>
      <c r="C7" s="91" t="s">
        <v>53</v>
      </c>
      <c r="D7" s="75"/>
      <c r="E7" s="75"/>
      <c r="F7" s="75" t="s">
        <v>54</v>
      </c>
      <c r="G7" s="75">
        <v>3.7000000000000002E-3</v>
      </c>
      <c r="H7" s="75" t="s">
        <v>55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s="50" customFormat="1" ht="24.95" customHeight="1" x14ac:dyDescent="0.2">
      <c r="A8" s="96" t="s">
        <v>105</v>
      </c>
      <c r="B8" s="103">
        <v>36</v>
      </c>
      <c r="C8" s="91" t="s">
        <v>57</v>
      </c>
      <c r="D8" s="75"/>
      <c r="E8" s="75"/>
      <c r="F8" s="75" t="s">
        <v>58</v>
      </c>
      <c r="G8" s="75">
        <v>14.9</v>
      </c>
      <c r="H8" s="75" t="s">
        <v>59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s="50" customFormat="1" ht="24.95" customHeight="1" x14ac:dyDescent="0.2">
      <c r="A9" s="90" t="s">
        <v>60</v>
      </c>
      <c r="B9" s="103">
        <v>9</v>
      </c>
      <c r="C9" s="91" t="s">
        <v>57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s="50" customFormat="1" ht="24.95" customHeight="1" x14ac:dyDescent="0.2">
      <c r="A10" s="96" t="s">
        <v>121</v>
      </c>
      <c r="B10" s="103">
        <v>0</v>
      </c>
      <c r="C10" s="91" t="s">
        <v>57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0" s="50" customFormat="1" ht="24.95" customHeight="1" thickBot="1" x14ac:dyDescent="0.25">
      <c r="A11" s="92" t="s">
        <v>62</v>
      </c>
      <c r="B11" s="104">
        <v>0</v>
      </c>
      <c r="C11" s="93" t="s">
        <v>57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13.5" thickBot="1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x14ac:dyDescent="0.2">
      <c r="A13" s="84" t="s">
        <v>63</v>
      </c>
      <c r="B13" s="45"/>
      <c r="C13" s="46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spans="1:20" x14ac:dyDescent="0.2">
      <c r="A14" s="85" t="s">
        <v>64</v>
      </c>
      <c r="B14" s="26"/>
      <c r="C14" s="27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x14ac:dyDescent="0.2">
      <c r="A15" s="85" t="s">
        <v>65</v>
      </c>
      <c r="B15" s="26"/>
      <c r="C15" s="27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1:20" x14ac:dyDescent="0.2">
      <c r="A16" s="86"/>
      <c r="B16" s="26"/>
      <c r="C16" s="27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s="50" customFormat="1" ht="24.95" customHeight="1" x14ac:dyDescent="0.2">
      <c r="A17" s="90" t="s">
        <v>66</v>
      </c>
      <c r="B17" s="103">
        <v>0</v>
      </c>
      <c r="C17" s="91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1:20" s="50" customFormat="1" ht="24.95" customHeight="1" x14ac:dyDescent="0.2">
      <c r="A18" s="90" t="s">
        <v>67</v>
      </c>
      <c r="B18" s="103">
        <v>0</v>
      </c>
      <c r="C18" s="91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1:20" s="50" customFormat="1" ht="24.95" customHeight="1" thickBot="1" x14ac:dyDescent="0.25">
      <c r="A19" s="92" t="s">
        <v>68</v>
      </c>
      <c r="B19" s="104">
        <v>1</v>
      </c>
      <c r="C19" s="93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x14ac:dyDescent="0.2">
      <c r="A20" s="52"/>
      <c r="B20" s="105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20" ht="13.5" thickBot="1" x14ac:dyDescent="0.25">
      <c r="A21" s="52"/>
      <c r="B21" s="105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1:20" s="50" customFormat="1" ht="24.95" customHeight="1" x14ac:dyDescent="0.2">
      <c r="A22" s="94" t="s">
        <v>107</v>
      </c>
      <c r="B22" s="108">
        <v>3500</v>
      </c>
      <c r="C22" s="95" t="s">
        <v>104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1:20" s="50" customFormat="1" ht="24.95" customHeight="1" x14ac:dyDescent="0.2">
      <c r="A23" s="96" t="s">
        <v>107</v>
      </c>
      <c r="B23" s="106">
        <f>B22*0.00144</f>
        <v>5.04</v>
      </c>
      <c r="C23" s="97" t="s">
        <v>57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s="50" customFormat="1" ht="24.95" customHeight="1" x14ac:dyDescent="0.2">
      <c r="A24" s="96" t="s">
        <v>108</v>
      </c>
      <c r="B24" s="109">
        <v>2261</v>
      </c>
      <c r="C24" s="97" t="s">
        <v>104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s="50" customFormat="1" ht="24.95" customHeight="1" thickBot="1" x14ac:dyDescent="0.25">
      <c r="A25" s="98" t="s">
        <v>108</v>
      </c>
      <c r="B25" s="107">
        <f>B24*0.00144</f>
        <v>3.2558400000000001</v>
      </c>
      <c r="C25" s="99" t="s">
        <v>57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1:20" ht="13.5" thickBot="1" x14ac:dyDescent="0.25">
      <c r="A26" s="52"/>
      <c r="B26" s="105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</row>
    <row r="27" spans="1:20" s="50" customFormat="1" ht="24.95" customHeight="1" x14ac:dyDescent="0.2">
      <c r="A27" s="94" t="s">
        <v>123</v>
      </c>
      <c r="B27" s="108">
        <v>3500</v>
      </c>
      <c r="C27" s="95" t="s">
        <v>104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8" spans="1:20" s="50" customFormat="1" ht="24.95" customHeight="1" x14ac:dyDescent="0.2">
      <c r="A28" s="96" t="s">
        <v>123</v>
      </c>
      <c r="B28" s="106">
        <f>B27*0.00144</f>
        <v>5.04</v>
      </c>
      <c r="C28" s="97" t="s">
        <v>57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1:20" s="50" customFormat="1" ht="24.95" customHeight="1" x14ac:dyDescent="0.2">
      <c r="A29" s="96" t="s">
        <v>62</v>
      </c>
      <c r="B29" s="109">
        <v>1800</v>
      </c>
      <c r="C29" s="97" t="s">
        <v>104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</row>
    <row r="30" spans="1:20" s="50" customFormat="1" ht="24.95" customHeight="1" thickBot="1" x14ac:dyDescent="0.25">
      <c r="A30" s="98" t="s">
        <v>62</v>
      </c>
      <c r="B30" s="107">
        <f>B29*0.00144</f>
        <v>2.5920000000000001</v>
      </c>
      <c r="C30" s="99" t="s">
        <v>57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</row>
    <row r="31" spans="1:20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2" spans="1:20" ht="13.5" thickBo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9" ht="13.5" thickBot="1" x14ac:dyDescent="0.25"/>
    <row r="34" spans="1:9" ht="13.5" thickBot="1" x14ac:dyDescent="0.25">
      <c r="A34" s="130" t="s">
        <v>69</v>
      </c>
      <c r="B34" s="105" t="s">
        <v>70</v>
      </c>
      <c r="E34" s="117" t="s">
        <v>71</v>
      </c>
      <c r="F34" s="118"/>
      <c r="G34" s="119"/>
      <c r="H34" s="119"/>
      <c r="I34" s="120"/>
    </row>
    <row r="35" spans="1:9" ht="25.5" x14ac:dyDescent="0.2">
      <c r="A35" s="132" t="s">
        <v>72</v>
      </c>
      <c r="B35" s="133" t="str">
        <f>IF($B$17=1,"Solids Flux  (kg/m2d)",IF($B$18=1,"Solids Flux  (kg/m2d)","Solids Flux  (lb/ft2d)"))</f>
        <v>Solids Flux  (lb/ft2d)</v>
      </c>
      <c r="E35" s="86"/>
      <c r="F35" s="52"/>
      <c r="G35" s="52"/>
      <c r="H35" s="52"/>
      <c r="I35" s="27"/>
    </row>
    <row r="36" spans="1:9" x14ac:dyDescent="0.2">
      <c r="A36" s="131">
        <v>0</v>
      </c>
      <c r="B36" s="24">
        <f t="shared" ref="B36:B67" si="0">($B$17+24*$B$18+4.9111739207*$B$19)*A36*$G$8*EXP(-$G$7*$B$4-($G$5+$G$6*$B$4)*A36)</f>
        <v>0</v>
      </c>
      <c r="E36" s="121" t="str">
        <f>$A$4</f>
        <v xml:space="preserve">SVISN </v>
      </c>
      <c r="F36" s="122"/>
      <c r="G36" s="127"/>
      <c r="H36" s="122">
        <f>$B$4</f>
        <v>140</v>
      </c>
      <c r="I36" s="123" t="s">
        <v>44</v>
      </c>
    </row>
    <row r="37" spans="1:9" ht="14.25" x14ac:dyDescent="0.2">
      <c r="A37" s="131">
        <v>0.1</v>
      </c>
      <c r="B37" s="24">
        <f t="shared" si="0"/>
        <v>4.1493393172484989</v>
      </c>
      <c r="E37" s="121" t="s">
        <v>73</v>
      </c>
      <c r="F37" s="122"/>
      <c r="G37" s="127"/>
      <c r="H37" s="129">
        <f>$B$5*$B$6</f>
        <v>64146</v>
      </c>
      <c r="I37" s="123" t="s">
        <v>49</v>
      </c>
    </row>
    <row r="38" spans="1:9" x14ac:dyDescent="0.2">
      <c r="A38" s="131">
        <v>0.2</v>
      </c>
      <c r="B38" s="24">
        <f t="shared" si="0"/>
        <v>7.8991590265080438</v>
      </c>
      <c r="E38" s="121" t="s">
        <v>74</v>
      </c>
      <c r="F38" s="122"/>
      <c r="G38" s="127"/>
      <c r="H38" s="129">
        <f>$B$7*1000</f>
        <v>4300</v>
      </c>
      <c r="I38" s="123" t="s">
        <v>75</v>
      </c>
    </row>
    <row r="39" spans="1:9" x14ac:dyDescent="0.2">
      <c r="A39" s="131">
        <v>0.3</v>
      </c>
      <c r="B39" s="24">
        <f t="shared" si="0"/>
        <v>11.278309970942534</v>
      </c>
      <c r="E39" s="121" t="s">
        <v>76</v>
      </c>
      <c r="F39" s="122"/>
      <c r="G39" s="127"/>
      <c r="H39" s="129">
        <f>$B$8</f>
        <v>36</v>
      </c>
      <c r="I39" s="123" t="s">
        <v>57</v>
      </c>
    </row>
    <row r="40" spans="1:9" ht="14.25" x14ac:dyDescent="0.2">
      <c r="A40" s="131">
        <v>0.4</v>
      </c>
      <c r="B40" s="24">
        <f t="shared" si="0"/>
        <v>14.31379105590606</v>
      </c>
      <c r="E40" s="121" t="s">
        <v>77</v>
      </c>
      <c r="F40" s="122"/>
      <c r="G40" s="127"/>
      <c r="H40" s="129">
        <f>IF($B$8=0,0,$B$8*1000000/($B$5*$B$6))</f>
        <v>561.21971751940885</v>
      </c>
      <c r="I40" s="123" t="s">
        <v>78</v>
      </c>
    </row>
    <row r="41" spans="1:9" x14ac:dyDescent="0.2">
      <c r="A41" s="131">
        <v>0.5</v>
      </c>
      <c r="B41" s="24">
        <f t="shared" si="0"/>
        <v>17.030860695219534</v>
      </c>
      <c r="E41" s="121" t="s">
        <v>79</v>
      </c>
      <c r="F41" s="122"/>
      <c r="G41" s="127"/>
      <c r="H41" s="129">
        <f>$B$9</f>
        <v>9</v>
      </c>
      <c r="I41" s="123" t="s">
        <v>57</v>
      </c>
    </row>
    <row r="42" spans="1:9" x14ac:dyDescent="0.2">
      <c r="A42" s="131">
        <v>0.6</v>
      </c>
      <c r="B42" s="24">
        <f t="shared" si="0"/>
        <v>19.45314181907688</v>
      </c>
      <c r="E42" s="121" t="s">
        <v>80</v>
      </c>
      <c r="F42" s="122"/>
      <c r="G42" s="127"/>
      <c r="H42" s="129">
        <f>$E$190</f>
        <v>25.151698266538212</v>
      </c>
      <c r="I42" s="123" t="str">
        <f>IF($B$17=1,$A$17,IF($B$18=1,$A$18,$A$19))</f>
        <v>lb/ft2d</v>
      </c>
    </row>
    <row r="43" spans="1:9" x14ac:dyDescent="0.2">
      <c r="A43" s="131">
        <v>0.7</v>
      </c>
      <c r="B43" s="24">
        <f t="shared" si="0"/>
        <v>21.602720805200267</v>
      </c>
      <c r="E43" s="121" t="s">
        <v>81</v>
      </c>
      <c r="F43" s="122"/>
      <c r="G43" s="127"/>
      <c r="H43" s="129">
        <f>$A$191*1000</f>
        <v>21499.999977234089</v>
      </c>
      <c r="I43" s="123" t="s">
        <v>75</v>
      </c>
    </row>
    <row r="44" spans="1:9" x14ac:dyDescent="0.2">
      <c r="A44" s="131">
        <v>0.8</v>
      </c>
      <c r="B44" s="24">
        <f t="shared" si="0"/>
        <v>23.500240674967777</v>
      </c>
      <c r="E44" s="121" t="s">
        <v>82</v>
      </c>
      <c r="F44" s="122"/>
      <c r="G44" s="127"/>
      <c r="H44" s="129">
        <f>$B$10</f>
        <v>0</v>
      </c>
      <c r="I44" s="123" t="s">
        <v>57</v>
      </c>
    </row>
    <row r="45" spans="1:9" ht="14.25" x14ac:dyDescent="0.2">
      <c r="A45" s="131">
        <v>0.9</v>
      </c>
      <c r="B45" s="24">
        <f t="shared" si="0"/>
        <v>25.164988877417724</v>
      </c>
      <c r="E45" s="121" t="s">
        <v>83</v>
      </c>
      <c r="F45" s="122"/>
      <c r="G45" s="127"/>
      <c r="H45" s="129">
        <f>$B$10*1000000/($B$5*$B$6)</f>
        <v>0</v>
      </c>
      <c r="I45" s="123" t="s">
        <v>78</v>
      </c>
    </row>
    <row r="46" spans="1:9" x14ac:dyDescent="0.2">
      <c r="A46" s="131">
        <v>1</v>
      </c>
      <c r="B46" s="24">
        <f t="shared" si="0"/>
        <v>26.614979966235627</v>
      </c>
      <c r="E46" s="121" t="s">
        <v>84</v>
      </c>
      <c r="F46" s="122"/>
      <c r="G46" s="127"/>
      <c r="H46" s="129">
        <f>$H$195</f>
        <v>0</v>
      </c>
      <c r="I46" s="123" t="str">
        <f>IF($B$17=1,$A$17,IF($B$18=1,$A$18,$A$19))</f>
        <v>lb/ft2d</v>
      </c>
    </row>
    <row r="47" spans="1:9" x14ac:dyDescent="0.2">
      <c r="A47" s="131">
        <v>1.1000000000000001</v>
      </c>
      <c r="B47" s="24">
        <f t="shared" si="0"/>
        <v>27.867033457995838</v>
      </c>
      <c r="E47" s="121" t="s">
        <v>85</v>
      </c>
      <c r="F47" s="122"/>
      <c r="G47" s="127"/>
      <c r="H47" s="129">
        <f>$A$196*1000</f>
        <v>0</v>
      </c>
      <c r="I47" s="123" t="s">
        <v>75</v>
      </c>
    </row>
    <row r="48" spans="1:9" x14ac:dyDescent="0.2">
      <c r="A48" s="131">
        <v>1.2</v>
      </c>
      <c r="B48" s="24">
        <f t="shared" si="0"/>
        <v>28.936847144010436</v>
      </c>
      <c r="E48" s="121" t="s">
        <v>86</v>
      </c>
      <c r="F48" s="122"/>
      <c r="G48" s="127"/>
      <c r="H48" s="129">
        <f>$B$11</f>
        <v>0</v>
      </c>
      <c r="I48" s="123" t="s">
        <v>57</v>
      </c>
    </row>
    <row r="49" spans="1:9" x14ac:dyDescent="0.2">
      <c r="A49" s="131">
        <v>1.3</v>
      </c>
      <c r="B49" s="24">
        <f t="shared" si="0"/>
        <v>29.839066113082925</v>
      </c>
      <c r="E49" s="121" t="s">
        <v>84</v>
      </c>
      <c r="F49" s="122"/>
      <c r="G49" s="127"/>
      <c r="H49" s="129">
        <f>$J$199</f>
        <v>0</v>
      </c>
      <c r="I49" s="123" t="str">
        <f>IF($B$17=1,$A$17,IF($B$18=1,$A$18,$A$19))</f>
        <v>lb/ft2d</v>
      </c>
    </row>
    <row r="50" spans="1:9" x14ac:dyDescent="0.2">
      <c r="A50" s="131">
        <v>1.4</v>
      </c>
      <c r="B50" s="24">
        <f t="shared" si="0"/>
        <v>30.587347728227275</v>
      </c>
      <c r="E50" s="121" t="s">
        <v>85</v>
      </c>
      <c r="F50" s="122"/>
      <c r="G50" s="128"/>
      <c r="H50" s="129">
        <f>$A$200*1000</f>
        <v>0</v>
      </c>
      <c r="I50" s="123" t="s">
        <v>75</v>
      </c>
    </row>
    <row r="51" spans="1:9" x14ac:dyDescent="0.2">
      <c r="A51" s="131">
        <v>1.5</v>
      </c>
      <c r="B51" s="24">
        <f t="shared" si="0"/>
        <v>31.194422786950909</v>
      </c>
      <c r="E51" s="121"/>
      <c r="F51" s="122"/>
      <c r="G51" s="122"/>
      <c r="H51" s="122"/>
      <c r="I51" s="123"/>
    </row>
    <row r="52" spans="1:9" ht="13.5" thickBot="1" x14ac:dyDescent="0.25">
      <c r="A52" s="131">
        <v>1.6</v>
      </c>
      <c r="B52" s="24">
        <f t="shared" si="0"/>
        <v>31.672153081970666</v>
      </c>
      <c r="E52" s="124" t="s">
        <v>87</v>
      </c>
      <c r="F52" s="125"/>
      <c r="G52" s="125"/>
      <c r="H52" s="125"/>
      <c r="I52" s="126"/>
    </row>
    <row r="53" spans="1:9" x14ac:dyDescent="0.2">
      <c r="A53" s="131">
        <v>1.7</v>
      </c>
      <c r="B53" s="24">
        <f t="shared" si="0"/>
        <v>32.031585567194902</v>
      </c>
    </row>
    <row r="54" spans="1:9" x14ac:dyDescent="0.2">
      <c r="A54" s="131">
        <v>1.8</v>
      </c>
      <c r="B54" s="24">
        <f t="shared" si="0"/>
        <v>32.283003322425252</v>
      </c>
    </row>
    <row r="55" spans="1:9" x14ac:dyDescent="0.2">
      <c r="A55" s="131">
        <v>1.9</v>
      </c>
      <c r="B55" s="24">
        <f t="shared" si="0"/>
        <v>32.435973499472965</v>
      </c>
    </row>
    <row r="56" spans="1:9" x14ac:dyDescent="0.2">
      <c r="A56" s="131">
        <v>2</v>
      </c>
      <c r="B56" s="24">
        <f t="shared" si="0"/>
        <v>32.499392422213319</v>
      </c>
    </row>
    <row r="57" spans="1:9" x14ac:dyDescent="0.2">
      <c r="A57" s="131">
        <v>2.1</v>
      </c>
      <c r="B57" s="24">
        <f t="shared" si="0"/>
        <v>32.481528003486709</v>
      </c>
    </row>
    <row r="58" spans="1:9" x14ac:dyDescent="0.2">
      <c r="A58" s="131">
        <v>2.2000000000000002</v>
      </c>
      <c r="B58" s="24">
        <f t="shared" si="0"/>
        <v>32.390059632665313</v>
      </c>
    </row>
    <row r="59" spans="1:9" x14ac:dyDescent="0.2">
      <c r="A59" s="131">
        <v>2.2999999999999998</v>
      </c>
      <c r="B59" s="24">
        <f t="shared" si="0"/>
        <v>32.232115679112717</v>
      </c>
    </row>
    <row r="60" spans="1:9" x14ac:dyDescent="0.2">
      <c r="A60" s="131">
        <v>2.4</v>
      </c>
      <c r="B60" s="24">
        <f t="shared" si="0"/>
        <v>32.014308748643067</v>
      </c>
    </row>
    <row r="61" spans="1:9" x14ac:dyDescent="0.2">
      <c r="A61" s="131">
        <v>2.5</v>
      </c>
      <c r="B61" s="24">
        <f t="shared" si="0"/>
        <v>31.742768822410046</v>
      </c>
    </row>
    <row r="62" spans="1:9" x14ac:dyDescent="0.2">
      <c r="A62" s="131">
        <v>2.6</v>
      </c>
      <c r="B62" s="24">
        <f t="shared" si="0"/>
        <v>31.423174400402633</v>
      </c>
    </row>
    <row r="63" spans="1:9" x14ac:dyDescent="0.2">
      <c r="A63" s="131">
        <v>2.7</v>
      </c>
      <c r="B63" s="24">
        <f t="shared" si="0"/>
        <v>31.060781764867496</v>
      </c>
    </row>
    <row r="64" spans="1:9" x14ac:dyDescent="0.2">
      <c r="A64" s="131">
        <v>2.8</v>
      </c>
      <c r="B64" s="24">
        <f t="shared" si="0"/>
        <v>30.660452472500157</v>
      </c>
    </row>
    <row r="65" spans="1:2" x14ac:dyDescent="0.2">
      <c r="A65" s="131">
        <v>2.9</v>
      </c>
      <c r="B65" s="24">
        <f t="shared" si="0"/>
        <v>30.226679178123753</v>
      </c>
    </row>
    <row r="66" spans="1:2" x14ac:dyDescent="0.2">
      <c r="A66" s="131">
        <v>3</v>
      </c>
      <c r="B66" s="24">
        <f t="shared" si="0"/>
        <v>29.763609886789766</v>
      </c>
    </row>
    <row r="67" spans="1:2" x14ac:dyDescent="0.2">
      <c r="A67" s="131">
        <v>3.1</v>
      </c>
      <c r="B67" s="24">
        <f t="shared" si="0"/>
        <v>29.275070725768394</v>
      </c>
    </row>
    <row r="68" spans="1:2" x14ac:dyDescent="0.2">
      <c r="A68" s="131">
        <v>3.2</v>
      </c>
      <c r="B68" s="24">
        <f t="shared" ref="B68:B99" si="1">($B$17+24*$B$18+4.9111739207*$B$19)*A68*$G$8*EXP(-$G$7*$B$4-($G$5+$G$6*$B$4)*A68)</f>
        <v>28.764587322732069</v>
      </c>
    </row>
    <row r="69" spans="1:2" x14ac:dyDescent="0.2">
      <c r="A69" s="131">
        <v>3.3</v>
      </c>
      <c r="B69" s="24">
        <f t="shared" si="1"/>
        <v>28.235404871556049</v>
      </c>
    </row>
    <row r="70" spans="1:2" x14ac:dyDescent="0.2">
      <c r="A70" s="131">
        <v>3.4</v>
      </c>
      <c r="B70" s="24">
        <f t="shared" si="1"/>
        <v>27.690506962550899</v>
      </c>
    </row>
    <row r="71" spans="1:2" x14ac:dyDescent="0.2">
      <c r="A71" s="131">
        <v>3.5</v>
      </c>
      <c r="B71" s="24">
        <f t="shared" si="1"/>
        <v>27.132633249586799</v>
      </c>
    </row>
    <row r="72" spans="1:2" x14ac:dyDescent="0.2">
      <c r="A72" s="131">
        <v>3.6</v>
      </c>
      <c r="B72" s="24">
        <f t="shared" si="1"/>
        <v>26.564296022456993</v>
      </c>
    </row>
    <row r="73" spans="1:2" x14ac:dyDescent="0.2">
      <c r="A73" s="131">
        <v>3.7</v>
      </c>
      <c r="B73" s="24">
        <f t="shared" si="1"/>
        <v>25.98779574894213</v>
      </c>
    </row>
    <row r="74" spans="1:2" x14ac:dyDescent="0.2">
      <c r="A74" s="131">
        <v>3.8</v>
      </c>
      <c r="B74" s="24">
        <f t="shared" si="1"/>
        <v>25.405235647368279</v>
      </c>
    </row>
    <row r="75" spans="1:2" x14ac:dyDescent="0.2">
      <c r="A75" s="131">
        <v>3.9</v>
      </c>
      <c r="B75" s="24">
        <f t="shared" si="1"/>
        <v>24.81853534698563</v>
      </c>
    </row>
    <row r="76" spans="1:2" x14ac:dyDescent="0.2">
      <c r="A76" s="131">
        <v>4</v>
      </c>
      <c r="B76" s="24">
        <f t="shared" si="1"/>
        <v>24.229443690222229</v>
      </c>
    </row>
    <row r="77" spans="1:2" x14ac:dyDescent="0.2">
      <c r="A77" s="131">
        <v>4.0999999999999996</v>
      </c>
      <c r="B77" s="24">
        <f t="shared" si="1"/>
        <v>23.639550727776825</v>
      </c>
    </row>
    <row r="78" spans="1:2" x14ac:dyDescent="0.2">
      <c r="A78" s="131">
        <v>4.2</v>
      </c>
      <c r="B78" s="24">
        <f t="shared" si="1"/>
        <v>23.050298954596311</v>
      </c>
    </row>
    <row r="79" spans="1:2" x14ac:dyDescent="0.2">
      <c r="A79" s="131">
        <v>4.3</v>
      </c>
      <c r="B79" s="24">
        <f t="shared" si="1"/>
        <v>22.462993832028396</v>
      </c>
    </row>
    <row r="80" spans="1:2" x14ac:dyDescent="0.2">
      <c r="A80" s="131">
        <v>4.4000000000000004</v>
      </c>
      <c r="B80" s="24">
        <f t="shared" si="1"/>
        <v>21.878813638838437</v>
      </c>
    </row>
    <row r="81" spans="1:2" x14ac:dyDescent="0.2">
      <c r="A81" s="131">
        <v>4.5</v>
      </c>
      <c r="B81" s="24">
        <f t="shared" si="1"/>
        <v>21.298818691323483</v>
      </c>
    </row>
    <row r="82" spans="1:2" x14ac:dyDescent="0.2">
      <c r="A82" s="131">
        <v>4.5999999999999996</v>
      </c>
      <c r="B82" s="24">
        <f t="shared" si="1"/>
        <v>20.723959970438489</v>
      </c>
    </row>
    <row r="83" spans="1:2" x14ac:dyDescent="0.2">
      <c r="A83" s="131">
        <v>4.7</v>
      </c>
      <c r="B83" s="24">
        <f t="shared" si="1"/>
        <v>20.155087191660908</v>
      </c>
    </row>
    <row r="84" spans="1:2" x14ac:dyDescent="0.2">
      <c r="A84" s="131">
        <v>4.8</v>
      </c>
      <c r="B84" s="24">
        <f t="shared" si="1"/>
        <v>19.592956351254724</v>
      </c>
    </row>
    <row r="85" spans="1:2" x14ac:dyDescent="0.2">
      <c r="A85" s="131">
        <v>4.9000000000000004</v>
      </c>
      <c r="B85" s="24">
        <f t="shared" si="1"/>
        <v>19.038236780644958</v>
      </c>
    </row>
    <row r="86" spans="1:2" x14ac:dyDescent="0.2">
      <c r="A86" s="131">
        <v>5</v>
      </c>
      <c r="B86" s="24">
        <f t="shared" si="1"/>
        <v>18.491517738774832</v>
      </c>
    </row>
    <row r="87" spans="1:2" x14ac:dyDescent="0.2">
      <c r="A87" s="131">
        <v>5.0999999999999996</v>
      </c>
      <c r="B87" s="24">
        <f t="shared" si="1"/>
        <v>17.953314570580293</v>
      </c>
    </row>
    <row r="88" spans="1:2" x14ac:dyDescent="0.2">
      <c r="A88" s="131">
        <v>5.2</v>
      </c>
      <c r="B88" s="24">
        <f t="shared" si="1"/>
        <v>17.424074458079858</v>
      </c>
    </row>
    <row r="89" spans="1:2" x14ac:dyDescent="0.2">
      <c r="A89" s="131">
        <v>5.3</v>
      </c>
      <c r="B89" s="24">
        <f t="shared" si="1"/>
        <v>16.904181789030879</v>
      </c>
    </row>
    <row r="90" spans="1:2" x14ac:dyDescent="0.2">
      <c r="A90" s="131">
        <v>5.4</v>
      </c>
      <c r="B90" s="24">
        <f t="shared" si="1"/>
        <v>16.393963166645797</v>
      </c>
    </row>
    <row r="91" spans="1:2" x14ac:dyDescent="0.2">
      <c r="A91" s="131">
        <v>5.5</v>
      </c>
      <c r="B91" s="24">
        <f t="shared" si="1"/>
        <v>15.893692082485874</v>
      </c>
    </row>
    <row r="92" spans="1:2" x14ac:dyDescent="0.2">
      <c r="A92" s="131">
        <v>5.6</v>
      </c>
      <c r="B92" s="24">
        <f t="shared" si="1"/>
        <v>15.403593273352429</v>
      </c>
    </row>
    <row r="93" spans="1:2" x14ac:dyDescent="0.2">
      <c r="A93" s="131">
        <v>5.7</v>
      </c>
      <c r="B93" s="24">
        <f t="shared" si="1"/>
        <v>14.92384678177147</v>
      </c>
    </row>
    <row r="94" spans="1:2" x14ac:dyDescent="0.2">
      <c r="A94" s="131">
        <v>5.8</v>
      </c>
      <c r="B94" s="24">
        <f t="shared" si="1"/>
        <v>14.454591738513267</v>
      </c>
    </row>
    <row r="95" spans="1:2" x14ac:dyDescent="0.2">
      <c r="A95" s="131">
        <v>5.9</v>
      </c>
      <c r="B95" s="24">
        <f t="shared" si="1"/>
        <v>13.995929884499821</v>
      </c>
    </row>
    <row r="96" spans="1:2" x14ac:dyDescent="0.2">
      <c r="A96" s="131">
        <v>6</v>
      </c>
      <c r="B96" s="24">
        <f t="shared" si="1"/>
        <v>13.54792884842651</v>
      </c>
    </row>
    <row r="97" spans="1:2" x14ac:dyDescent="0.2">
      <c r="A97" s="131">
        <v>6.1</v>
      </c>
      <c r="B97" s="24">
        <f t="shared" si="1"/>
        <v>13.110625195456064</v>
      </c>
    </row>
    <row r="98" spans="1:2" x14ac:dyDescent="0.2">
      <c r="A98" s="131">
        <v>6.2</v>
      </c>
      <c r="B98" s="24">
        <f t="shared" si="1"/>
        <v>12.684027261431041</v>
      </c>
    </row>
    <row r="99" spans="1:2" x14ac:dyDescent="0.2">
      <c r="A99" s="131">
        <v>6.3</v>
      </c>
      <c r="B99" s="24">
        <f t="shared" si="1"/>
        <v>12.268117786189812</v>
      </c>
    </row>
    <row r="100" spans="1:2" x14ac:dyDescent="0.2">
      <c r="A100" s="131">
        <v>6.4</v>
      </c>
      <c r="B100" s="24">
        <f t="shared" ref="B100:B131" si="2">($B$17+24*$B$18+4.9111739207*$B$19)*A100*$G$8*EXP(-$G$7*$B$4-($G$5+$G$6*$B$4)*A100)</f>
        <v>11.862856358760633</v>
      </c>
    </row>
    <row r="101" spans="1:2" x14ac:dyDescent="0.2">
      <c r="A101" s="131">
        <v>6.5</v>
      </c>
      <c r="B101" s="24">
        <f t="shared" si="2"/>
        <v>11.468181686444115</v>
      </c>
    </row>
    <row r="102" spans="1:2" x14ac:dyDescent="0.2">
      <c r="A102" s="131">
        <v>6.6</v>
      </c>
      <c r="B102" s="24">
        <f t="shared" si="2"/>
        <v>11.084013699073402</v>
      </c>
    </row>
    <row r="103" spans="1:2" x14ac:dyDescent="0.2">
      <c r="A103" s="131">
        <v>6.7</v>
      </c>
      <c r="B103" s="24">
        <f t="shared" si="2"/>
        <v>10.710255499063249</v>
      </c>
    </row>
    <row r="104" spans="1:2" x14ac:dyDescent="0.2">
      <c r="A104" s="131">
        <v>6.8</v>
      </c>
      <c r="B104" s="24">
        <f t="shared" si="2"/>
        <v>10.34679516721898</v>
      </c>
    </row>
    <row r="105" spans="1:2" x14ac:dyDescent="0.2">
      <c r="A105" s="131">
        <v>6.9</v>
      </c>
      <c r="B105" s="24">
        <f t="shared" si="2"/>
        <v>9.993507433673976</v>
      </c>
    </row>
    <row r="106" spans="1:2" x14ac:dyDescent="0.2">
      <c r="A106" s="131">
        <v>7</v>
      </c>
      <c r="B106" s="24">
        <f t="shared" si="2"/>
        <v>9.6502552227563836</v>
      </c>
    </row>
    <row r="107" spans="1:2" x14ac:dyDescent="0.2">
      <c r="A107" s="131">
        <v>7.1</v>
      </c>
      <c r="B107" s="24">
        <f t="shared" si="2"/>
        <v>9.3168910800511267</v>
      </c>
    </row>
    <row r="108" spans="1:2" x14ac:dyDescent="0.2">
      <c r="A108" s="131">
        <v>7.2</v>
      </c>
      <c r="B108" s="24">
        <f t="shared" si="2"/>
        <v>8.9932584894194445</v>
      </c>
    </row>
    <row r="109" spans="1:2" x14ac:dyDescent="0.2">
      <c r="A109" s="131">
        <v>7.3</v>
      </c>
      <c r="B109" s="24">
        <f t="shared" si="2"/>
        <v>8.6791930872639362</v>
      </c>
    </row>
    <row r="110" spans="1:2" x14ac:dyDescent="0.2">
      <c r="A110" s="131">
        <v>7.4</v>
      </c>
      <c r="B110" s="24">
        <f t="shared" si="2"/>
        <v>8.3745237808803719</v>
      </c>
    </row>
    <row r="111" spans="1:2" x14ac:dyDescent="0.2">
      <c r="A111" s="131">
        <v>7.5</v>
      </c>
      <c r="B111" s="24">
        <f t="shared" si="2"/>
        <v>8.0790737773169905</v>
      </c>
    </row>
    <row r="112" spans="1:2" x14ac:dyDescent="0.2">
      <c r="A112" s="131">
        <v>7.6</v>
      </c>
      <c r="B112" s="24">
        <f t="shared" si="2"/>
        <v>7.7926615287659677</v>
      </c>
    </row>
    <row r="113" spans="1:2" x14ac:dyDescent="0.2">
      <c r="A113" s="131">
        <v>7.7</v>
      </c>
      <c r="B113" s="24">
        <f t="shared" si="2"/>
        <v>7.5151016001393831</v>
      </c>
    </row>
    <row r="114" spans="1:2" x14ac:dyDescent="0.2">
      <c r="A114" s="131">
        <v>7.8</v>
      </c>
      <c r="B114" s="24">
        <f t="shared" si="2"/>
        <v>7.2462054641308189</v>
      </c>
    </row>
    <row r="115" spans="1:2" x14ac:dyDescent="0.2">
      <c r="A115" s="131">
        <v>7.9</v>
      </c>
      <c r="B115" s="24">
        <f t="shared" si="2"/>
        <v>6.9857822287339104</v>
      </c>
    </row>
    <row r="116" spans="1:2" x14ac:dyDescent="0.2">
      <c r="A116" s="131">
        <v>8</v>
      </c>
      <c r="B116" s="24">
        <f t="shared" si="2"/>
        <v>6.7336393018786111</v>
      </c>
    </row>
    <row r="117" spans="1:2" x14ac:dyDescent="0.2">
      <c r="A117" s="131">
        <v>8.1</v>
      </c>
      <c r="B117" s="24">
        <f t="shared" si="2"/>
        <v>6.4895829975535095</v>
      </c>
    </row>
    <row r="118" spans="1:2" x14ac:dyDescent="0.2">
      <c r="A118" s="131">
        <v>8.1999999999999993</v>
      </c>
      <c r="B118" s="24">
        <f t="shared" si="2"/>
        <v>6.2534190875078641</v>
      </c>
    </row>
    <row r="119" spans="1:2" x14ac:dyDescent="0.2">
      <c r="A119" s="131">
        <v>8.3000000000000007</v>
      </c>
      <c r="B119" s="24">
        <f t="shared" si="2"/>
        <v>6.0249533023683322</v>
      </c>
    </row>
    <row r="120" spans="1:2" x14ac:dyDescent="0.2">
      <c r="A120" s="131">
        <v>8.4</v>
      </c>
      <c r="B120" s="24">
        <f t="shared" si="2"/>
        <v>5.8039917857624594</v>
      </c>
    </row>
    <row r="121" spans="1:2" x14ac:dyDescent="0.2">
      <c r="A121" s="131">
        <v>8.5</v>
      </c>
      <c r="B121" s="24">
        <f t="shared" si="2"/>
        <v>5.5903415048120495</v>
      </c>
    </row>
    <row r="122" spans="1:2" x14ac:dyDescent="0.2">
      <c r="A122" s="131">
        <v>8.6</v>
      </c>
      <c r="B122" s="24">
        <f t="shared" si="2"/>
        <v>5.3838106201449722</v>
      </c>
    </row>
    <row r="123" spans="1:2" x14ac:dyDescent="0.2">
      <c r="A123" s="131">
        <v>8.6999999999999993</v>
      </c>
      <c r="B123" s="24">
        <f t="shared" si="2"/>
        <v>5.1842088183717188</v>
      </c>
    </row>
    <row r="124" spans="1:2" x14ac:dyDescent="0.2">
      <c r="A124" s="131">
        <v>8.8000000000000007</v>
      </c>
      <c r="B124" s="24">
        <f t="shared" si="2"/>
        <v>4.9913476097832072</v>
      </c>
    </row>
    <row r="125" spans="1:2" x14ac:dyDescent="0.2">
      <c r="A125" s="131">
        <v>8.9</v>
      </c>
      <c r="B125" s="24">
        <f t="shared" si="2"/>
        <v>4.8050405938479503</v>
      </c>
    </row>
    <row r="126" spans="1:2" x14ac:dyDescent="0.2">
      <c r="A126" s="131">
        <v>9</v>
      </c>
      <c r="B126" s="24">
        <f t="shared" si="2"/>
        <v>4.625103694919046</v>
      </c>
    </row>
    <row r="127" spans="1:2" x14ac:dyDescent="0.2">
      <c r="A127" s="131">
        <v>9.1</v>
      </c>
      <c r="B127" s="24">
        <f t="shared" si="2"/>
        <v>4.4513553704039817</v>
      </c>
    </row>
    <row r="128" spans="1:2" x14ac:dyDescent="0.2">
      <c r="A128" s="131">
        <v>9.1999999999999993</v>
      </c>
      <c r="B128" s="24">
        <f t="shared" si="2"/>
        <v>4.2836167935024019</v>
      </c>
    </row>
    <row r="129" spans="1:2" x14ac:dyDescent="0.2">
      <c r="A129" s="131">
        <v>9.3000000000000007</v>
      </c>
      <c r="B129" s="24">
        <f t="shared" si="2"/>
        <v>4.1217120124780608</v>
      </c>
    </row>
    <row r="130" spans="1:2" x14ac:dyDescent="0.2">
      <c r="A130" s="131">
        <v>9.4</v>
      </c>
      <c r="B130" s="24">
        <f t="shared" si="2"/>
        <v>3.9654680883008711</v>
      </c>
    </row>
    <row r="131" spans="1:2" x14ac:dyDescent="0.2">
      <c r="A131" s="131">
        <v>9.5</v>
      </c>
      <c r="B131" s="24">
        <f t="shared" si="2"/>
        <v>3.8147152123724855</v>
      </c>
    </row>
    <row r="132" spans="1:2" x14ac:dyDescent="0.2">
      <c r="A132" s="131">
        <v>9.6</v>
      </c>
      <c r="B132" s="24">
        <f t="shared" ref="B132:B163" si="3">($B$17+24*$B$18+4.9111739207*$B$19)*A132*$G$8*EXP(-$G$7*$B$4-($G$5+$G$6*$B$4)*A132)</f>
        <v>3.6692868059341275</v>
      </c>
    </row>
    <row r="133" spans="1:2" x14ac:dyDescent="0.2">
      <c r="A133" s="131">
        <v>9.6999999999999993</v>
      </c>
      <c r="B133" s="24">
        <f t="shared" si="3"/>
        <v>3.5290196026474705</v>
      </c>
    </row>
    <row r="134" spans="1:2" x14ac:dyDescent="0.2">
      <c r="A134" s="131">
        <v>9.8000000000000007</v>
      </c>
      <c r="B134" s="24">
        <f t="shared" si="3"/>
        <v>3.3937537157384345</v>
      </c>
    </row>
    <row r="135" spans="1:2" x14ac:dyDescent="0.2">
      <c r="A135" s="131">
        <v>9.9</v>
      </c>
      <c r="B135" s="24">
        <f t="shared" si="3"/>
        <v>3.2633326909987841</v>
      </c>
    </row>
    <row r="136" spans="1:2" x14ac:dyDescent="0.2">
      <c r="A136" s="131">
        <v>10</v>
      </c>
      <c r="B136" s="24">
        <f t="shared" si="3"/>
        <v>3.1376035468516315</v>
      </c>
    </row>
    <row r="137" spans="1:2" x14ac:dyDescent="0.2">
      <c r="A137" s="131">
        <v>10.1</v>
      </c>
      <c r="B137" s="24">
        <f t="shared" si="3"/>
        <v>3.0164168026035565</v>
      </c>
    </row>
    <row r="138" spans="1:2" x14ac:dyDescent="0.2">
      <c r="A138" s="131">
        <v>10.199999999999999</v>
      </c>
      <c r="B138" s="24">
        <f t="shared" si="3"/>
        <v>2.8996264959279356</v>
      </c>
    </row>
    <row r="139" spans="1:2" x14ac:dyDescent="0.2">
      <c r="A139" s="131">
        <v>10.3</v>
      </c>
      <c r="B139" s="24">
        <f t="shared" si="3"/>
        <v>2.7870901905508574</v>
      </c>
    </row>
    <row r="140" spans="1:2" x14ac:dyDescent="0.2">
      <c r="A140" s="131">
        <v>10.4</v>
      </c>
      <c r="B140" s="24">
        <f t="shared" si="3"/>
        <v>2.6786689750424624</v>
      </c>
    </row>
    <row r="141" spans="1:2" x14ac:dyDescent="0.2">
      <c r="A141" s="131">
        <v>10.5</v>
      </c>
      <c r="B141" s="24">
        <f t="shared" si="3"/>
        <v>2.5742274535523135</v>
      </c>
    </row>
    <row r="142" spans="1:2" x14ac:dyDescent="0.2">
      <c r="A142" s="131">
        <v>10.6</v>
      </c>
      <c r="B142" s="24">
        <f t="shared" si="3"/>
        <v>2.4736337292672506</v>
      </c>
    </row>
    <row r="143" spans="1:2" x14ac:dyDescent="0.2">
      <c r="A143" s="131">
        <v>10.7</v>
      </c>
      <c r="B143" s="24">
        <f t="shared" si="3"/>
        <v>2.3767593813139372</v>
      </c>
    </row>
    <row r="144" spans="1:2" x14ac:dyDescent="0.2">
      <c r="A144" s="131">
        <v>10.8</v>
      </c>
      <c r="B144" s="24">
        <f t="shared" si="3"/>
        <v>2.2834794357756008</v>
      </c>
    </row>
    <row r="145" spans="1:2" x14ac:dyDescent="0.2">
      <c r="A145" s="131">
        <v>10.9</v>
      </c>
      <c r="B145" s="24">
        <f t="shared" si="3"/>
        <v>2.1936723314432394</v>
      </c>
    </row>
    <row r="146" spans="1:2" x14ac:dyDescent="0.2">
      <c r="A146" s="131">
        <v>11</v>
      </c>
      <c r="B146" s="24">
        <f t="shared" si="3"/>
        <v>2.1072198808754194</v>
      </c>
    </row>
    <row r="147" spans="1:2" x14ac:dyDescent="0.2">
      <c r="A147" s="131">
        <v>11.1</v>
      </c>
      <c r="B147" s="24">
        <f t="shared" si="3"/>
        <v>2.0240072272978136</v>
      </c>
    </row>
    <row r="148" spans="1:2" x14ac:dyDescent="0.2">
      <c r="A148" s="131">
        <v>11.2</v>
      </c>
      <c r="B148" s="24">
        <f t="shared" si="3"/>
        <v>1.9439227978332414</v>
      </c>
    </row>
    <row r="149" spans="1:2" x14ac:dyDescent="0.2">
      <c r="A149" s="131">
        <v>11.3</v>
      </c>
      <c r="B149" s="24">
        <f t="shared" si="3"/>
        <v>1.8668582535154818</v>
      </c>
    </row>
    <row r="150" spans="1:2" x14ac:dyDescent="0.2">
      <c r="A150" s="131">
        <v>11.4</v>
      </c>
      <c r="B150" s="24">
        <f t="shared" si="3"/>
        <v>1.7927084365048878</v>
      </c>
    </row>
    <row r="151" spans="1:2" x14ac:dyDescent="0.2">
      <c r="A151" s="131">
        <v>11.5</v>
      </c>
      <c r="B151" s="24">
        <f t="shared" si="3"/>
        <v>1.7213713148910947</v>
      </c>
    </row>
    <row r="152" spans="1:2" x14ac:dyDescent="0.2">
      <c r="A152" s="131">
        <v>11.6</v>
      </c>
      <c r="B152" s="24">
        <f t="shared" si="3"/>
        <v>1.6527479254375022</v>
      </c>
    </row>
    <row r="153" spans="1:2" x14ac:dyDescent="0.2">
      <c r="A153" s="131">
        <v>11.7</v>
      </c>
      <c r="B153" s="24">
        <f t="shared" si="3"/>
        <v>1.5867423145936193</v>
      </c>
    </row>
    <row r="154" spans="1:2" x14ac:dyDescent="0.2">
      <c r="A154" s="131">
        <v>11.8</v>
      </c>
      <c r="B154" s="24">
        <f t="shared" si="3"/>
        <v>1.5232614780747586</v>
      </c>
    </row>
    <row r="155" spans="1:2" x14ac:dyDescent="0.2">
      <c r="A155" s="131">
        <v>11.9</v>
      </c>
      <c r="B155" s="24">
        <f t="shared" si="3"/>
        <v>1.4622152992837496</v>
      </c>
    </row>
    <row r="156" spans="1:2" x14ac:dyDescent="0.2">
      <c r="A156" s="131">
        <v>12</v>
      </c>
      <c r="B156" s="24">
        <f t="shared" si="3"/>
        <v>1.4035164868261707</v>
      </c>
    </row>
    <row r="157" spans="1:2" x14ac:dyDescent="0.2">
      <c r="A157" s="131">
        <v>12.1</v>
      </c>
      <c r="B157" s="24">
        <f t="shared" si="3"/>
        <v>1.3470805113491544</v>
      </c>
    </row>
    <row r="158" spans="1:2" x14ac:dyDescent="0.2">
      <c r="A158" s="131">
        <v>12.2</v>
      </c>
      <c r="B158" s="24">
        <f t="shared" si="3"/>
        <v>1.2928255419136647</v>
      </c>
    </row>
    <row r="159" spans="1:2" x14ac:dyDescent="0.2">
      <c r="A159" s="131">
        <v>12.3</v>
      </c>
      <c r="B159" s="24">
        <f t="shared" si="3"/>
        <v>1.2406723820915841</v>
      </c>
    </row>
    <row r="160" spans="1:2" x14ac:dyDescent="0.2">
      <c r="A160" s="131">
        <v>12.4</v>
      </c>
      <c r="B160" s="24">
        <f t="shared" si="3"/>
        <v>1.1905444059615751</v>
      </c>
    </row>
    <row r="161" spans="1:2" x14ac:dyDescent="0.2">
      <c r="A161" s="131">
        <v>12.5</v>
      </c>
      <c r="B161" s="24">
        <f t="shared" si="3"/>
        <v>1.1423674941615549</v>
      </c>
    </row>
    <row r="162" spans="1:2" x14ac:dyDescent="0.2">
      <c r="A162" s="131">
        <v>12.6</v>
      </c>
      <c r="B162" s="24">
        <f t="shared" si="3"/>
        <v>1.0960699701407006</v>
      </c>
    </row>
    <row r="163" spans="1:2" x14ac:dyDescent="0.2">
      <c r="A163" s="131">
        <v>12.7</v>
      </c>
      <c r="B163" s="24">
        <f t="shared" si="3"/>
        <v>1.0515825367399558</v>
      </c>
    </row>
    <row r="164" spans="1:2" x14ac:dyDescent="0.2">
      <c r="A164" s="131">
        <v>12.8</v>
      </c>
      <c r="B164" s="24">
        <f t="shared" ref="B164:B186" si="4">($B$17+24*$B$18+4.9111739207*$B$19)*A164*$G$8*EXP(-$G$7*$B$4-($G$5+$G$6*$B$4)*A164)</f>
        <v>1.0088382132171865</v>
      </c>
    </row>
    <row r="165" spans="1:2" x14ac:dyDescent="0.2">
      <c r="A165" s="131">
        <v>12.9</v>
      </c>
      <c r="B165" s="24">
        <f t="shared" si="4"/>
        <v>0.96777227282113887</v>
      </c>
    </row>
    <row r="166" spans="1:2" x14ac:dyDescent="0.2">
      <c r="A166" s="131">
        <v>13</v>
      </c>
      <c r="B166" s="24">
        <f t="shared" si="4"/>
        <v>0.92832218100732145</v>
      </c>
    </row>
    <row r="167" spans="1:2" x14ac:dyDescent="0.2">
      <c r="A167" s="131">
        <v>13.1</v>
      </c>
      <c r="B167" s="24">
        <f t="shared" si="4"/>
        <v>0.8904275343786956</v>
      </c>
    </row>
    <row r="168" spans="1:2" x14ac:dyDescent="0.2">
      <c r="A168" s="131">
        <v>13.2</v>
      </c>
      <c r="B168" s="24">
        <f t="shared" si="4"/>
        <v>0.85403000042457555</v>
      </c>
    </row>
    <row r="169" spans="1:2" x14ac:dyDescent="0.2">
      <c r="A169" s="131">
        <v>13.3</v>
      </c>
      <c r="B169" s="24">
        <f t="shared" si="4"/>
        <v>0.8190732581224025</v>
      </c>
    </row>
    <row r="170" spans="1:2" x14ac:dyDescent="0.2">
      <c r="A170" s="131">
        <v>13.4</v>
      </c>
      <c r="B170" s="24">
        <f t="shared" si="4"/>
        <v>0.7855029394589812</v>
      </c>
    </row>
    <row r="171" spans="1:2" x14ac:dyDescent="0.2">
      <c r="A171" s="131">
        <v>13.5</v>
      </c>
      <c r="B171" s="24">
        <f t="shared" si="4"/>
        <v>0.75326657192030522</v>
      </c>
    </row>
    <row r="172" spans="1:2" x14ac:dyDescent="0.2">
      <c r="A172" s="131">
        <v>13.6</v>
      </c>
      <c r="B172" s="24">
        <f t="shared" si="4"/>
        <v>0.72231352199226673</v>
      </c>
    </row>
    <row r="173" spans="1:2" x14ac:dyDescent="0.2">
      <c r="A173" s="131">
        <v>13.7</v>
      </c>
      <c r="B173" s="24">
        <f t="shared" si="4"/>
        <v>0.69259493970818775</v>
      </c>
    </row>
    <row r="174" spans="1:2" x14ac:dyDescent="0.2">
      <c r="A174" s="131">
        <v>13.8</v>
      </c>
      <c r="B174" s="24">
        <f t="shared" si="4"/>
        <v>0.66406370427334183</v>
      </c>
    </row>
    <row r="175" spans="1:2" x14ac:dyDescent="0.2">
      <c r="A175" s="131">
        <v>13.9</v>
      </c>
      <c r="B175" s="24">
        <f t="shared" si="4"/>
        <v>0.63667437079128752</v>
      </c>
    </row>
    <row r="176" spans="1:2" x14ac:dyDescent="0.2">
      <c r="A176" s="131">
        <v>14</v>
      </c>
      <c r="B176" s="24">
        <f t="shared" si="4"/>
        <v>0.61038311811194812</v>
      </c>
    </row>
    <row r="177" spans="1:10" x14ac:dyDescent="0.2">
      <c r="A177" s="131">
        <v>14.1</v>
      </c>
      <c r="B177" s="24">
        <f t="shared" si="4"/>
        <v>0.58514769781690812</v>
      </c>
    </row>
    <row r="178" spans="1:10" x14ac:dyDescent="0.2">
      <c r="A178" s="131">
        <v>14.2</v>
      </c>
      <c r="B178" s="24">
        <f t="shared" si="4"/>
        <v>0.56092738435329892</v>
      </c>
    </row>
    <row r="179" spans="1:10" x14ac:dyDescent="0.2">
      <c r="A179" s="131">
        <v>14.3</v>
      </c>
      <c r="B179" s="24">
        <f t="shared" si="4"/>
        <v>0.53768292632392067</v>
      </c>
    </row>
    <row r="180" spans="1:10" x14ac:dyDescent="0.2">
      <c r="A180" s="131">
        <v>14.4</v>
      </c>
      <c r="B180" s="24">
        <f t="shared" si="4"/>
        <v>0.51537649893784598</v>
      </c>
    </row>
    <row r="181" spans="1:10" x14ac:dyDescent="0.2">
      <c r="A181" s="131">
        <v>14.5</v>
      </c>
      <c r="B181" s="24">
        <f t="shared" si="4"/>
        <v>0.49397165762266093</v>
      </c>
    </row>
    <row r="182" spans="1:10" x14ac:dyDescent="0.2">
      <c r="A182" s="131">
        <v>14.6</v>
      </c>
      <c r="B182" s="24">
        <f t="shared" si="4"/>
        <v>0.4734332927967066</v>
      </c>
    </row>
    <row r="183" spans="1:10" x14ac:dyDescent="0.2">
      <c r="A183" s="131">
        <v>14.7</v>
      </c>
      <c r="B183" s="24">
        <f t="shared" si="4"/>
        <v>0.45372758579713846</v>
      </c>
    </row>
    <row r="184" spans="1:10" x14ac:dyDescent="0.2">
      <c r="A184" s="131">
        <v>14.8</v>
      </c>
      <c r="B184" s="24">
        <f t="shared" si="4"/>
        <v>0.43482196595734113</v>
      </c>
    </row>
    <row r="185" spans="1:10" x14ac:dyDescent="0.2">
      <c r="A185" s="131">
        <v>14.9</v>
      </c>
      <c r="B185" s="24">
        <f t="shared" si="4"/>
        <v>0.4166850688251818</v>
      </c>
    </row>
    <row r="186" spans="1:10" x14ac:dyDescent="0.2">
      <c r="A186" s="131">
        <v>15</v>
      </c>
      <c r="B186" s="24">
        <f t="shared" si="4"/>
        <v>0.39928669551173068</v>
      </c>
    </row>
    <row r="187" spans="1:10" x14ac:dyDescent="0.2">
      <c r="A187" s="131">
        <f>$B$7</f>
        <v>4.3</v>
      </c>
      <c r="B187" s="24"/>
      <c r="C187" s="20">
        <f>(1697.73777048*$B$17+40745.7064914*$B18+8337.88546256*$B$19)*$A187*$B$8/($B$5*$B$6)</f>
        <v>20.121358613230562</v>
      </c>
      <c r="D187" s="20"/>
      <c r="E187" s="20"/>
      <c r="F187" s="20"/>
      <c r="G187" s="20"/>
      <c r="H187" s="20"/>
      <c r="I187" s="20"/>
      <c r="J187" s="20"/>
    </row>
    <row r="188" spans="1:10" x14ac:dyDescent="0.2">
      <c r="A188" s="131">
        <v>0</v>
      </c>
      <c r="B188" s="24"/>
      <c r="C188" s="20"/>
      <c r="D188" s="20">
        <v>0</v>
      </c>
      <c r="E188" s="20"/>
      <c r="F188" s="20"/>
      <c r="G188" s="20"/>
      <c r="H188" s="20"/>
      <c r="I188" s="20"/>
      <c r="J188" s="20"/>
    </row>
    <row r="189" spans="1:10" x14ac:dyDescent="0.2">
      <c r="A189" s="131">
        <f>(0.000589019116*$B$17+0.0000245424631*$B$18+0.000119934485*$B$19)*$D$189*$B$5*$B$6/$B$8</f>
        <v>8.6822958563797012</v>
      </c>
      <c r="B189" s="24"/>
      <c r="C189" s="20"/>
      <c r="D189" s="20">
        <f>1.25*($B$17+24*$B$18+4.9111739207*$B$19)*$G$8*EXP(-$G$7*$B$4-1)/($G$5+$G$6*$B$4)</f>
        <v>40.627811324969208</v>
      </c>
      <c r="E189" s="20"/>
      <c r="F189" s="20"/>
      <c r="G189" s="20"/>
      <c r="H189" s="20"/>
      <c r="I189" s="20"/>
      <c r="J189" s="20"/>
    </row>
    <row r="190" spans="1:10" x14ac:dyDescent="0.2">
      <c r="A190" s="131">
        <v>0</v>
      </c>
      <c r="B190" s="24"/>
      <c r="C190" s="20"/>
      <c r="D190" s="20"/>
      <c r="E190" s="20">
        <f>(1697.73777048*$B$17+40745.7064914*$B$18+8337.88546256*$B$19)*($B$8+$B$9)*$B$7/($B$5*$B$6)</f>
        <v>25.151698266538212</v>
      </c>
      <c r="F190" s="20"/>
      <c r="G190" s="20"/>
      <c r="H190" s="20"/>
      <c r="I190" s="20"/>
      <c r="J190" s="20"/>
    </row>
    <row r="191" spans="1:10" x14ac:dyDescent="0.2">
      <c r="A191" s="131">
        <f>(0.000589019116*$B$17+0.0000245424631*$B$18+0.000119934485*$B$19)*$E$190*$B$5*$B$6/$B$9</f>
        <v>21.49999997723409</v>
      </c>
      <c r="B191" s="24"/>
      <c r="C191" s="20"/>
      <c r="D191" s="20"/>
      <c r="E191" s="20">
        <f>-(1697.73777048*$B$17+40745.7064914*$B$18+8337.88546256*$B$19)*$A191*$B$9/($B$5*$B$6)+$E$190</f>
        <v>2.6632623217892615E-8</v>
      </c>
      <c r="F191" s="20"/>
      <c r="G191" s="20"/>
      <c r="H191" s="20"/>
      <c r="I191" s="20"/>
      <c r="J191" s="20"/>
    </row>
    <row r="192" spans="1:10" x14ac:dyDescent="0.2">
      <c r="A192" s="131">
        <f>$B$7</f>
        <v>4.3</v>
      </c>
      <c r="B192" s="24"/>
      <c r="C192" s="20"/>
      <c r="D192" s="20"/>
      <c r="E192" s="20"/>
      <c r="F192" s="20">
        <f>(1697.73777048*$B$17+40745.7064914*$B$18+8337.88546256*$B$19)*$A192*$B$10/($B$5*$B$6)</f>
        <v>0</v>
      </c>
      <c r="G192" s="20"/>
      <c r="H192" s="20"/>
      <c r="I192" s="20"/>
      <c r="J192" s="20"/>
    </row>
    <row r="193" spans="1:10" x14ac:dyDescent="0.2">
      <c r="A193" s="131">
        <v>0</v>
      </c>
      <c r="B193" s="24"/>
      <c r="C193" s="20"/>
      <c r="D193" s="20"/>
      <c r="E193" s="20"/>
      <c r="F193" s="20"/>
      <c r="G193" s="20">
        <v>0</v>
      </c>
      <c r="H193" s="20"/>
      <c r="I193" s="20"/>
      <c r="J193" s="20"/>
    </row>
    <row r="194" spans="1:10" x14ac:dyDescent="0.2">
      <c r="A194" s="131">
        <f>IF($B$10=0,0,(0.000589019116*$B$17+0.0000245424631*$B$18+0.000119934485*$B$19)*$D$189*$B$5*$B$6/$B$10)</f>
        <v>0</v>
      </c>
      <c r="B194" s="24"/>
      <c r="C194" s="20"/>
      <c r="D194" s="20"/>
      <c r="E194" s="20"/>
      <c r="F194" s="20"/>
      <c r="G194" s="20">
        <f>IF($B$10=0,0,1.25*($B$17+24*$B$18+4.9111739207*$B$19)*$G$8*EXP(-$G$7*$B$4-1)/($G$5+$G$6*$B$4))</f>
        <v>0</v>
      </c>
      <c r="H194" s="20"/>
      <c r="I194" s="20"/>
      <c r="J194" s="20"/>
    </row>
    <row r="195" spans="1:10" x14ac:dyDescent="0.2">
      <c r="A195" s="131">
        <v>0</v>
      </c>
      <c r="B195" s="24"/>
      <c r="C195" s="20"/>
      <c r="D195" s="20"/>
      <c r="E195" s="20"/>
      <c r="F195" s="20"/>
      <c r="G195" s="20"/>
      <c r="H195" s="20">
        <f>IF($B$10=0,0,(1697.73777048*$B$17+40745.7064914*$B$18+8337.88546256*$B$19)*($B$10+$B$9)*$B$7/($B$5*$B$6))</f>
        <v>0</v>
      </c>
      <c r="I195" s="20"/>
      <c r="J195" s="20"/>
    </row>
    <row r="196" spans="1:10" x14ac:dyDescent="0.2">
      <c r="A196" s="131">
        <f>(0.000589019116*$B$17+0.0000245424631*$B$18+0.000119934485*$B$19)*$H$195*$B$5*$B$6/$B$9</f>
        <v>0</v>
      </c>
      <c r="B196" s="24"/>
      <c r="C196" s="20"/>
      <c r="D196" s="20"/>
      <c r="E196" s="20"/>
      <c r="F196" s="20"/>
      <c r="G196" s="20"/>
      <c r="H196" s="20">
        <f>IF($B$10=0,0,-(1697.73777048*$B$17+40745.7064914*$B$18+8337.88546256*$B$19)*$A196*$B$9/($B$5*$B$6)+$H$195)</f>
        <v>0</v>
      </c>
      <c r="I196" s="20"/>
      <c r="J196" s="20"/>
    </row>
    <row r="197" spans="1:10" x14ac:dyDescent="0.2">
      <c r="A197" s="131">
        <v>0</v>
      </c>
      <c r="B197" s="24"/>
      <c r="C197" s="20"/>
      <c r="D197" s="20"/>
      <c r="E197" s="20"/>
      <c r="F197" s="20"/>
      <c r="G197" s="20"/>
      <c r="H197" s="20"/>
      <c r="I197" s="20">
        <f>IF($B$10=0,0,1697.73777048*$B$17+40745.7064914*$B$18+8337.88546256*$B$19)*($B$8+$B$11)*$B$7/($B$5*$B$6)</f>
        <v>0</v>
      </c>
      <c r="J197" s="20"/>
    </row>
    <row r="198" spans="1:10" x14ac:dyDescent="0.2">
      <c r="A198" s="131">
        <f>IF($B$10=0,0,(0.000589019116*$B$17+0.0000245424631*$B$18+0.000119934485*$B$19)*$I$197*$B$5*$B$6/$B$9)</f>
        <v>0</v>
      </c>
      <c r="B198" s="24"/>
      <c r="C198" s="20"/>
      <c r="D198" s="20"/>
      <c r="E198" s="20"/>
      <c r="F198" s="20"/>
      <c r="G198" s="20"/>
      <c r="H198" s="20"/>
      <c r="I198" s="20">
        <f>IF($B$10=0,0,(1697.73777048*$B$17+40745.7064914*$B$18+8337.88546256*$B$19)*$A198*(-1)*$B$9/($B$5*$B$6)+$I$197)</f>
        <v>0</v>
      </c>
      <c r="J198" s="20"/>
    </row>
    <row r="199" spans="1:10" x14ac:dyDescent="0.2">
      <c r="A199" s="131">
        <f>IF($B$11=0,0,0)</f>
        <v>0</v>
      </c>
      <c r="B199" s="24"/>
      <c r="C199" s="20"/>
      <c r="D199" s="20"/>
      <c r="E199" s="20"/>
      <c r="F199" s="20"/>
      <c r="G199" s="20"/>
      <c r="H199" s="20"/>
      <c r="I199" s="20"/>
      <c r="J199" s="20">
        <f>IF($B$11=0,0,(1697.73777048*$B$17+40745.7064914*$B$18+8337.88546256*$B$19)*($B$8+$B$11)*$B$7/($B$5*$B$6))</f>
        <v>0</v>
      </c>
    </row>
    <row r="200" spans="1:10" x14ac:dyDescent="0.2">
      <c r="A200" s="131">
        <f>IF($B$11=0,0,(0.000589019116*$B$17+0.0000245424631*$B$18+0.000119934485*$B$19)*$J$199*$B$5*$B$6/$B$11)</f>
        <v>0</v>
      </c>
      <c r="B200" s="24"/>
      <c r="C200" s="20"/>
      <c r="D200" s="20"/>
      <c r="E200" s="20"/>
      <c r="F200" s="20"/>
      <c r="G200" s="20"/>
      <c r="H200" s="20"/>
      <c r="I200" s="20"/>
      <c r="J200" s="20">
        <f>IF($B$11=0,0,-(1697.73777048*$B$17+40745.7064914*$B$18+8337.88546256*$B$19)*$A200*$B$11/($B$5*$B$6)+$J$199)</f>
        <v>0</v>
      </c>
    </row>
  </sheetData>
  <phoneticPr fontId="5" type="noConversion"/>
  <printOptions horizontalCentered="1"/>
  <pageMargins left="0.75" right="0.75" top="1" bottom="1" header="0.5" footer="0.5"/>
  <pageSetup orientation="portrait" horizontalDpi="4294967292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F25" sqref="F25"/>
    </sheetView>
  </sheetViews>
  <sheetFormatPr defaultRowHeight="12.75" x14ac:dyDescent="0.2"/>
  <cols>
    <col min="1" max="1" width="4.7109375" customWidth="1"/>
    <col min="2" max="2" width="26.140625" customWidth="1"/>
  </cols>
  <sheetData>
    <row r="1" spans="1:24" ht="13.5" thickBo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s="50" customFormat="1" ht="24.95" customHeight="1" x14ac:dyDescent="0.2">
      <c r="A2" s="75"/>
      <c r="B2" s="77" t="s">
        <v>109</v>
      </c>
      <c r="C2" s="110">
        <v>400</v>
      </c>
      <c r="D2" s="78" t="s">
        <v>110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s="50" customFormat="1" ht="24.95" customHeight="1" x14ac:dyDescent="0.2">
      <c r="A3" s="75"/>
      <c r="B3" s="79" t="s">
        <v>97</v>
      </c>
      <c r="C3" s="111">
        <v>2500</v>
      </c>
      <c r="D3" s="80" t="s">
        <v>75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s="50" customFormat="1" ht="24.95" customHeight="1" thickBot="1" x14ac:dyDescent="0.25">
      <c r="A4" s="75"/>
      <c r="B4" s="81" t="s">
        <v>111</v>
      </c>
      <c r="C4" s="112">
        <f>(C2*1000)/C3</f>
        <v>160</v>
      </c>
      <c r="D4" s="82" t="s">
        <v>44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1:24" ht="15" x14ac:dyDescent="0.2">
      <c r="A5" s="52"/>
      <c r="B5" s="76"/>
      <c r="C5" s="113"/>
      <c r="D5" s="76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5.75" thickBot="1" x14ac:dyDescent="0.25">
      <c r="A6" s="52"/>
      <c r="B6" s="76"/>
      <c r="C6" s="113"/>
      <c r="D6" s="76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s="50" customFormat="1" ht="24.95" customHeight="1" x14ac:dyDescent="0.2">
      <c r="A7" s="75"/>
      <c r="B7" s="83" t="s">
        <v>112</v>
      </c>
      <c r="C7" s="114"/>
      <c r="D7" s="78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s="50" customFormat="1" ht="24.95" customHeight="1" x14ac:dyDescent="0.2">
      <c r="A8" s="75"/>
      <c r="B8" s="79" t="s">
        <v>114</v>
      </c>
      <c r="C8" s="115">
        <v>165</v>
      </c>
      <c r="D8" s="80" t="s">
        <v>113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4" s="50" customFormat="1" ht="24.95" customHeight="1" thickBot="1" x14ac:dyDescent="0.25">
      <c r="A9" s="75"/>
      <c r="B9" s="81" t="s">
        <v>115</v>
      </c>
      <c r="C9" s="116">
        <f>3.14159*(C8/2)^2</f>
        <v>21382.446937500001</v>
      </c>
      <c r="D9" s="82" t="s">
        <v>116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1:24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8" spans="3:3" x14ac:dyDescent="0.2">
      <c r="C18" s="8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zoomScaleNormal="100" workbookViewId="0">
      <selection activeCell="I4" sqref="I4"/>
    </sheetView>
  </sheetViews>
  <sheetFormatPr defaultRowHeight="12.75" x14ac:dyDescent="0.2"/>
  <sheetData>
    <row r="1" spans="1:15" ht="14.25" customHeight="1" x14ac:dyDescent="0.25">
      <c r="A1" s="1" t="s">
        <v>40</v>
      </c>
    </row>
    <row r="2" spans="1:15" ht="14.25" customHeight="1" x14ac:dyDescent="0.25">
      <c r="A2" s="1" t="s">
        <v>41</v>
      </c>
    </row>
    <row r="3" spans="1:15" ht="14.25" customHeight="1" x14ac:dyDescent="0.25">
      <c r="A3" s="1" t="s">
        <v>42</v>
      </c>
      <c r="I3" s="17" t="s">
        <v>129</v>
      </c>
      <c r="O3" s="49" t="s">
        <v>126</v>
      </c>
    </row>
    <row r="4" spans="1:15" ht="13.5" thickBot="1" x14ac:dyDescent="0.25">
      <c r="C4" s="2"/>
    </row>
    <row r="5" spans="1:15" ht="13.5" thickTop="1" x14ac:dyDescent="0.2">
      <c r="A5" s="17" t="s">
        <v>88</v>
      </c>
      <c r="C5">
        <v>270</v>
      </c>
      <c r="D5" t="s">
        <v>44</v>
      </c>
    </row>
    <row r="6" spans="1:15" x14ac:dyDescent="0.2">
      <c r="A6" t="s">
        <v>45</v>
      </c>
      <c r="C6">
        <v>2</v>
      </c>
      <c r="F6" t="s">
        <v>46</v>
      </c>
      <c r="G6">
        <v>0.35099999999999998</v>
      </c>
      <c r="H6" t="s">
        <v>47</v>
      </c>
    </row>
    <row r="7" spans="1:15" ht="14.25" x14ac:dyDescent="0.2">
      <c r="A7" t="s">
        <v>48</v>
      </c>
      <c r="C7">
        <v>5672</v>
      </c>
      <c r="D7" t="s">
        <v>49</v>
      </c>
      <c r="F7" t="s">
        <v>50</v>
      </c>
      <c r="G7">
        <v>5.8E-4</v>
      </c>
      <c r="H7" t="s">
        <v>51</v>
      </c>
    </row>
    <row r="8" spans="1:15" x14ac:dyDescent="0.2">
      <c r="A8" t="s">
        <v>52</v>
      </c>
      <c r="C8">
        <v>2.89</v>
      </c>
      <c r="D8" t="s">
        <v>53</v>
      </c>
      <c r="F8" t="s">
        <v>54</v>
      </c>
      <c r="G8">
        <v>6.0200000000000002E-3</v>
      </c>
      <c r="H8" t="s">
        <v>55</v>
      </c>
    </row>
    <row r="9" spans="1:15" x14ac:dyDescent="0.2">
      <c r="A9" t="s">
        <v>56</v>
      </c>
      <c r="C9">
        <v>4.32</v>
      </c>
      <c r="D9" t="s">
        <v>57</v>
      </c>
      <c r="F9" t="s">
        <v>58</v>
      </c>
      <c r="G9">
        <v>18.2</v>
      </c>
      <c r="H9" t="s">
        <v>59</v>
      </c>
    </row>
    <row r="10" spans="1:15" x14ac:dyDescent="0.2">
      <c r="A10" t="s">
        <v>60</v>
      </c>
      <c r="C10" s="20">
        <v>1.8720000000000001</v>
      </c>
      <c r="D10" t="s">
        <v>57</v>
      </c>
    </row>
    <row r="11" spans="1:15" x14ac:dyDescent="0.2">
      <c r="A11" t="s">
        <v>61</v>
      </c>
      <c r="C11">
        <v>0</v>
      </c>
      <c r="D11" t="s">
        <v>57</v>
      </c>
    </row>
    <row r="12" spans="1:15" x14ac:dyDescent="0.2">
      <c r="A12" t="s">
        <v>62</v>
      </c>
      <c r="C12">
        <v>0</v>
      </c>
      <c r="D12" t="s">
        <v>57</v>
      </c>
    </row>
    <row r="14" spans="1:15" ht="15.75" x14ac:dyDescent="0.25">
      <c r="A14" s="1" t="s">
        <v>63</v>
      </c>
      <c r="C14" t="s">
        <v>89</v>
      </c>
    </row>
    <row r="15" spans="1:15" ht="15.75" x14ac:dyDescent="0.25">
      <c r="A15" s="1" t="s">
        <v>64</v>
      </c>
    </row>
    <row r="16" spans="1:15" ht="15.75" x14ac:dyDescent="0.25">
      <c r="A16" s="1" t="s">
        <v>65</v>
      </c>
    </row>
    <row r="18" spans="1:6" ht="18" x14ac:dyDescent="0.25">
      <c r="A18" t="s">
        <v>66</v>
      </c>
      <c r="B18">
        <v>0</v>
      </c>
      <c r="F18" s="19"/>
    </row>
    <row r="19" spans="1:6" ht="14.25" x14ac:dyDescent="0.2">
      <c r="A19" t="s">
        <v>67</v>
      </c>
      <c r="B19">
        <v>0</v>
      </c>
    </row>
    <row r="20" spans="1:6" ht="14.25" x14ac:dyDescent="0.2">
      <c r="A20" t="s">
        <v>68</v>
      </c>
      <c r="B20">
        <v>1</v>
      </c>
    </row>
    <row r="23" spans="1:6" x14ac:dyDescent="0.2">
      <c r="A23" t="s">
        <v>105</v>
      </c>
      <c r="B23">
        <v>3000</v>
      </c>
      <c r="C23" t="s">
        <v>104</v>
      </c>
    </row>
    <row r="24" spans="1:6" x14ac:dyDescent="0.2">
      <c r="B24">
        <f>B23*0.00144</f>
        <v>4.32</v>
      </c>
      <c r="C24" t="s">
        <v>57</v>
      </c>
    </row>
    <row r="25" spans="1:6" x14ac:dyDescent="0.2">
      <c r="A25" t="s">
        <v>106</v>
      </c>
      <c r="B25" s="48">
        <v>1300</v>
      </c>
      <c r="C25" t="s">
        <v>104</v>
      </c>
    </row>
    <row r="26" spans="1:6" x14ac:dyDescent="0.2">
      <c r="B26">
        <f>B25*0.00144</f>
        <v>1.8720000000000001</v>
      </c>
      <c r="C26" t="s">
        <v>57</v>
      </c>
    </row>
    <row r="39" spans="1:9" ht="13.5" thickBot="1" x14ac:dyDescent="0.25"/>
    <row r="40" spans="1:9" ht="13.5" thickBot="1" x14ac:dyDescent="0.25">
      <c r="A40" t="s">
        <v>69</v>
      </c>
      <c r="B40" t="s">
        <v>70</v>
      </c>
      <c r="E40" s="8" t="s">
        <v>71</v>
      </c>
      <c r="F40" s="9"/>
      <c r="G40" s="10"/>
      <c r="H40" s="10"/>
      <c r="I40" s="11"/>
    </row>
    <row r="41" spans="1:9" x14ac:dyDescent="0.2">
      <c r="A41" t="s">
        <v>72</v>
      </c>
      <c r="B41" t="str">
        <f>IF($B$18=1,"Solids Flux  (kg/m2d)",IF($B$19=1,"Solids Flux  (kg/m2d)","Solids Flux  (lb/ft2d)"))</f>
        <v>Solids Flux  (lb/ft2d)</v>
      </c>
      <c r="E41" s="3"/>
      <c r="I41" s="6"/>
    </row>
    <row r="42" spans="1:9" x14ac:dyDescent="0.2">
      <c r="A42">
        <v>0</v>
      </c>
      <c r="B42">
        <f t="shared" ref="B42:B73" si="0">($B$18+24*$B$19+4.9111739207*$B$20)*A42*$G$9*EXP(-$G$8*$C$5-($G$6+$G$7*$C$5)*A42)</f>
        <v>0</v>
      </c>
      <c r="E42" s="12" t="str">
        <f>$A$5</f>
        <v>SVIGN</v>
      </c>
      <c r="F42" s="13"/>
      <c r="G42" s="13"/>
      <c r="H42" s="13">
        <f>$C$5</f>
        <v>270</v>
      </c>
      <c r="I42" s="14" t="s">
        <v>44</v>
      </c>
    </row>
    <row r="43" spans="1:9" ht="14.25" x14ac:dyDescent="0.2">
      <c r="A43">
        <v>0.1</v>
      </c>
      <c r="B43">
        <f t="shared" si="0"/>
        <v>1.6722825707651889</v>
      </c>
      <c r="E43" s="12" t="s">
        <v>73</v>
      </c>
      <c r="F43" s="13"/>
      <c r="G43" s="13"/>
      <c r="H43" s="13">
        <f>$C$6*$C$7</f>
        <v>11344</v>
      </c>
      <c r="I43" s="14" t="s">
        <v>49</v>
      </c>
    </row>
    <row r="44" spans="1:9" x14ac:dyDescent="0.2">
      <c r="A44">
        <v>0.2</v>
      </c>
      <c r="B44">
        <f t="shared" si="0"/>
        <v>3.1790317922839417</v>
      </c>
      <c r="E44" s="12" t="s">
        <v>74</v>
      </c>
      <c r="F44" s="13"/>
      <c r="G44" s="13"/>
      <c r="H44" s="13">
        <f>$C$8*1000</f>
        <v>2890</v>
      </c>
      <c r="I44" s="14" t="s">
        <v>75</v>
      </c>
    </row>
    <row r="45" spans="1:9" x14ac:dyDescent="0.2">
      <c r="A45">
        <v>0.3</v>
      </c>
      <c r="B45">
        <f t="shared" si="0"/>
        <v>4.5325368360418867</v>
      </c>
      <c r="E45" s="12" t="s">
        <v>76</v>
      </c>
      <c r="F45" s="13"/>
      <c r="G45" s="13"/>
      <c r="H45" s="13">
        <f>$C$9</f>
        <v>4.32</v>
      </c>
      <c r="I45" s="14" t="s">
        <v>57</v>
      </c>
    </row>
    <row r="46" spans="1:9" ht="14.25" x14ac:dyDescent="0.2">
      <c r="A46">
        <v>0.4</v>
      </c>
      <c r="B46">
        <f t="shared" si="0"/>
        <v>5.7442758990513747</v>
      </c>
      <c r="E46" s="12" t="s">
        <v>77</v>
      </c>
      <c r="F46" s="13"/>
      <c r="G46" s="13"/>
      <c r="H46" s="13">
        <f>IF($C$9=0,0,$C$9*1000000/($C$6*$C$7))</f>
        <v>380.81805359661496</v>
      </c>
      <c r="I46" s="14" t="s">
        <v>78</v>
      </c>
    </row>
    <row r="47" spans="1:9" x14ac:dyDescent="0.2">
      <c r="A47">
        <v>0.5</v>
      </c>
      <c r="B47">
        <f t="shared" si="0"/>
        <v>6.8249663760394448</v>
      </c>
      <c r="E47" s="12" t="s">
        <v>79</v>
      </c>
      <c r="F47" s="13"/>
      <c r="G47" s="13"/>
      <c r="H47" s="13">
        <f>$C$10</f>
        <v>1.8720000000000001</v>
      </c>
      <c r="I47" s="14" t="s">
        <v>57</v>
      </c>
    </row>
    <row r="48" spans="1:9" x14ac:dyDescent="0.2">
      <c r="A48">
        <v>0.6</v>
      </c>
      <c r="B48">
        <f t="shared" si="0"/>
        <v>7.7846120518150794</v>
      </c>
      <c r="E48" s="12" t="s">
        <v>80</v>
      </c>
      <c r="F48" s="13"/>
      <c r="G48" s="13"/>
      <c r="H48" s="15">
        <f>$E$196</f>
        <v>13.152808516066264</v>
      </c>
      <c r="I48" s="14" t="str">
        <f>IF($B$18=1,$A$18,IF($B$19=1,$A$19,$A$20))</f>
        <v>lb/ft2d</v>
      </c>
    </row>
    <row r="49" spans="1:9" x14ac:dyDescent="0.2">
      <c r="A49">
        <v>0.7</v>
      </c>
      <c r="B49">
        <f t="shared" si="0"/>
        <v>8.6325474858769287</v>
      </c>
      <c r="E49" s="12" t="s">
        <v>81</v>
      </c>
      <c r="F49" s="13"/>
      <c r="G49" s="13"/>
      <c r="H49" s="16">
        <f>$A$197*1000</f>
        <v>9559.2307591086956</v>
      </c>
      <c r="I49" s="14" t="s">
        <v>75</v>
      </c>
    </row>
    <row r="50" spans="1:9" x14ac:dyDescent="0.2">
      <c r="A50">
        <v>0.8</v>
      </c>
      <c r="B50">
        <f t="shared" si="0"/>
        <v>9.3774797515901938</v>
      </c>
      <c r="E50" s="12" t="s">
        <v>82</v>
      </c>
      <c r="F50" s="13"/>
      <c r="G50" s="13"/>
      <c r="H50" s="13">
        <f>$C$11</f>
        <v>0</v>
      </c>
      <c r="I50" s="14" t="s">
        <v>57</v>
      </c>
    </row>
    <row r="51" spans="1:9" ht="14.25" x14ac:dyDescent="0.2">
      <c r="A51">
        <v>0.9</v>
      </c>
      <c r="B51">
        <f t="shared" si="0"/>
        <v>10.027527683070861</v>
      </c>
      <c r="E51" s="12" t="s">
        <v>83</v>
      </c>
      <c r="F51" s="13"/>
      <c r="G51" s="13"/>
      <c r="H51" s="13">
        <f>$C$11*1000000/($C$6*$C$7)</f>
        <v>0</v>
      </c>
      <c r="I51" s="14" t="s">
        <v>78</v>
      </c>
    </row>
    <row r="52" spans="1:9" x14ac:dyDescent="0.2">
      <c r="A52">
        <v>1</v>
      </c>
      <c r="B52">
        <f t="shared" si="0"/>
        <v>10.590258774237078</v>
      </c>
      <c r="E52" s="12" t="s">
        <v>84</v>
      </c>
      <c r="F52" s="13"/>
      <c r="G52" s="13"/>
      <c r="H52" s="15">
        <f>$H$201</f>
        <v>0</v>
      </c>
      <c r="I52" s="14" t="str">
        <f>IF($B$18=1,$A$18,IF($B$19=1,$A$19,$A$20))</f>
        <v>lb/ft2d</v>
      </c>
    </row>
    <row r="53" spans="1:9" x14ac:dyDescent="0.2">
      <c r="A53">
        <v>1.1000000000000001</v>
      </c>
      <c r="B53">
        <f t="shared" si="0"/>
        <v>11.072723866292993</v>
      </c>
      <c r="E53" s="12" t="s">
        <v>85</v>
      </c>
      <c r="F53" s="13"/>
      <c r="G53" s="13"/>
      <c r="H53" s="16">
        <f>$A$202*1000</f>
        <v>0</v>
      </c>
      <c r="I53" s="14" t="s">
        <v>75</v>
      </c>
    </row>
    <row r="54" spans="1:9" x14ac:dyDescent="0.2">
      <c r="A54">
        <v>1.2</v>
      </c>
      <c r="B54">
        <f t="shared" si="0"/>
        <v>11.481489752173065</v>
      </c>
      <c r="E54" s="12" t="s">
        <v>86</v>
      </c>
      <c r="F54" s="13"/>
      <c r="G54" s="13"/>
      <c r="H54" s="13">
        <f>$C$12</f>
        <v>0</v>
      </c>
      <c r="I54" s="14" t="s">
        <v>57</v>
      </c>
    </row>
    <row r="55" spans="1:9" x14ac:dyDescent="0.2">
      <c r="A55">
        <v>1.3</v>
      </c>
      <c r="B55">
        <f t="shared" si="0"/>
        <v>11.822669819169876</v>
      </c>
      <c r="E55" s="12" t="s">
        <v>84</v>
      </c>
      <c r="F55" s="13"/>
      <c r="G55" s="13"/>
      <c r="H55" s="15">
        <f>$J$205</f>
        <v>0</v>
      </c>
      <c r="I55" s="14" t="str">
        <f>IF($B$18=1,$A$18,IF($B$19=1,$A$19,$A$20))</f>
        <v>lb/ft2d</v>
      </c>
    </row>
    <row r="56" spans="1:9" x14ac:dyDescent="0.2">
      <c r="A56">
        <v>1.4</v>
      </c>
      <c r="B56">
        <f t="shared" si="0"/>
        <v>12.101952844071478</v>
      </c>
      <c r="E56" s="12" t="s">
        <v>85</v>
      </c>
      <c r="F56" s="13"/>
      <c r="G56" s="13"/>
      <c r="H56" s="13">
        <f>$A$206*1000</f>
        <v>0</v>
      </c>
      <c r="I56" s="14" t="s">
        <v>75</v>
      </c>
    </row>
    <row r="57" spans="1:9" x14ac:dyDescent="0.2">
      <c r="A57">
        <v>1.5</v>
      </c>
      <c r="B57">
        <f t="shared" si="0"/>
        <v>12.32463004862325</v>
      </c>
      <c r="E57" s="12"/>
      <c r="F57" s="13"/>
      <c r="G57" s="13"/>
      <c r="H57" s="13"/>
      <c r="I57" s="14"/>
    </row>
    <row r="58" spans="1:9" ht="13.5" thickBot="1" x14ac:dyDescent="0.25">
      <c r="A58">
        <v>1.6</v>
      </c>
      <c r="B58">
        <f t="shared" si="0"/>
        <v>12.49562051698268</v>
      </c>
      <c r="E58" s="4" t="s">
        <v>87</v>
      </c>
      <c r="F58" s="5"/>
      <c r="G58" s="5"/>
      <c r="H58" s="5"/>
      <c r="I58" s="7"/>
    </row>
    <row r="59" spans="1:9" x14ac:dyDescent="0.2">
      <c r="A59">
        <v>1.7</v>
      </c>
      <c r="B59">
        <f t="shared" si="0"/>
        <v>12.619495071032933</v>
      </c>
    </row>
    <row r="60" spans="1:9" x14ac:dyDescent="0.2">
      <c r="A60">
        <v>1.8</v>
      </c>
      <c r="B60">
        <f t="shared" si="0"/>
        <v>12.700498693944411</v>
      </c>
    </row>
    <row r="61" spans="1:9" x14ac:dyDescent="0.2">
      <c r="A61">
        <v>1.9</v>
      </c>
      <c r="B61">
        <f t="shared" si="0"/>
        <v>12.742571587203448</v>
      </c>
    </row>
    <row r="62" spans="1:9" x14ac:dyDescent="0.2">
      <c r="A62">
        <v>2</v>
      </c>
      <c r="B62">
        <f t="shared" si="0"/>
        <v>12.749368941448198</v>
      </c>
    </row>
    <row r="63" spans="1:9" x14ac:dyDescent="0.2">
      <c r="A63">
        <v>2.1</v>
      </c>
      <c r="B63">
        <f t="shared" si="0"/>
        <v>12.72427949684646</v>
      </c>
    </row>
    <row r="64" spans="1:9" x14ac:dyDescent="0.2">
      <c r="A64">
        <v>2.2000000000000002</v>
      </c>
      <c r="B64">
        <f t="shared" si="0"/>
        <v>12.670442964404179</v>
      </c>
    </row>
    <row r="65" spans="1:2" x14ac:dyDescent="0.2">
      <c r="A65">
        <v>2.2999999999999998</v>
      </c>
      <c r="B65">
        <f t="shared" si="0"/>
        <v>12.590766375491951</v>
      </c>
    </row>
    <row r="66" spans="1:2" x14ac:dyDescent="0.2">
      <c r="A66">
        <v>2.4</v>
      </c>
      <c r="B66">
        <f t="shared" si="0"/>
        <v>12.48793942300655</v>
      </c>
    </row>
    <row r="67" spans="1:2" x14ac:dyDescent="0.2">
      <c r="A67">
        <v>2.5</v>
      </c>
      <c r="B67">
        <f t="shared" si="0"/>
        <v>12.364448853932451</v>
      </c>
    </row>
    <row r="68" spans="1:2" x14ac:dyDescent="0.2">
      <c r="A68">
        <v>2.6</v>
      </c>
      <c r="B68">
        <f t="shared" si="0"/>
        <v>12.22259196962259</v>
      </c>
    </row>
    <row r="69" spans="1:2" x14ac:dyDescent="0.2">
      <c r="A69">
        <v>2.7</v>
      </c>
      <c r="B69">
        <f t="shared" si="0"/>
        <v>12.064489286866207</v>
      </c>
    </row>
    <row r="70" spans="1:2" x14ac:dyDescent="0.2">
      <c r="A70">
        <v>2.8</v>
      </c>
      <c r="B70">
        <f t="shared" si="0"/>
        <v>11.892096409744697</v>
      </c>
    </row>
    <row r="71" spans="1:2" x14ac:dyDescent="0.2">
      <c r="A71">
        <v>2.9</v>
      </c>
      <c r="B71">
        <f t="shared" si="0"/>
        <v>11.707215159382191</v>
      </c>
    </row>
    <row r="72" spans="1:2" x14ac:dyDescent="0.2">
      <c r="A72">
        <v>3</v>
      </c>
      <c r="B72">
        <f t="shared" si="0"/>
        <v>11.511504005968485</v>
      </c>
    </row>
    <row r="73" spans="1:2" x14ac:dyDescent="0.2">
      <c r="A73">
        <v>3.1</v>
      </c>
      <c r="B73">
        <f t="shared" si="0"/>
        <v>11.306487844856417</v>
      </c>
    </row>
    <row r="74" spans="1:2" x14ac:dyDescent="0.2">
      <c r="A74">
        <v>3.2</v>
      </c>
      <c r="B74">
        <f t="shared" ref="B74:B105" si="1">($B$18+24*$B$19+4.9111739207*$B$20)*A74*$G$9*EXP(-$G$8*$C$5-($G$6+$G$7*$C$5)*A74)</f>
        <v>11.093567156107591</v>
      </c>
    </row>
    <row r="75" spans="1:2" x14ac:dyDescent="0.2">
      <c r="A75">
        <v>3.3</v>
      </c>
      <c r="B75">
        <f t="shared" si="1"/>
        <v>10.874026584569259</v>
      </c>
    </row>
    <row r="76" spans="1:2" x14ac:dyDescent="0.2">
      <c r="A76">
        <v>3.4</v>
      </c>
      <c r="B76">
        <f t="shared" si="1"/>
        <v>10.649042975404898</v>
      </c>
    </row>
    <row r="77" spans="1:2" x14ac:dyDescent="0.2">
      <c r="A77">
        <v>3.5</v>
      </c>
      <c r="B77">
        <f t="shared" si="1"/>
        <v>10.419692897963701</v>
      </c>
    </row>
    <row r="78" spans="1:2" x14ac:dyDescent="0.2">
      <c r="A78">
        <v>3.6</v>
      </c>
      <c r="B78">
        <f t="shared" si="1"/>
        <v>10.186959688952729</v>
      </c>
    </row>
    <row r="79" spans="1:2" x14ac:dyDescent="0.2">
      <c r="A79">
        <v>3.7</v>
      </c>
      <c r="B79">
        <f t="shared" si="1"/>
        <v>9.9517400440639623</v>
      </c>
    </row>
    <row r="80" spans="1:2" x14ac:dyDescent="0.2">
      <c r="A80">
        <v>3.8</v>
      </c>
      <c r="B80">
        <f t="shared" si="1"/>
        <v>9.7148501855003513</v>
      </c>
    </row>
    <row r="81" spans="1:2" x14ac:dyDescent="0.2">
      <c r="A81">
        <v>3.9</v>
      </c>
      <c r="B81">
        <f t="shared" si="1"/>
        <v>9.4770316312342935</v>
      </c>
    </row>
    <row r="82" spans="1:2" x14ac:dyDescent="0.2">
      <c r="A82">
        <v>4</v>
      </c>
      <c r="B82">
        <f t="shared" si="1"/>
        <v>9.2389565903139133</v>
      </c>
    </row>
    <row r="83" spans="1:2" x14ac:dyDescent="0.2">
      <c r="A83">
        <v>4.0999999999999996</v>
      </c>
      <c r="B83">
        <f t="shared" si="1"/>
        <v>9.0012330071009998</v>
      </c>
    </row>
    <row r="84" spans="1:2" x14ac:dyDescent="0.2">
      <c r="A84">
        <v>4.2</v>
      </c>
      <c r="B84">
        <f t="shared" si="1"/>
        <v>8.7644092759754013</v>
      </c>
    </row>
    <row r="85" spans="1:2" x14ac:dyDescent="0.2">
      <c r="A85">
        <v>4.3</v>
      </c>
      <c r="B85">
        <f t="shared" si="1"/>
        <v>8.5289786467690298</v>
      </c>
    </row>
    <row r="86" spans="1:2" x14ac:dyDescent="0.2">
      <c r="A86">
        <v>4.4000000000000004</v>
      </c>
      <c r="B86">
        <f t="shared" si="1"/>
        <v>8.2953833399938954</v>
      </c>
    </row>
    <row r="87" spans="1:2" x14ac:dyDescent="0.2">
      <c r="A87">
        <v>4.5</v>
      </c>
      <c r="B87">
        <f t="shared" si="1"/>
        <v>8.0640183897993296</v>
      </c>
    </row>
    <row r="88" spans="1:2" x14ac:dyDescent="0.2">
      <c r="A88">
        <v>4.5999999999999996</v>
      </c>
      <c r="B88">
        <f t="shared" si="1"/>
        <v>7.8352352315287837</v>
      </c>
    </row>
    <row r="89" spans="1:2" x14ac:dyDescent="0.2">
      <c r="A89">
        <v>4.7</v>
      </c>
      <c r="B89">
        <f t="shared" si="1"/>
        <v>7.6093450497438564</v>
      </c>
    </row>
    <row r="90" spans="1:2" x14ac:dyDescent="0.2">
      <c r="A90">
        <v>4.8</v>
      </c>
      <c r="B90">
        <f t="shared" si="1"/>
        <v>7.3866219016380361</v>
      </c>
    </row>
    <row r="91" spans="1:2" x14ac:dyDescent="0.2">
      <c r="A91">
        <v>4.9000000000000004</v>
      </c>
      <c r="B91">
        <f t="shared" si="1"/>
        <v>7.1673056298722075</v>
      </c>
    </row>
    <row r="92" spans="1:2" x14ac:dyDescent="0.2">
      <c r="A92">
        <v>5</v>
      </c>
      <c r="B92">
        <f t="shared" si="1"/>
        <v>6.951604578025413</v>
      </c>
    </row>
    <row r="93" spans="1:2" x14ac:dyDescent="0.2">
      <c r="A93">
        <v>5.0999999999999996</v>
      </c>
      <c r="B93">
        <f t="shared" si="1"/>
        <v>6.7396981210638574</v>
      </c>
    </row>
    <row r="94" spans="1:2" x14ac:dyDescent="0.2">
      <c r="A94">
        <v>5.2</v>
      </c>
      <c r="B94">
        <f t="shared" si="1"/>
        <v>6.5317390224873755</v>
      </c>
    </row>
    <row r="95" spans="1:2" x14ac:dyDescent="0.2">
      <c r="A95">
        <v>5.3</v>
      </c>
      <c r="B95">
        <f t="shared" si="1"/>
        <v>6.3278556291111361</v>
      </c>
    </row>
    <row r="96" spans="1:2" x14ac:dyDescent="0.2">
      <c r="A96">
        <v>5.4</v>
      </c>
      <c r="B96">
        <f t="shared" si="1"/>
        <v>6.1281539137806034</v>
      </c>
    </row>
    <row r="97" spans="1:2" x14ac:dyDescent="0.2">
      <c r="A97">
        <v>5.5</v>
      </c>
      <c r="B97">
        <f t="shared" si="1"/>
        <v>5.9327193756960321</v>
      </c>
    </row>
    <row r="98" spans="1:2" x14ac:dyDescent="0.2">
      <c r="A98">
        <v>5.6</v>
      </c>
      <c r="B98">
        <f t="shared" si="1"/>
        <v>5.7416188074373</v>
      </c>
    </row>
    <row r="99" spans="1:2" x14ac:dyDescent="0.2">
      <c r="A99">
        <v>5.7</v>
      </c>
      <c r="B99">
        <f t="shared" si="1"/>
        <v>5.554901937229114</v>
      </c>
    </row>
    <row r="100" spans="1:2" x14ac:dyDescent="0.2">
      <c r="A100">
        <v>5.8</v>
      </c>
      <c r="B100">
        <f t="shared" si="1"/>
        <v>5.372602954467486</v>
      </c>
    </row>
    <row r="101" spans="1:2" x14ac:dyDescent="0.2">
      <c r="A101">
        <v>5.9</v>
      </c>
      <c r="B101">
        <f t="shared" si="1"/>
        <v>5.1947419260402556</v>
      </c>
    </row>
    <row r="102" spans="1:2" x14ac:dyDescent="0.2">
      <c r="A102">
        <v>6</v>
      </c>
      <c r="B102">
        <f t="shared" si="1"/>
        <v>5.021326110514674</v>
      </c>
    </row>
    <row r="103" spans="1:2" x14ac:dyDescent="0.2">
      <c r="A103">
        <v>6.1</v>
      </c>
      <c r="B103">
        <f t="shared" si="1"/>
        <v>4.8523511768323777</v>
      </c>
    </row>
    <row r="104" spans="1:2" x14ac:dyDescent="0.2">
      <c r="A104">
        <v>6.2</v>
      </c>
      <c r="B104">
        <f t="shared" si="1"/>
        <v>4.6878023337450951</v>
      </c>
    </row>
    <row r="105" spans="1:2" x14ac:dyDescent="0.2">
      <c r="A105">
        <v>6.3</v>
      </c>
      <c r="B105">
        <f t="shared" si="1"/>
        <v>4.5276553758411957</v>
      </c>
    </row>
    <row r="106" spans="1:2" x14ac:dyDescent="0.2">
      <c r="A106">
        <v>6.4</v>
      </c>
      <c r="B106">
        <f t="shared" ref="B106:B137" si="2">($B$18+24*$B$19+4.9111739207*$B$20)*A106*$G$9*EXP(-$G$8*$C$5-($G$6+$G$7*$C$5)*A106)</f>
        <v>4.3718776516528273</v>
      </c>
    </row>
    <row r="107" spans="1:2" x14ac:dyDescent="0.2">
      <c r="A107">
        <v>6.5</v>
      </c>
      <c r="B107">
        <f t="shared" si="2"/>
        <v>4.2204289589943427</v>
      </c>
    </row>
    <row r="108" spans="1:2" x14ac:dyDescent="0.2">
      <c r="A108">
        <v>6.6</v>
      </c>
      <c r="B108">
        <f t="shared" si="2"/>
        <v>4.0732623723635637</v>
      </c>
    </row>
    <row r="109" spans="1:2" x14ac:dyDescent="0.2">
      <c r="A109">
        <v>6.7</v>
      </c>
      <c r="B109">
        <f t="shared" si="2"/>
        <v>3.9303250069376654</v>
      </c>
    </row>
    <row r="110" spans="1:2" x14ac:dyDescent="0.2">
      <c r="A110">
        <v>6.8</v>
      </c>
      <c r="B110">
        <f t="shared" si="2"/>
        <v>3.7915587234130657</v>
      </c>
    </row>
    <row r="111" spans="1:2" x14ac:dyDescent="0.2">
      <c r="A111">
        <v>6.9</v>
      </c>
      <c r="B111">
        <f t="shared" si="2"/>
        <v>3.6569007776735472</v>
      </c>
    </row>
    <row r="112" spans="1:2" x14ac:dyDescent="0.2">
      <c r="A112">
        <v>7</v>
      </c>
      <c r="B112">
        <f t="shared" si="2"/>
        <v>3.526284419021307</v>
      </c>
    </row>
    <row r="113" spans="1:2" x14ac:dyDescent="0.2">
      <c r="A113">
        <v>7.1</v>
      </c>
      <c r="B113">
        <f t="shared" si="2"/>
        <v>3.3996394404710899</v>
      </c>
    </row>
    <row r="114" spans="1:2" x14ac:dyDescent="0.2">
      <c r="A114">
        <v>7.2</v>
      </c>
      <c r="B114">
        <f t="shared" si="2"/>
        <v>3.2768926843870663</v>
      </c>
    </row>
    <row r="115" spans="1:2" x14ac:dyDescent="0.2">
      <c r="A115">
        <v>7.3</v>
      </c>
      <c r="B115">
        <f t="shared" si="2"/>
        <v>3.157968506534973</v>
      </c>
    </row>
    <row r="116" spans="1:2" x14ac:dyDescent="0.2">
      <c r="A116">
        <v>7.4</v>
      </c>
      <c r="B116">
        <f t="shared" si="2"/>
        <v>3.0427892014272206</v>
      </c>
    </row>
    <row r="117" spans="1:2" x14ac:dyDescent="0.2">
      <c r="A117">
        <v>7.5</v>
      </c>
      <c r="B117">
        <f t="shared" si="2"/>
        <v>2.9312753916557117</v>
      </c>
    </row>
    <row r="118" spans="1:2" x14ac:dyDescent="0.2">
      <c r="A118">
        <v>7.6</v>
      </c>
      <c r="B118">
        <f t="shared" si="2"/>
        <v>2.8233463837351933</v>
      </c>
    </row>
    <row r="119" spans="1:2" x14ac:dyDescent="0.2">
      <c r="A119">
        <v>7.7</v>
      </c>
      <c r="B119">
        <f t="shared" si="2"/>
        <v>2.7189204928184179</v>
      </c>
    </row>
    <row r="120" spans="1:2" x14ac:dyDescent="0.2">
      <c r="A120">
        <v>7.8</v>
      </c>
      <c r="B120">
        <f t="shared" si="2"/>
        <v>2.6179153384927516</v>
      </c>
    </row>
    <row r="121" spans="1:2" x14ac:dyDescent="0.2">
      <c r="A121">
        <v>7.9</v>
      </c>
      <c r="B121">
        <f t="shared" si="2"/>
        <v>2.5202481137253092</v>
      </c>
    </row>
    <row r="122" spans="1:2" x14ac:dyDescent="0.2">
      <c r="A122">
        <v>8</v>
      </c>
      <c r="B122">
        <f t="shared" si="2"/>
        <v>2.4258358288900652</v>
      </c>
    </row>
    <row r="123" spans="1:2" x14ac:dyDescent="0.2">
      <c r="A123">
        <v>8.1</v>
      </c>
      <c r="B123">
        <f t="shared" si="2"/>
        <v>2.334595532684546</v>
      </c>
    </row>
    <row r="124" spans="1:2" x14ac:dyDescent="0.2">
      <c r="A124">
        <v>8.1999999999999993</v>
      </c>
      <c r="B124">
        <f t="shared" si="2"/>
        <v>2.2464445116260907</v>
      </c>
    </row>
    <row r="125" spans="1:2" x14ac:dyDescent="0.2">
      <c r="A125">
        <v>8.3000000000000007</v>
      </c>
      <c r="B125">
        <f t="shared" si="2"/>
        <v>2.1613004697067844</v>
      </c>
    </row>
    <row r="126" spans="1:2" x14ac:dyDescent="0.2">
      <c r="A126">
        <v>8.4</v>
      </c>
      <c r="B126">
        <f t="shared" si="2"/>
        <v>2.079081689682424</v>
      </c>
    </row>
    <row r="127" spans="1:2" x14ac:dyDescent="0.2">
      <c r="A127">
        <v>8.5</v>
      </c>
      <c r="B127">
        <f t="shared" si="2"/>
        <v>1.9997071773734287</v>
      </c>
    </row>
    <row r="128" spans="1:2" x14ac:dyDescent="0.2">
      <c r="A128">
        <v>8.6</v>
      </c>
      <c r="B128">
        <f t="shared" si="2"/>
        <v>1.9230967902641702</v>
      </c>
    </row>
    <row r="129" spans="1:2" x14ac:dyDescent="0.2">
      <c r="A129">
        <v>8.6999999999999993</v>
      </c>
      <c r="B129">
        <f t="shared" si="2"/>
        <v>1.8491713516015202</v>
      </c>
    </row>
    <row r="130" spans="1:2" x14ac:dyDescent="0.2">
      <c r="A130">
        <v>8.8000000000000007</v>
      </c>
      <c r="B130">
        <f t="shared" si="2"/>
        <v>1.77785275111296</v>
      </c>
    </row>
    <row r="131" spans="1:2" x14ac:dyDescent="0.2">
      <c r="A131">
        <v>8.9</v>
      </c>
      <c r="B131">
        <f t="shared" si="2"/>
        <v>1.7090640333892448</v>
      </c>
    </row>
    <row r="132" spans="1:2" x14ac:dyDescent="0.2">
      <c r="A132">
        <v>9</v>
      </c>
      <c r="B132">
        <f t="shared" si="2"/>
        <v>1.6427294749059469</v>
      </c>
    </row>
    <row r="133" spans="1:2" x14ac:dyDescent="0.2">
      <c r="A133">
        <v>9.1</v>
      </c>
      <c r="B133">
        <f t="shared" si="2"/>
        <v>1.5787746505919926</v>
      </c>
    </row>
    <row r="134" spans="1:2" x14ac:dyDescent="0.2">
      <c r="A134">
        <v>9.1999999999999993</v>
      </c>
      <c r="B134">
        <f t="shared" si="2"/>
        <v>1.5171264907911926</v>
      </c>
    </row>
    <row r="135" spans="1:2" x14ac:dyDescent="0.2">
      <c r="A135">
        <v>9.3000000000000007</v>
      </c>
      <c r="B135">
        <f t="shared" si="2"/>
        <v>1.457713329404706</v>
      </c>
    </row>
    <row r="136" spans="1:2" x14ac:dyDescent="0.2">
      <c r="A136">
        <v>9.4</v>
      </c>
      <c r="B136">
        <f t="shared" si="2"/>
        <v>1.400464943947842</v>
      </c>
    </row>
    <row r="137" spans="1:2" x14ac:dyDescent="0.2">
      <c r="A137">
        <v>9.5</v>
      </c>
      <c r="B137">
        <f t="shared" si="2"/>
        <v>1.3453125882036521</v>
      </c>
    </row>
    <row r="138" spans="1:2" x14ac:dyDescent="0.2">
      <c r="A138">
        <v>9.6</v>
      </c>
      <c r="B138">
        <f t="shared" ref="B138:B169" si="3">($B$18+24*$B$19+4.9111739207*$B$20)*A138*$G$9*EXP(-$G$8*$C$5-($G$6+$G$7*$C$5)*A138)</f>
        <v>1.2921890181080238</v>
      </c>
    </row>
    <row r="139" spans="1:2" x14ac:dyDescent="0.2">
      <c r="A139">
        <v>9.6999999999999993</v>
      </c>
      <c r="B139">
        <f t="shared" si="3"/>
        <v>1.2410285114562434</v>
      </c>
    </row>
    <row r="140" spans="1:2" x14ac:dyDescent="0.2">
      <c r="A140">
        <v>9.8000000000000007</v>
      </c>
      <c r="B140">
        <f t="shared" si="3"/>
        <v>1.191766881979252</v>
      </c>
    </row>
    <row r="141" spans="1:2" x14ac:dyDescent="0.2">
      <c r="A141">
        <v>9.9</v>
      </c>
      <c r="B141">
        <f t="shared" si="3"/>
        <v>1.1443414882986112</v>
      </c>
    </row>
    <row r="142" spans="1:2" x14ac:dyDescent="0.2">
      <c r="A142">
        <v>10</v>
      </c>
      <c r="B142">
        <f t="shared" si="3"/>
        <v>1.0986912382326548</v>
      </c>
    </row>
    <row r="143" spans="1:2" x14ac:dyDescent="0.2">
      <c r="A143">
        <v>10.1</v>
      </c>
      <c r="B143">
        <f t="shared" si="3"/>
        <v>1.0547565888920616</v>
      </c>
    </row>
    <row r="144" spans="1:2" x14ac:dyDescent="0.2">
      <c r="A144">
        <v>10.199999999999999</v>
      </c>
      <c r="B144">
        <f t="shared" si="3"/>
        <v>1.0124795429710749</v>
      </c>
    </row>
    <row r="145" spans="1:2" x14ac:dyDescent="0.2">
      <c r="A145">
        <v>10.3</v>
      </c>
      <c r="B145">
        <f t="shared" si="3"/>
        <v>0.97180364161073851</v>
      </c>
    </row>
    <row r="146" spans="1:2" x14ac:dyDescent="0.2">
      <c r="A146">
        <v>10.4</v>
      </c>
      <c r="B146">
        <f t="shared" si="3"/>
        <v>0.93267395418253207</v>
      </c>
    </row>
    <row r="147" spans="1:2" x14ac:dyDescent="0.2">
      <c r="A147">
        <v>10.5</v>
      </c>
      <c r="B147">
        <f t="shared" si="3"/>
        <v>0.89503706531474514</v>
      </c>
    </row>
    <row r="148" spans="1:2" x14ac:dyDescent="0.2">
      <c r="A148">
        <v>10.6</v>
      </c>
      <c r="B148">
        <f t="shared" si="3"/>
        <v>0.85884105945954436</v>
      </c>
    </row>
    <row r="149" spans="1:2" x14ac:dyDescent="0.2">
      <c r="A149">
        <v>10.7</v>
      </c>
      <c r="B149">
        <f t="shared" si="3"/>
        <v>0.82403550327594211</v>
      </c>
    </row>
    <row r="150" spans="1:2" x14ac:dyDescent="0.2">
      <c r="A150">
        <v>10.8</v>
      </c>
      <c r="B150">
        <f t="shared" si="3"/>
        <v>0.79057142608267739</v>
      </c>
    </row>
    <row r="151" spans="1:2" x14ac:dyDescent="0.2">
      <c r="A151">
        <v>10.9</v>
      </c>
      <c r="B151">
        <f t="shared" si="3"/>
        <v>0.7584012986152181</v>
      </c>
    </row>
    <row r="152" spans="1:2" x14ac:dyDescent="0.2">
      <c r="A152">
        <v>11</v>
      </c>
      <c r="B152">
        <f t="shared" si="3"/>
        <v>0.72747901030261442</v>
      </c>
    </row>
    <row r="153" spans="1:2" x14ac:dyDescent="0.2">
      <c r="A153">
        <v>11.1</v>
      </c>
      <c r="B153">
        <f t="shared" si="3"/>
        <v>0.69775984526278911</v>
      </c>
    </row>
    <row r="154" spans="1:2" x14ac:dyDescent="0.2">
      <c r="A154">
        <v>11.2</v>
      </c>
      <c r="B154">
        <f t="shared" si="3"/>
        <v>0.66920045719874999</v>
      </c>
    </row>
    <row r="155" spans="1:2" x14ac:dyDescent="0.2">
      <c r="A155">
        <v>11.3</v>
      </c>
      <c r="B155">
        <f t="shared" si="3"/>
        <v>0.64175884336334466</v>
      </c>
    </row>
    <row r="156" spans="1:2" x14ac:dyDescent="0.2">
      <c r="A156">
        <v>11.4</v>
      </c>
      <c r="B156">
        <f t="shared" si="3"/>
        <v>0.61539431774624276</v>
      </c>
    </row>
    <row r="157" spans="1:2" x14ac:dyDescent="0.2">
      <c r="A157">
        <v>11.5</v>
      </c>
      <c r="B157">
        <f t="shared" si="3"/>
        <v>0.59006748362390293</v>
      </c>
    </row>
    <row r="158" spans="1:2" x14ac:dyDescent="0.2">
      <c r="A158">
        <v>11.6</v>
      </c>
      <c r="B158">
        <f t="shared" si="3"/>
        <v>0.56574020560128035</v>
      </c>
    </row>
    <row r="159" spans="1:2" x14ac:dyDescent="0.2">
      <c r="A159">
        <v>11.7</v>
      </c>
      <c r="B159">
        <f t="shared" si="3"/>
        <v>0.54237558126280694</v>
      </c>
    </row>
    <row r="160" spans="1:2" x14ac:dyDescent="0.2">
      <c r="A160">
        <v>11.8</v>
      </c>
      <c r="B160">
        <f t="shared" si="3"/>
        <v>0.51993791253981858</v>
      </c>
    </row>
    <row r="161" spans="1:2" x14ac:dyDescent="0.2">
      <c r="A161">
        <v>11.9</v>
      </c>
      <c r="B161">
        <f t="shared" si="3"/>
        <v>0.49839267689194039</v>
      </c>
    </row>
    <row r="162" spans="1:2" x14ac:dyDescent="0.2">
      <c r="A162">
        <v>12</v>
      </c>
      <c r="B162">
        <f t="shared" si="3"/>
        <v>0.47770649839097301</v>
      </c>
    </row>
    <row r="163" spans="1:2" x14ac:dyDescent="0.2">
      <c r="A163">
        <v>12.1</v>
      </c>
      <c r="B163">
        <f t="shared" si="3"/>
        <v>0.45784711878753875</v>
      </c>
    </row>
    <row r="164" spans="1:2" x14ac:dyDescent="0.2">
      <c r="A164">
        <v>12.2</v>
      </c>
      <c r="B164">
        <f t="shared" si="3"/>
        <v>0.43878336863301781</v>
      </c>
    </row>
    <row r="165" spans="1:2" x14ac:dyDescent="0.2">
      <c r="A165">
        <v>12.3</v>
      </c>
      <c r="B165">
        <f t="shared" si="3"/>
        <v>0.42048513852217473</v>
      </c>
    </row>
    <row r="166" spans="1:2" x14ac:dyDescent="0.2">
      <c r="A166">
        <v>12.4</v>
      </c>
      <c r="B166">
        <f t="shared" si="3"/>
        <v>0.402923350515278</v>
      </c>
    </row>
    <row r="167" spans="1:2" x14ac:dyDescent="0.2">
      <c r="A167">
        <v>12.5</v>
      </c>
      <c r="B167">
        <f t="shared" si="3"/>
        <v>0.38606992979237237</v>
      </c>
    </row>
    <row r="168" spans="1:2" x14ac:dyDescent="0.2">
      <c r="A168">
        <v>12.6</v>
      </c>
      <c r="B168">
        <f t="shared" si="3"/>
        <v>0.3698977765867455</v>
      </c>
    </row>
    <row r="169" spans="1:2" x14ac:dyDescent="0.2">
      <c r="A169">
        <v>12.7</v>
      </c>
      <c r="B169">
        <f t="shared" si="3"/>
        <v>0.35438073843937373</v>
      </c>
    </row>
    <row r="170" spans="1:2" x14ac:dyDescent="0.2">
      <c r="A170">
        <v>12.8</v>
      </c>
      <c r="B170">
        <f t="shared" ref="B170:B192" si="4">($B$18+24*$B$19+4.9111739207*$B$20)*A170*$G$9*EXP(-$G$8*$C$5-($G$6+$G$7*$C$5)*A170)</f>
        <v>0.33949358281133513</v>
      </c>
    </row>
    <row r="171" spans="1:2" x14ac:dyDescent="0.2">
      <c r="A171">
        <v>12.9</v>
      </c>
      <c r="B171">
        <f t="shared" si="4"/>
        <v>0.32521197008671299</v>
      </c>
    </row>
    <row r="172" spans="1:2" x14ac:dyDescent="0.2">
      <c r="A172">
        <v>13</v>
      </c>
      <c r="B172">
        <f t="shared" si="4"/>
        <v>0.31151242699443132</v>
      </c>
    </row>
    <row r="173" spans="1:2" x14ac:dyDescent="0.2">
      <c r="A173">
        <v>13.1</v>
      </c>
      <c r="B173">
        <f t="shared" si="4"/>
        <v>0.29837232047368062</v>
      </c>
    </row>
    <row r="174" spans="1:2" x14ac:dyDescent="0.2">
      <c r="A174">
        <v>13.2</v>
      </c>
      <c r="B174">
        <f t="shared" si="4"/>
        <v>0.28576983200413342</v>
      </c>
    </row>
    <row r="175" spans="1:2" x14ac:dyDescent="0.2">
      <c r="A175">
        <v>13.3</v>
      </c>
      <c r="B175">
        <f t="shared" si="4"/>
        <v>0.27368393241895467</v>
      </c>
    </row>
    <row r="176" spans="1:2" x14ac:dyDescent="0.2">
      <c r="A176">
        <v>13.4</v>
      </c>
      <c r="B176">
        <f t="shared" si="4"/>
        <v>0.26209435721570934</v>
      </c>
    </row>
    <row r="177" spans="1:2" x14ac:dyDescent="0.2">
      <c r="A177">
        <v>13.5</v>
      </c>
      <c r="B177">
        <f t="shared" si="4"/>
        <v>0.25098158237756002</v>
      </c>
    </row>
    <row r="178" spans="1:2" x14ac:dyDescent="0.2">
      <c r="A178">
        <v>13.6</v>
      </c>
      <c r="B178">
        <f t="shared" si="4"/>
        <v>0.24032680071474039</v>
      </c>
    </row>
    <row r="179" spans="1:2" x14ac:dyDescent="0.2">
      <c r="A179">
        <v>13.7</v>
      </c>
      <c r="B179">
        <f t="shared" si="4"/>
        <v>0.23011189873402232</v>
      </c>
    </row>
    <row r="180" spans="1:2" x14ac:dyDescent="0.2">
      <c r="A180">
        <v>13.8</v>
      </c>
      <c r="B180">
        <f t="shared" si="4"/>
        <v>0.22031943404186452</v>
      </c>
    </row>
    <row r="181" spans="1:2" x14ac:dyDescent="0.2">
      <c r="A181">
        <v>13.9</v>
      </c>
      <c r="B181">
        <f t="shared" si="4"/>
        <v>0.21093261328508023</v>
      </c>
    </row>
    <row r="182" spans="1:2" x14ac:dyDescent="0.2">
      <c r="A182">
        <v>14</v>
      </c>
      <c r="B182">
        <f t="shared" si="4"/>
        <v>0.20193527063116803</v>
      </c>
    </row>
    <row r="183" spans="1:2" x14ac:dyDescent="0.2">
      <c r="A183">
        <v>14.1</v>
      </c>
      <c r="B183">
        <f t="shared" si="4"/>
        <v>0.1933118467889213</v>
      </c>
    </row>
    <row r="184" spans="1:2" x14ac:dyDescent="0.2">
      <c r="A184">
        <v>14.2</v>
      </c>
      <c r="B184">
        <f t="shared" si="4"/>
        <v>0.18504736856855214</v>
      </c>
    </row>
    <row r="185" spans="1:2" x14ac:dyDescent="0.2">
      <c r="A185">
        <v>14.3</v>
      </c>
      <c r="B185">
        <f t="shared" si="4"/>
        <v>0.17712742897931302</v>
      </c>
    </row>
    <row r="186" spans="1:2" x14ac:dyDescent="0.2">
      <c r="A186">
        <v>14.4</v>
      </c>
      <c r="B186">
        <f t="shared" si="4"/>
        <v>0.16953816786148532</v>
      </c>
    </row>
    <row r="187" spans="1:2" x14ac:dyDescent="0.2">
      <c r="A187">
        <v>14.5</v>
      </c>
      <c r="B187">
        <f t="shared" si="4"/>
        <v>0.16226625304858608</v>
      </c>
    </row>
    <row r="188" spans="1:2" x14ac:dyDescent="0.2">
      <c r="A188">
        <v>14.6</v>
      </c>
      <c r="B188">
        <f t="shared" si="4"/>
        <v>0.15529886205475507</v>
      </c>
    </row>
    <row r="189" spans="1:2" x14ac:dyDescent="0.2">
      <c r="A189">
        <v>14.7</v>
      </c>
      <c r="B189">
        <f t="shared" si="4"/>
        <v>0.14862366428148327</v>
      </c>
    </row>
    <row r="190" spans="1:2" x14ac:dyDescent="0.2">
      <c r="A190">
        <v>14.8</v>
      </c>
      <c r="B190">
        <f t="shared" si="4"/>
        <v>0.14222880373712835</v>
      </c>
    </row>
    <row r="191" spans="1:2" x14ac:dyDescent="0.2">
      <c r="A191">
        <v>14.9</v>
      </c>
      <c r="B191">
        <f t="shared" si="4"/>
        <v>0.13610288226204767</v>
      </c>
    </row>
    <row r="192" spans="1:2" x14ac:dyDescent="0.2">
      <c r="A192">
        <v>15</v>
      </c>
      <c r="B192">
        <f t="shared" si="4"/>
        <v>0.13023494325162888</v>
      </c>
    </row>
    <row r="193" spans="1:10" x14ac:dyDescent="0.2">
      <c r="A193">
        <f>$C$8</f>
        <v>2.89</v>
      </c>
      <c r="C193">
        <f>(1697.73777048*$B$18+40745.7064914*$B19+8337.88546256*$B$20)*$A193*$C$9/($C$6*$C$7)</f>
        <v>9.176378034464836</v>
      </c>
    </row>
    <row r="194" spans="1:10" x14ac:dyDescent="0.2">
      <c r="A194">
        <v>0</v>
      </c>
      <c r="D194">
        <v>0</v>
      </c>
    </row>
    <row r="195" spans="1:10" x14ac:dyDescent="0.2">
      <c r="A195">
        <f>(0.000589019116*$B$18+0.0000245424631*$B$19+0.000119934485*$B$20)*$D$195*$C$6*$C$7/$C$9</f>
        <v>5.019667083106051</v>
      </c>
      <c r="D195">
        <f>1.25*($B$18+24*$B$19+4.9111739207*$B$20)*$G$9*EXP(-$G$8*$C$5-1)/($G$6+$G$7*$C$5)</f>
        <v>15.938533844468873</v>
      </c>
    </row>
    <row r="196" spans="1:10" x14ac:dyDescent="0.2">
      <c r="A196">
        <v>0</v>
      </c>
      <c r="E196">
        <f>(1697.73777048*$B$18+40745.7064914*$B$19+8337.88546256*$B$20)*($C$9+$C$10)*$C$8/($C$6*$C$7)</f>
        <v>13.152808516066264</v>
      </c>
    </row>
    <row r="197" spans="1:10" x14ac:dyDescent="0.2">
      <c r="A197">
        <f>(0.000589019116*$B$18+0.0000245424631*$B$19+0.000119934485*$B$20)*$E$196*$C$6*$C$7/$C$10</f>
        <v>9.5592307591086954</v>
      </c>
      <c r="E197">
        <f>-(1697.73777048*$B$18+40745.7064914*$B$19+8337.88546256*$B$20)*$A197*$C$10/($C$6*$C$7)+$E$196</f>
        <v>1.392724158222336E-8</v>
      </c>
    </row>
    <row r="198" spans="1:10" x14ac:dyDescent="0.2">
      <c r="A198">
        <f>$C$8</f>
        <v>2.89</v>
      </c>
      <c r="F198">
        <f>(1697.73777048*$B$18+40745.7064914*$B$19+8337.88546256*$B$20)*$A198*$C$11/($C$6*$C$7)</f>
        <v>0</v>
      </c>
    </row>
    <row r="199" spans="1:10" x14ac:dyDescent="0.2">
      <c r="A199">
        <v>0</v>
      </c>
      <c r="G199">
        <v>0</v>
      </c>
    </row>
    <row r="200" spans="1:10" x14ac:dyDescent="0.2">
      <c r="A200">
        <f>IF($C$11=0,0,(0.000589019116*$B$18+0.0000245424631*$B$19+0.000119934485*$B$20)*$D$195*$C$6*$C$7/$C$11)</f>
        <v>0</v>
      </c>
      <c r="G200">
        <f>IF($C$11=0,0,1.25*($B$18+24*$B$19+4.9111739207*$B$20)*$G$9*EXP(-$G$8*$C$5-1)/($G$6+$G$7*$C$5))</f>
        <v>0</v>
      </c>
    </row>
    <row r="201" spans="1:10" x14ac:dyDescent="0.2">
      <c r="A201">
        <v>0</v>
      </c>
      <c r="H201">
        <f>IF($C$11=0,0,(1697.73777048*$B$18+40745.7064914*$B$19+8337.88546256*$B$20)*($C$11+$C$10)*$C$8/($C$6*$C$7))</f>
        <v>0</v>
      </c>
    </row>
    <row r="202" spans="1:10" x14ac:dyDescent="0.2">
      <c r="A202">
        <f>(0.000589019116*$B$18+0.0000245424631*$B$19+0.000119934485*$B$20)*$H$201*$C$6*$C$7/$C$10</f>
        <v>0</v>
      </c>
      <c r="H202">
        <f>IF($C$11=0,0,-(1697.73777048*$B$18+40745.7064914*$B$19+8337.88546256*$B$20)*$A202*$C$10/($C$6*$C$7)+$H$201)</f>
        <v>0</v>
      </c>
    </row>
    <row r="203" spans="1:10" x14ac:dyDescent="0.2">
      <c r="A203">
        <v>0</v>
      </c>
      <c r="I203">
        <f>IF($C$11=0,0,1697.73777048*$B$18+40745.7064914*$B$19+8337.88546256*$B$20)*($C$9+$C$12)*$C$8/($C$6*$C$7)</f>
        <v>0</v>
      </c>
    </row>
    <row r="204" spans="1:10" x14ac:dyDescent="0.2">
      <c r="A204">
        <f>IF($C$11=0,0,(0.000589019116*$B$18+0.0000245424631*$B$19+0.000119934485*$B$20)*$I$203*$C$6*$C$7/$C$10)</f>
        <v>0</v>
      </c>
      <c r="I204">
        <f>IF($C$11=0,0,(1697.73777048*$B$18+40745.7064914*$B$19+8337.88546256*$B$20)*$A204*(-1)*$C$10/($C$6*$C$7)+$I$203)</f>
        <v>0</v>
      </c>
    </row>
    <row r="205" spans="1:10" x14ac:dyDescent="0.2">
      <c r="A205">
        <f>IF($C$12=0,0,0)</f>
        <v>0</v>
      </c>
      <c r="J205">
        <f>IF($C$12=0,0,(1697.73777048*$B$18+40745.7064914*$B$19+8337.88546256*$B$20)*($C$9+$C$12)*$C$8/($C$6*$C$7))</f>
        <v>0</v>
      </c>
    </row>
    <row r="206" spans="1:10" x14ac:dyDescent="0.2">
      <c r="A206">
        <f>IF($C$12=0,0,(0.000589019116*$B$18+0.0000245424631*$B$19+0.000119934485*$B$20)*$J$205*$C$6*$C$7/$C$12)</f>
        <v>0</v>
      </c>
      <c r="J206">
        <f>IF($C$12=0,0,-(1697.73777048*$B$18+40745.7064914*$B$19+8337.88546256*$B$20)*$A206*$C$12/($C$6*$C$7)+$J$205)</f>
        <v>0</v>
      </c>
    </row>
  </sheetData>
  <phoneticPr fontId="5" type="noConversion"/>
  <printOptions horizontalCentered="1"/>
  <pageMargins left="0.75" right="0.75" top="1" bottom="1" header="0.5" footer="0.5"/>
  <pageSetup orientation="portrait" horizontalDpi="4294967292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zoomScale="115" zoomScaleNormal="115" workbookViewId="0">
      <selection activeCell="F3" sqref="F3"/>
    </sheetView>
  </sheetViews>
  <sheetFormatPr defaultRowHeight="12.75" x14ac:dyDescent="0.2"/>
  <cols>
    <col min="1" max="1" width="25" customWidth="1"/>
    <col min="2" max="2" width="19.28515625" customWidth="1"/>
  </cols>
  <sheetData>
    <row r="1" spans="1:8" ht="15.75" x14ac:dyDescent="0.25">
      <c r="A1" s="1" t="s">
        <v>40</v>
      </c>
    </row>
    <row r="2" spans="1:8" ht="15.75" x14ac:dyDescent="0.25">
      <c r="A2" s="1" t="s">
        <v>41</v>
      </c>
      <c r="F2" s="17" t="s">
        <v>128</v>
      </c>
    </row>
    <row r="3" spans="1:8" ht="15.75" x14ac:dyDescent="0.25">
      <c r="A3" s="1" t="s">
        <v>42</v>
      </c>
    </row>
    <row r="4" spans="1:8" ht="13.5" thickBot="1" x14ac:dyDescent="0.25">
      <c r="C4" s="2"/>
    </row>
    <row r="5" spans="1:8" ht="13.5" thickTop="1" x14ac:dyDescent="0.2">
      <c r="A5" s="17" t="s">
        <v>43</v>
      </c>
      <c r="C5" s="23">
        <v>150</v>
      </c>
      <c r="D5" t="s">
        <v>44</v>
      </c>
    </row>
    <row r="6" spans="1:8" x14ac:dyDescent="0.2">
      <c r="A6" t="s">
        <v>45</v>
      </c>
      <c r="C6" s="22">
        <v>3</v>
      </c>
      <c r="F6" t="s">
        <v>46</v>
      </c>
      <c r="G6">
        <v>0.245</v>
      </c>
      <c r="H6" t="s">
        <v>47</v>
      </c>
    </row>
    <row r="7" spans="1:8" ht="14.25" x14ac:dyDescent="0.2">
      <c r="A7" t="s">
        <v>48</v>
      </c>
      <c r="C7" s="22">
        <v>4776</v>
      </c>
      <c r="D7" t="s">
        <v>49</v>
      </c>
      <c r="F7" t="s">
        <v>50</v>
      </c>
      <c r="G7">
        <v>2.96E-3</v>
      </c>
      <c r="H7" t="s">
        <v>51</v>
      </c>
    </row>
    <row r="8" spans="1:8" x14ac:dyDescent="0.2">
      <c r="A8" t="s">
        <v>52</v>
      </c>
      <c r="C8" s="24">
        <v>3</v>
      </c>
      <c r="D8" t="s">
        <v>53</v>
      </c>
      <c r="F8" t="s">
        <v>54</v>
      </c>
      <c r="G8">
        <v>1.073E-2</v>
      </c>
      <c r="H8" t="s">
        <v>55</v>
      </c>
    </row>
    <row r="9" spans="1:8" x14ac:dyDescent="0.2">
      <c r="A9" t="s">
        <v>56</v>
      </c>
      <c r="C9" s="24">
        <v>4.32</v>
      </c>
      <c r="D9" t="s">
        <v>57</v>
      </c>
      <c r="F9" t="s">
        <v>58</v>
      </c>
      <c r="G9">
        <v>24.3</v>
      </c>
      <c r="H9" t="s">
        <v>59</v>
      </c>
    </row>
    <row r="10" spans="1:8" x14ac:dyDescent="0.2">
      <c r="A10" t="s">
        <v>60</v>
      </c>
      <c r="C10" s="24">
        <f>1500*60*24/1000000</f>
        <v>2.16</v>
      </c>
      <c r="D10" t="s">
        <v>57</v>
      </c>
    </row>
    <row r="11" spans="1:8" x14ac:dyDescent="0.2">
      <c r="A11" t="s">
        <v>61</v>
      </c>
      <c r="C11" s="22">
        <v>0</v>
      </c>
      <c r="D11" t="s">
        <v>57</v>
      </c>
    </row>
    <row r="12" spans="1:8" x14ac:dyDescent="0.2">
      <c r="A12" t="s">
        <v>62</v>
      </c>
      <c r="C12" s="22">
        <v>0</v>
      </c>
      <c r="D12" t="s">
        <v>57</v>
      </c>
    </row>
    <row r="13" spans="1:8" x14ac:dyDescent="0.2">
      <c r="C13" s="21"/>
    </row>
    <row r="14" spans="1:8" ht="15.75" x14ac:dyDescent="0.25">
      <c r="A14" s="1" t="s">
        <v>63</v>
      </c>
    </row>
    <row r="15" spans="1:8" ht="15.75" x14ac:dyDescent="0.25">
      <c r="A15" s="1" t="s">
        <v>64</v>
      </c>
    </row>
    <row r="16" spans="1:8" ht="15.75" x14ac:dyDescent="0.25">
      <c r="A16" s="1" t="s">
        <v>65</v>
      </c>
    </row>
    <row r="18" spans="1:4" ht="14.25" x14ac:dyDescent="0.2">
      <c r="A18" t="s">
        <v>66</v>
      </c>
      <c r="B18">
        <v>0</v>
      </c>
    </row>
    <row r="19" spans="1:4" ht="14.25" x14ac:dyDescent="0.2">
      <c r="A19" t="s">
        <v>67</v>
      </c>
      <c r="B19">
        <v>0</v>
      </c>
    </row>
    <row r="20" spans="1:4" ht="14.25" x14ac:dyDescent="0.2">
      <c r="A20" t="s">
        <v>68</v>
      </c>
      <c r="B20">
        <v>1</v>
      </c>
    </row>
    <row r="29" spans="1:4" x14ac:dyDescent="0.2">
      <c r="B29" t="s">
        <v>105</v>
      </c>
      <c r="C29">
        <v>3000</v>
      </c>
      <c r="D29" t="s">
        <v>104</v>
      </c>
    </row>
    <row r="30" spans="1:4" x14ac:dyDescent="0.2">
      <c r="C30">
        <f>C29*0.00144</f>
        <v>4.32</v>
      </c>
      <c r="D30" t="s">
        <v>57</v>
      </c>
    </row>
    <row r="31" spans="1:4" x14ac:dyDescent="0.2">
      <c r="B31" t="s">
        <v>106</v>
      </c>
      <c r="C31">
        <v>1500</v>
      </c>
      <c r="D31" t="s">
        <v>104</v>
      </c>
    </row>
    <row r="32" spans="1:4" x14ac:dyDescent="0.2">
      <c r="C32">
        <f>C31*0.00144</f>
        <v>2.16</v>
      </c>
      <c r="D32" t="s">
        <v>57</v>
      </c>
    </row>
    <row r="37" spans="1:9" ht="13.5" thickBot="1" x14ac:dyDescent="0.25"/>
    <row r="38" spans="1:9" ht="13.5" thickBot="1" x14ac:dyDescent="0.25">
      <c r="A38" s="22" t="s">
        <v>69</v>
      </c>
      <c r="B38" s="22" t="s">
        <v>70</v>
      </c>
      <c r="E38" s="8" t="s">
        <v>71</v>
      </c>
      <c r="F38" s="9"/>
      <c r="G38" s="10"/>
      <c r="H38" s="10"/>
      <c r="I38" s="11"/>
    </row>
    <row r="39" spans="1:9" x14ac:dyDescent="0.2">
      <c r="A39" s="22" t="s">
        <v>72</v>
      </c>
      <c r="B39" s="22" t="str">
        <f>IF($B$18=1,"Solids Flux  (kg/m2d)",IF($B$19=1,"Solids Flux  (kg/m2d)","Solids Flux  (lb/ft2d)"))</f>
        <v>Solids Flux  (lb/ft2d)</v>
      </c>
      <c r="E39" s="3"/>
      <c r="I39" s="6"/>
    </row>
    <row r="40" spans="1:9" x14ac:dyDescent="0.2">
      <c r="A40" s="22">
        <v>0</v>
      </c>
      <c r="B40" s="22">
        <f>($B$18+24*$B$19+4.9111739207*$B$20)*A40*$G$9*EXP(-$G$8*$C$5-($G$6+$G$7*$C$5)*A40)</f>
        <v>0</v>
      </c>
      <c r="E40" s="12" t="str">
        <f>$A$5</f>
        <v xml:space="preserve">SVIGS </v>
      </c>
      <c r="F40" s="13"/>
      <c r="G40" s="13"/>
      <c r="H40" s="13">
        <f>$C$5</f>
        <v>150</v>
      </c>
      <c r="I40" s="14" t="s">
        <v>44</v>
      </c>
    </row>
    <row r="41" spans="1:9" ht="14.25" x14ac:dyDescent="0.2">
      <c r="A41" s="22">
        <v>0.1</v>
      </c>
      <c r="B41" s="22">
        <f t="shared" ref="B41:B56" si="0">($B$18+24*$B$19+4.9111739207*$B$20)*A41*$G$9*EXP(-$G$8*$C$5-($G$6+$G$7*$C$5)*A41)</f>
        <v>2.2277770690873706</v>
      </c>
      <c r="E41" s="12" t="s">
        <v>73</v>
      </c>
      <c r="F41" s="13"/>
      <c r="G41" s="13"/>
      <c r="H41" s="13">
        <f>$C$6*$C$7</f>
        <v>14328</v>
      </c>
      <c r="I41" s="14" t="s">
        <v>49</v>
      </c>
    </row>
    <row r="42" spans="1:9" x14ac:dyDescent="0.2">
      <c r="A42" s="22">
        <v>0.2</v>
      </c>
      <c r="B42" s="22">
        <f t="shared" si="0"/>
        <v>4.1589034212396259</v>
      </c>
      <c r="E42" s="12" t="s">
        <v>74</v>
      </c>
      <c r="F42" s="13"/>
      <c r="G42" s="13"/>
      <c r="H42" s="13">
        <f>$C$8*1000</f>
        <v>3000</v>
      </c>
      <c r="I42" s="14" t="s">
        <v>75</v>
      </c>
    </row>
    <row r="43" spans="1:9" x14ac:dyDescent="0.2">
      <c r="A43" s="22">
        <v>0.3</v>
      </c>
      <c r="B43" s="22">
        <f t="shared" si="0"/>
        <v>5.8230055558087068</v>
      </c>
      <c r="E43" s="12" t="s">
        <v>76</v>
      </c>
      <c r="F43" s="13"/>
      <c r="G43" s="13"/>
      <c r="H43" s="13">
        <f>$C$9</f>
        <v>4.32</v>
      </c>
      <c r="I43" s="14" t="s">
        <v>57</v>
      </c>
    </row>
    <row r="44" spans="1:9" ht="14.25" x14ac:dyDescent="0.2">
      <c r="A44" s="22">
        <v>0.4</v>
      </c>
      <c r="B44" s="22">
        <f t="shared" si="0"/>
        <v>7.2470799297319344</v>
      </c>
      <c r="E44" s="12" t="s">
        <v>77</v>
      </c>
      <c r="F44" s="13"/>
      <c r="G44" s="13"/>
      <c r="H44" s="13">
        <f>IF($C$9=0,0,$C$9*1000000/($C$6*$C$7))</f>
        <v>301.5075376884422</v>
      </c>
      <c r="I44" s="14" t="s">
        <v>78</v>
      </c>
    </row>
    <row r="45" spans="1:9" x14ac:dyDescent="0.2">
      <c r="A45" s="22">
        <v>0.5</v>
      </c>
      <c r="B45" s="22">
        <f t="shared" si="0"/>
        <v>8.4557118427547202</v>
      </c>
      <c r="E45" s="12" t="s">
        <v>79</v>
      </c>
      <c r="F45" s="13"/>
      <c r="G45" s="13"/>
      <c r="H45" s="13">
        <f>$C$10</f>
        <v>2.16</v>
      </c>
      <c r="I45" s="14" t="s">
        <v>57</v>
      </c>
    </row>
    <row r="46" spans="1:9" x14ac:dyDescent="0.2">
      <c r="A46" s="22">
        <v>0.6</v>
      </c>
      <c r="B46" s="22">
        <f t="shared" si="0"/>
        <v>9.4712768346040939</v>
      </c>
      <c r="E46" s="12" t="s">
        <v>80</v>
      </c>
      <c r="F46" s="13"/>
      <c r="G46" s="13"/>
      <c r="H46" s="15">
        <f>$E$194</f>
        <v>11.312708919051255</v>
      </c>
      <c r="I46" s="14" t="str">
        <f>IF($B$18=1,$A$18,IF($B$19=1,$A$19,$A$20))</f>
        <v>lb/ft2d</v>
      </c>
    </row>
    <row r="47" spans="1:9" x14ac:dyDescent="0.2">
      <c r="A47" s="22">
        <v>0.7</v>
      </c>
      <c r="B47" s="22">
        <f t="shared" si="0"/>
        <v>10.314125952526064</v>
      </c>
      <c r="E47" s="12" t="s">
        <v>81</v>
      </c>
      <c r="F47" s="13"/>
      <c r="G47" s="13"/>
      <c r="H47" s="16">
        <f>$A$195*1000</f>
        <v>8999.9999904700817</v>
      </c>
      <c r="I47" s="14" t="s">
        <v>75</v>
      </c>
    </row>
    <row r="48" spans="1:9" x14ac:dyDescent="0.2">
      <c r="A48" s="22">
        <v>0.8</v>
      </c>
      <c r="B48" s="22">
        <f t="shared" si="0"/>
        <v>11.002756144236278</v>
      </c>
      <c r="E48" s="12" t="s">
        <v>82</v>
      </c>
      <c r="F48" s="13"/>
      <c r="G48" s="13"/>
      <c r="H48" s="13">
        <f>$C$11</f>
        <v>0</v>
      </c>
      <c r="I48" s="14" t="s">
        <v>57</v>
      </c>
    </row>
    <row r="49" spans="1:9" ht="14.25" x14ac:dyDescent="0.2">
      <c r="A49" s="22">
        <v>0.9</v>
      </c>
      <c r="B49" s="22">
        <f t="shared" si="0"/>
        <v>11.553966935712003</v>
      </c>
      <c r="E49" s="12" t="s">
        <v>83</v>
      </c>
      <c r="F49" s="13"/>
      <c r="G49" s="13"/>
      <c r="H49" s="13">
        <f>$C$11*1000000/($C$6*$C$7)</f>
        <v>0</v>
      </c>
      <c r="I49" s="14" t="s">
        <v>78</v>
      </c>
    </row>
    <row r="50" spans="1:9" x14ac:dyDescent="0.2">
      <c r="A50" s="22">
        <v>1</v>
      </c>
      <c r="B50" s="22">
        <f t="shared" si="0"/>
        <v>11.983004464801679</v>
      </c>
      <c r="E50" s="12" t="s">
        <v>84</v>
      </c>
      <c r="F50" s="13"/>
      <c r="G50" s="13"/>
      <c r="H50" s="15">
        <f>$H$199</f>
        <v>0</v>
      </c>
      <c r="I50" s="14" t="str">
        <f>IF($B$18=1,$A$18,IF($B$19=1,$A$19,$A$20))</f>
        <v>lb/ft2d</v>
      </c>
    </row>
    <row r="51" spans="1:9" x14ac:dyDescent="0.2">
      <c r="A51" s="22">
        <v>1.1000000000000001</v>
      </c>
      <c r="B51" s="22">
        <f t="shared" si="0"/>
        <v>12.303693859814747</v>
      </c>
      <c r="E51" s="12" t="s">
        <v>85</v>
      </c>
      <c r="F51" s="13"/>
      <c r="G51" s="13"/>
      <c r="H51" s="16">
        <f>$A$200*1000</f>
        <v>0</v>
      </c>
      <c r="I51" s="14" t="s">
        <v>75</v>
      </c>
    </row>
    <row r="52" spans="1:9" x14ac:dyDescent="0.2">
      <c r="A52" s="22">
        <v>1.2</v>
      </c>
      <c r="B52" s="22">
        <f t="shared" si="0"/>
        <v>12.528560876588166</v>
      </c>
      <c r="E52" s="12" t="s">
        <v>86</v>
      </c>
      <c r="F52" s="13"/>
      <c r="G52" s="13"/>
      <c r="H52" s="13">
        <f>$C$12</f>
        <v>0</v>
      </c>
      <c r="I52" s="14" t="s">
        <v>57</v>
      </c>
    </row>
    <row r="53" spans="1:9" x14ac:dyDescent="0.2">
      <c r="A53" s="22">
        <v>1.3</v>
      </c>
      <c r="B53" s="22">
        <f t="shared" si="0"/>
        <v>12.668943637550139</v>
      </c>
      <c r="E53" s="12" t="s">
        <v>84</v>
      </c>
      <c r="F53" s="13"/>
      <c r="G53" s="13"/>
      <c r="H53" s="15">
        <f>$J$201</f>
        <v>0</v>
      </c>
      <c r="I53" s="14" t="str">
        <f>IF($B$18=1,$A$18,IF($B$19=1,$A$19,$A$20))</f>
        <v>lb/ft2d</v>
      </c>
    </row>
    <row r="54" spans="1:9" x14ac:dyDescent="0.2">
      <c r="A54" s="22">
        <v>1.4</v>
      </c>
      <c r="B54" s="22">
        <f t="shared" si="0"/>
        <v>12.735095251594528</v>
      </c>
      <c r="E54" s="12" t="s">
        <v>85</v>
      </c>
      <c r="F54" s="13"/>
      <c r="G54" s="13"/>
      <c r="H54" s="13">
        <f>$A$202*1000</f>
        <v>0</v>
      </c>
      <c r="I54" s="14" t="s">
        <v>75</v>
      </c>
    </row>
    <row r="55" spans="1:9" x14ac:dyDescent="0.2">
      <c r="A55" s="22">
        <v>1.5</v>
      </c>
      <c r="B55" s="22">
        <f t="shared" si="0"/>
        <v>12.736278033749533</v>
      </c>
      <c r="E55" s="12"/>
      <c r="F55" s="13"/>
      <c r="G55" s="13"/>
      <c r="H55" s="13"/>
      <c r="I55" s="14"/>
    </row>
    <row r="56" spans="1:9" ht="13.5" thickBot="1" x14ac:dyDescent="0.25">
      <c r="A56" s="22">
        <v>1.6</v>
      </c>
      <c r="B56" s="22">
        <f t="shared" si="0"/>
        <v>12.680849988308566</v>
      </c>
      <c r="E56" s="4" t="s">
        <v>87</v>
      </c>
      <c r="F56" s="5"/>
      <c r="G56" s="5"/>
      <c r="H56" s="5"/>
      <c r="I56" s="7"/>
    </row>
    <row r="57" spans="1:9" x14ac:dyDescent="0.2">
      <c r="A57" s="22">
        <v>1.7</v>
      </c>
      <c r="B57" s="22">
        <f t="shared" ref="B57:B72" si="1">($B$18+24*$B$19+4.9111739207*$B$20)*A57*$G$9*EXP(-$G$8*$C$5-($G$6+$G$7*$C$5)*A57)</f>
        <v>12.576344167954767</v>
      </c>
    </row>
    <row r="58" spans="1:9" x14ac:dyDescent="0.2">
      <c r="A58" s="22">
        <v>1.8</v>
      </c>
      <c r="B58" s="22">
        <f t="shared" si="1"/>
        <v>12.429541474140919</v>
      </c>
    </row>
    <row r="59" spans="1:9" x14ac:dyDescent="0.2">
      <c r="A59" s="22">
        <v>1.9</v>
      </c>
      <c r="B59" s="22">
        <f t="shared" si="1"/>
        <v>12.246537420296443</v>
      </c>
    </row>
    <row r="60" spans="1:9" x14ac:dyDescent="0.2">
      <c r="A60" s="22">
        <v>2</v>
      </c>
      <c r="B60" s="22">
        <f t="shared" si="1"/>
        <v>12.032803339054789</v>
      </c>
    </row>
    <row r="61" spans="1:9" x14ac:dyDescent="0.2">
      <c r="A61" s="22">
        <v>2.1</v>
      </c>
      <c r="B61" s="22">
        <f t="shared" si="1"/>
        <v>11.793242477381094</v>
      </c>
    </row>
    <row r="62" spans="1:9" x14ac:dyDescent="0.2">
      <c r="A62" s="22">
        <v>2.2000000000000002</v>
      </c>
      <c r="B62" s="22">
        <f t="shared" si="1"/>
        <v>11.532241389001955</v>
      </c>
    </row>
    <row r="63" spans="1:9" x14ac:dyDescent="0.2">
      <c r="A63" s="22">
        <v>2.2999999999999998</v>
      </c>
      <c r="B63" s="22">
        <f t="shared" si="1"/>
        <v>11.253717001684617</v>
      </c>
    </row>
    <row r="64" spans="1:9" x14ac:dyDescent="0.2">
      <c r="A64" s="22">
        <v>2.4</v>
      </c>
      <c r="B64" s="22">
        <f t="shared" si="1"/>
        <v>10.961159707485303</v>
      </c>
    </row>
    <row r="65" spans="1:2" x14ac:dyDescent="0.2">
      <c r="A65" s="22">
        <v>2.5</v>
      </c>
      <c r="B65" s="22">
        <f t="shared" si="1"/>
        <v>10.657672796903745</v>
      </c>
    </row>
    <row r="66" spans="1:2" x14ac:dyDescent="0.2">
      <c r="A66" s="22">
        <v>2.6</v>
      </c>
      <c r="B66" s="22">
        <f t="shared" si="1"/>
        <v>10.34600853277465</v>
      </c>
    </row>
    <row r="67" spans="1:2" x14ac:dyDescent="0.2">
      <c r="A67" s="22">
        <v>2.7</v>
      </c>
      <c r="B67" s="22">
        <f t="shared" si="1"/>
        <v>10.028601136541297</v>
      </c>
    </row>
    <row r="68" spans="1:2" x14ac:dyDescent="0.2">
      <c r="A68" s="22">
        <v>2.8</v>
      </c>
      <c r="B68" s="22">
        <f t="shared" si="1"/>
        <v>9.7075969381464873</v>
      </c>
    </row>
    <row r="69" spans="1:2" x14ac:dyDescent="0.2">
      <c r="A69" s="22">
        <v>2.9</v>
      </c>
      <c r="B69" s="22">
        <f t="shared" si="1"/>
        <v>9.3848819210088887</v>
      </c>
    </row>
    <row r="70" spans="1:2" x14ac:dyDescent="0.2">
      <c r="A70" s="22">
        <v>3</v>
      </c>
      <c r="B70" s="22">
        <f t="shared" si="1"/>
        <v>9.0621068753038525</v>
      </c>
    </row>
    <row r="71" spans="1:2" x14ac:dyDescent="0.2">
      <c r="A71" s="22">
        <v>3.1</v>
      </c>
      <c r="B71" s="22">
        <f t="shared" si="1"/>
        <v>8.7407103559227277</v>
      </c>
    </row>
    <row r="72" spans="1:2" x14ac:dyDescent="0.2">
      <c r="A72" s="22">
        <v>3.2</v>
      </c>
      <c r="B72" s="22">
        <f t="shared" si="1"/>
        <v>8.4219396259379309</v>
      </c>
    </row>
    <row r="73" spans="1:2" x14ac:dyDescent="0.2">
      <c r="A73" s="22">
        <v>3.3</v>
      </c>
      <c r="B73" s="22">
        <f t="shared" ref="B73:B88" si="2">($B$18+24*$B$19+4.9111739207*$B$20)*A73*$G$9*EXP(-$G$8*$C$5-($G$6+$G$7*$C$5)*A73)</f>
        <v>8.1068697520533988</v>
      </c>
    </row>
    <row r="74" spans="1:2" x14ac:dyDescent="0.2">
      <c r="A74" s="22">
        <v>3.4</v>
      </c>
      <c r="B74" s="22">
        <f t="shared" si="2"/>
        <v>7.7964210052819531</v>
      </c>
    </row>
    <row r="75" spans="1:2" x14ac:dyDescent="0.2">
      <c r="A75" s="22">
        <v>3.5</v>
      </c>
      <c r="B75" s="22">
        <f t="shared" si="2"/>
        <v>7.4913747078772701</v>
      </c>
    </row>
    <row r="76" spans="1:2" x14ac:dyDescent="0.2">
      <c r="A76" s="22">
        <v>3.6</v>
      </c>
      <c r="B76" s="22">
        <f t="shared" si="2"/>
        <v>7.1923876562819311</v>
      </c>
    </row>
    <row r="77" spans="1:2" x14ac:dyDescent="0.2">
      <c r="A77" s="22">
        <v>3.7</v>
      </c>
      <c r="B77" s="22">
        <f t="shared" si="2"/>
        <v>6.9000052394612634</v>
      </c>
    </row>
    <row r="78" spans="1:2" x14ac:dyDescent="0.2">
      <c r="A78" s="22">
        <v>3.8</v>
      </c>
      <c r="B78" s="22">
        <f t="shared" si="2"/>
        <v>6.614673362410084</v>
      </c>
    </row>
    <row r="79" spans="1:2" x14ac:dyDescent="0.2">
      <c r="A79" s="22">
        <v>3.9</v>
      </c>
      <c r="B79" s="22">
        <f t="shared" si="2"/>
        <v>6.3367492757832338</v>
      </c>
    </row>
    <row r="80" spans="1:2" x14ac:dyDescent="0.2">
      <c r="A80" s="22">
        <v>4</v>
      </c>
      <c r="B80" s="22">
        <f t="shared" si="2"/>
        <v>6.0665114044547597</v>
      </c>
    </row>
    <row r="81" spans="1:2" x14ac:dyDescent="0.2">
      <c r="A81" s="22">
        <v>4.0999999999999996</v>
      </c>
      <c r="B81" s="22">
        <f t="shared" si="2"/>
        <v>5.804168260301874</v>
      </c>
    </row>
    <row r="82" spans="1:2" x14ac:dyDescent="0.2">
      <c r="A82" s="22">
        <v>4.2</v>
      </c>
      <c r="B82" s="22">
        <f t="shared" si="2"/>
        <v>5.5498665175891677</v>
      </c>
    </row>
    <row r="83" spans="1:2" x14ac:dyDescent="0.2">
      <c r="A83" s="22">
        <v>4.3</v>
      </c>
      <c r="B83" s="22">
        <f t="shared" si="2"/>
        <v>5.3036983229518961</v>
      </c>
    </row>
    <row r="84" spans="1:2" x14ac:dyDescent="0.2">
      <c r="A84" s="22">
        <v>4.4000000000000004</v>
      </c>
      <c r="B84" s="22">
        <f t="shared" si="2"/>
        <v>5.0657079061017258</v>
      </c>
    </row>
    <row r="85" spans="1:2" x14ac:dyDescent="0.2">
      <c r="A85" s="22">
        <v>4.5</v>
      </c>
      <c r="B85" s="22">
        <f t="shared" si="2"/>
        <v>4.8358975519663385</v>
      </c>
    </row>
    <row r="86" spans="1:2" x14ac:dyDescent="0.2">
      <c r="A86" s="22">
        <v>4.5999999999999996</v>
      </c>
      <c r="B86" s="22">
        <f t="shared" si="2"/>
        <v>4.6142329899897607</v>
      </c>
    </row>
    <row r="87" spans="1:2" x14ac:dyDescent="0.2">
      <c r="A87" s="22">
        <v>4.7</v>
      </c>
      <c r="B87" s="22">
        <f t="shared" si="2"/>
        <v>4.4006482517304812</v>
      </c>
    </row>
    <row r="88" spans="1:2" x14ac:dyDescent="0.2">
      <c r="A88" s="22">
        <v>4.8</v>
      </c>
      <c r="B88" s="22">
        <f t="shared" si="2"/>
        <v>4.1950500436685081</v>
      </c>
    </row>
    <row r="89" spans="1:2" x14ac:dyDescent="0.2">
      <c r="A89" s="22">
        <v>4.9000000000000004</v>
      </c>
      <c r="B89" s="22">
        <f t="shared" ref="B89:B104" si="3">($B$18+24*$B$19+4.9111739207*$B$20)*A89*$G$9*EXP(-$G$8*$C$5-($G$6+$G$7*$C$5)*A89)</f>
        <v>3.9973216782429906</v>
      </c>
    </row>
    <row r="90" spans="1:2" x14ac:dyDescent="0.2">
      <c r="A90" s="22">
        <v>5</v>
      </c>
      <c r="B90" s="22">
        <f t="shared" si="3"/>
        <v>3.807326602562175</v>
      </c>
    </row>
    <row r="91" spans="1:2" x14ac:dyDescent="0.2">
      <c r="A91" s="22">
        <v>5.0999999999999996</v>
      </c>
      <c r="B91" s="22">
        <f t="shared" si="3"/>
        <v>3.6249115609337679</v>
      </c>
    </row>
    <row r="92" spans="1:2" x14ac:dyDescent="0.2">
      <c r="A92" s="22">
        <v>5.2</v>
      </c>
      <c r="B92" s="22">
        <f t="shared" si="3"/>
        <v>3.4499094243337978</v>
      </c>
    </row>
    <row r="93" spans="1:2" x14ac:dyDescent="0.2">
      <c r="A93" s="22">
        <v>5.3</v>
      </c>
      <c r="B93" s="22">
        <f t="shared" si="3"/>
        <v>3.2821417171452079</v>
      </c>
    </row>
    <row r="94" spans="1:2" x14ac:dyDescent="0.2">
      <c r="A94" s="22">
        <v>5.4</v>
      </c>
      <c r="B94" s="22">
        <f t="shared" si="3"/>
        <v>3.1214208689350733</v>
      </c>
    </row>
    <row r="95" spans="1:2" x14ac:dyDescent="0.2">
      <c r="A95" s="22">
        <v>5.5</v>
      </c>
      <c r="B95" s="22">
        <f t="shared" si="3"/>
        <v>2.9675522166834658</v>
      </c>
    </row>
    <row r="96" spans="1:2" x14ac:dyDescent="0.2">
      <c r="A96" s="22">
        <v>5.6</v>
      </c>
      <c r="B96" s="22">
        <f t="shared" si="3"/>
        <v>2.820335780711948</v>
      </c>
    </row>
    <row r="97" spans="1:2" x14ac:dyDescent="0.2">
      <c r="A97" s="22">
        <v>5.7</v>
      </c>
      <c r="B97" s="22">
        <f t="shared" si="3"/>
        <v>2.6795678355701971</v>
      </c>
    </row>
    <row r="98" spans="1:2" x14ac:dyDescent="0.2">
      <c r="A98" s="22">
        <v>5.8</v>
      </c>
      <c r="B98" s="22">
        <f t="shared" si="3"/>
        <v>2.5450422953115819</v>
      </c>
    </row>
    <row r="99" spans="1:2" x14ac:dyDescent="0.2">
      <c r="A99" s="22">
        <v>5.9</v>
      </c>
      <c r="B99" s="22">
        <f t="shared" si="3"/>
        <v>2.416551930910118</v>
      </c>
    </row>
    <row r="100" spans="1:2" x14ac:dyDescent="0.2">
      <c r="A100" s="22">
        <v>6</v>
      </c>
      <c r="B100" s="22">
        <f t="shared" si="3"/>
        <v>2.2938894360300379</v>
      </c>
    </row>
    <row r="101" spans="1:2" x14ac:dyDescent="0.2">
      <c r="A101" s="22">
        <v>6.1</v>
      </c>
      <c r="B101" s="22">
        <f t="shared" si="3"/>
        <v>2.1768483559446961</v>
      </c>
    </row>
    <row r="102" spans="1:2" x14ac:dyDescent="0.2">
      <c r="A102" s="22">
        <v>6.2</v>
      </c>
      <c r="B102" s="22">
        <f t="shared" si="3"/>
        <v>2.0652238931033451</v>
      </c>
    </row>
    <row r="103" spans="1:2" x14ac:dyDescent="0.2">
      <c r="A103" s="22">
        <v>6.3</v>
      </c>
      <c r="B103" s="22">
        <f t="shared" si="3"/>
        <v>1.9588136016535935</v>
      </c>
    </row>
    <row r="104" spans="1:2" x14ac:dyDescent="0.2">
      <c r="A104" s="22">
        <v>6.4</v>
      </c>
      <c r="B104" s="22">
        <f t="shared" si="3"/>
        <v>1.8574179821351779</v>
      </c>
    </row>
    <row r="105" spans="1:2" x14ac:dyDescent="0.2">
      <c r="A105" s="22">
        <v>6.5</v>
      </c>
      <c r="B105" s="22">
        <f t="shared" ref="B105:B120" si="4">($B$18+24*$B$19+4.9111739207*$B$20)*A105*$G$9*EXP(-$G$8*$C$5-($G$6+$G$7*$C$5)*A105)</f>
        <v>1.7608409865595196</v>
      </c>
    </row>
    <row r="106" spans="1:2" x14ac:dyDescent="0.2">
      <c r="A106" s="22">
        <v>6.6</v>
      </c>
      <c r="B106" s="22">
        <f t="shared" si="4"/>
        <v>1.6688904431718448</v>
      </c>
    </row>
    <row r="107" spans="1:2" x14ac:dyDescent="0.2">
      <c r="A107" s="22">
        <v>6.7</v>
      </c>
      <c r="B107" s="22">
        <f t="shared" si="4"/>
        <v>1.5813784093519996</v>
      </c>
    </row>
    <row r="108" spans="1:2" x14ac:dyDescent="0.2">
      <c r="A108" s="22">
        <v>6.8</v>
      </c>
      <c r="B108" s="22">
        <f t="shared" si="4"/>
        <v>1.4981214603400623</v>
      </c>
    </row>
    <row r="109" spans="1:2" x14ac:dyDescent="0.2">
      <c r="A109" s="22">
        <v>6.9</v>
      </c>
      <c r="B109" s="22">
        <f t="shared" si="4"/>
        <v>1.418940920767958</v>
      </c>
    </row>
    <row r="110" spans="1:2" x14ac:dyDescent="0.2">
      <c r="A110" s="22">
        <v>7</v>
      </c>
      <c r="B110" s="22">
        <f t="shared" si="4"/>
        <v>1.3436630453331453</v>
      </c>
    </row>
    <row r="111" spans="1:2" x14ac:dyDescent="0.2">
      <c r="A111" s="22">
        <v>7.1</v>
      </c>
      <c r="B111" s="22">
        <f t="shared" si="4"/>
        <v>1.2721191543602397</v>
      </c>
    </row>
    <row r="112" spans="1:2" x14ac:dyDescent="0.2">
      <c r="A112" s="22">
        <v>7.2</v>
      </c>
      <c r="B112" s="22">
        <f t="shared" si="4"/>
        <v>1.2041457294567997</v>
      </c>
    </row>
    <row r="113" spans="1:2" x14ac:dyDescent="0.2">
      <c r="A113" s="22">
        <v>7.3</v>
      </c>
      <c r="B113" s="22">
        <f t="shared" si="4"/>
        <v>1.1395844739762069</v>
      </c>
    </row>
    <row r="114" spans="1:2" x14ac:dyDescent="0.2">
      <c r="A114" s="22">
        <v>7.4</v>
      </c>
      <c r="B114" s="22">
        <f t="shared" si="4"/>
        <v>1.0782823425498849</v>
      </c>
    </row>
    <row r="115" spans="1:2" x14ac:dyDescent="0.2">
      <c r="A115" s="22">
        <v>7.5</v>
      </c>
      <c r="B115" s="22">
        <f t="shared" si="4"/>
        <v>1.0200915435395699</v>
      </c>
    </row>
    <row r="116" spans="1:2" x14ac:dyDescent="0.2">
      <c r="A116" s="22">
        <v>7.6</v>
      </c>
      <c r="B116" s="22">
        <f t="shared" si="4"/>
        <v>0.9648695178846719</v>
      </c>
    </row>
    <row r="117" spans="1:2" x14ac:dyDescent="0.2">
      <c r="A117" s="22">
        <v>7.7</v>
      </c>
      <c r="B117" s="22">
        <f t="shared" si="4"/>
        <v>0.91247889747709232</v>
      </c>
    </row>
    <row r="118" spans="1:2" x14ac:dyDescent="0.2">
      <c r="A118" s="22">
        <v>7.8</v>
      </c>
      <c r="B118" s="22">
        <f t="shared" si="4"/>
        <v>0.86278744588338763</v>
      </c>
    </row>
    <row r="119" spans="1:2" x14ac:dyDescent="0.2">
      <c r="A119" s="22">
        <v>7.9</v>
      </c>
      <c r="B119" s="22">
        <f t="shared" si="4"/>
        <v>0.81566798394942142</v>
      </c>
    </row>
    <row r="120" spans="1:2" x14ac:dyDescent="0.2">
      <c r="A120" s="22">
        <v>8</v>
      </c>
      <c r="B120" s="22">
        <f t="shared" si="4"/>
        <v>0.7709983025633359</v>
      </c>
    </row>
    <row r="121" spans="1:2" x14ac:dyDescent="0.2">
      <c r="A121" s="22">
        <v>8.1</v>
      </c>
      <c r="B121" s="22">
        <f t="shared" ref="B121:B136" si="5">($B$18+24*$B$19+4.9111739207*$B$20)*A121*$G$9*EXP(-$G$8*$C$5-($G$6+$G$7*$C$5)*A121)</f>
        <v>0.72866106461661206</v>
      </c>
    </row>
    <row r="122" spans="1:2" x14ac:dyDescent="0.2">
      <c r="A122" s="22">
        <v>8.1999999999999993</v>
      </c>
      <c r="B122" s="22">
        <f t="shared" si="5"/>
        <v>0.68854369798832404</v>
      </c>
    </row>
    <row r="123" spans="1:2" x14ac:dyDescent="0.2">
      <c r="A123" s="22">
        <v>8.3000000000000007</v>
      </c>
      <c r="B123" s="22">
        <f t="shared" si="5"/>
        <v>0.65053828118252843</v>
      </c>
    </row>
    <row r="124" spans="1:2" x14ac:dyDescent="0.2">
      <c r="A124" s="22">
        <v>8.4</v>
      </c>
      <c r="B124" s="22">
        <f t="shared" si="5"/>
        <v>0.61454142307149795</v>
      </c>
    </row>
    <row r="125" spans="1:2" x14ac:dyDescent="0.2">
      <c r="A125" s="22">
        <v>8.5</v>
      </c>
      <c r="B125" s="22">
        <f t="shared" si="5"/>
        <v>0.58045413803660184</v>
      </c>
    </row>
    <row r="126" spans="1:2" x14ac:dyDescent="0.2">
      <c r="A126" s="22">
        <v>8.6</v>
      </c>
      <c r="B126" s="22">
        <f t="shared" si="5"/>
        <v>0.54818171765279045</v>
      </c>
    </row>
    <row r="127" spans="1:2" x14ac:dyDescent="0.2">
      <c r="A127" s="22">
        <v>8.6999999999999993</v>
      </c>
      <c r="B127" s="22">
        <f t="shared" si="5"/>
        <v>0.51763359993040847</v>
      </c>
    </row>
    <row r="128" spans="1:2" x14ac:dyDescent="0.2">
      <c r="A128" s="22">
        <v>8.8000000000000007</v>
      </c>
      <c r="B128" s="22">
        <f t="shared" si="5"/>
        <v>0.48872323700841763</v>
      </c>
    </row>
    <row r="129" spans="1:2" x14ac:dyDescent="0.2">
      <c r="A129" s="22">
        <v>8.9</v>
      </c>
      <c r="B129" s="22">
        <f t="shared" si="5"/>
        <v>0.46136796208488157</v>
      </c>
    </row>
    <row r="130" spans="1:2" x14ac:dyDescent="0.2">
      <c r="A130" s="22">
        <v>9</v>
      </c>
      <c r="B130" s="22">
        <f t="shared" si="5"/>
        <v>0.43548885627276729</v>
      </c>
    </row>
    <row r="131" spans="1:2" x14ac:dyDescent="0.2">
      <c r="A131" s="22">
        <v>9.1</v>
      </c>
      <c r="B131" s="22">
        <f t="shared" si="5"/>
        <v>0.4110106159809076</v>
      </c>
    </row>
    <row r="132" spans="1:2" x14ac:dyDescent="0.2">
      <c r="A132" s="22">
        <v>9.1999999999999993</v>
      </c>
      <c r="B132" s="22">
        <f t="shared" si="5"/>
        <v>0.38786142134039592</v>
      </c>
    </row>
    <row r="133" spans="1:2" x14ac:dyDescent="0.2">
      <c r="A133" s="22">
        <v>9.3000000000000007</v>
      </c>
      <c r="B133" s="22">
        <f t="shared" si="5"/>
        <v>0.36597280612509303</v>
      </c>
    </row>
    <row r="134" spans="1:2" x14ac:dyDescent="0.2">
      <c r="A134" s="22">
        <v>9.4</v>
      </c>
      <c r="B134" s="22">
        <f t="shared" si="5"/>
        <v>0.34527952955054897</v>
      </c>
    </row>
    <row r="135" spans="1:2" x14ac:dyDescent="0.2">
      <c r="A135" s="22">
        <v>9.5</v>
      </c>
      <c r="B135" s="22">
        <f t="shared" si="5"/>
        <v>0.32571945027782317</v>
      </c>
    </row>
    <row r="136" spans="1:2" x14ac:dyDescent="0.2">
      <c r="A136" s="22">
        <v>9.6</v>
      </c>
      <c r="B136" s="22">
        <f t="shared" si="5"/>
        <v>0.30723340289692125</v>
      </c>
    </row>
    <row r="137" spans="1:2" x14ac:dyDescent="0.2">
      <c r="A137" s="22">
        <v>9.6999999999999993</v>
      </c>
      <c r="B137" s="22">
        <f t="shared" ref="B137:B152" si="6">($B$18+24*$B$19+4.9111739207*$B$20)*A137*$G$9*EXP(-$G$8*$C$5-($G$6+$G$7*$C$5)*A137)</f>
        <v>0.28976507711816907</v>
      </c>
    </row>
    <row r="138" spans="1:2" x14ac:dyDescent="0.2">
      <c r="A138" s="22">
        <v>9.8000000000000007</v>
      </c>
      <c r="B138" s="22">
        <f t="shared" si="6"/>
        <v>0.27326089985848828</v>
      </c>
    </row>
    <row r="139" spans="1:2" x14ac:dyDescent="0.2">
      <c r="A139" s="22">
        <v>9.9</v>
      </c>
      <c r="B139" s="22">
        <f t="shared" si="6"/>
        <v>0.25766992037261222</v>
      </c>
    </row>
    <row r="140" spans="1:2" x14ac:dyDescent="0.2">
      <c r="A140" s="22">
        <v>10</v>
      </c>
      <c r="B140" s="22">
        <f t="shared" si="6"/>
        <v>0.24294369854647421</v>
      </c>
    </row>
    <row r="141" spans="1:2" x14ac:dyDescent="0.2">
      <c r="A141" s="22">
        <v>10.1</v>
      </c>
      <c r="B141" s="22">
        <f t="shared" si="6"/>
        <v>0.22903619644090467</v>
      </c>
    </row>
    <row r="142" spans="1:2" x14ac:dyDescent="0.2">
      <c r="A142" s="22">
        <v>10.199999999999999</v>
      </c>
      <c r="B142" s="22">
        <f t="shared" si="6"/>
        <v>0.21590367314799791</v>
      </c>
    </row>
    <row r="143" spans="1:2" x14ac:dyDescent="0.2">
      <c r="A143" s="22">
        <v>10.3</v>
      </c>
      <c r="B143" s="22">
        <f t="shared" si="6"/>
        <v>0.20350458299981811</v>
      </c>
    </row>
    <row r="144" spans="1:2" x14ac:dyDescent="0.2">
      <c r="A144" s="22">
        <v>10.4</v>
      </c>
      <c r="B144" s="22">
        <f t="shared" si="6"/>
        <v>0.19179947714913401</v>
      </c>
    </row>
    <row r="145" spans="1:2" x14ac:dyDescent="0.2">
      <c r="A145" s="22">
        <v>10.5</v>
      </c>
      <c r="B145" s="22">
        <f t="shared" si="6"/>
        <v>0.18075090852439032</v>
      </c>
    </row>
    <row r="146" spans="1:2" x14ac:dyDescent="0.2">
      <c r="A146" s="22">
        <v>10.6</v>
      </c>
      <c r="B146" s="22">
        <f t="shared" si="6"/>
        <v>0.17032334014589234</v>
      </c>
    </row>
    <row r="147" spans="1:2" x14ac:dyDescent="0.2">
      <c r="A147" s="22">
        <v>10.7</v>
      </c>
      <c r="B147" s="22">
        <f t="shared" si="6"/>
        <v>0.16048305677693997</v>
      </c>
    </row>
    <row r="148" spans="1:2" x14ac:dyDescent="0.2">
      <c r="A148" s="22">
        <v>10.8</v>
      </c>
      <c r="B148" s="22">
        <f t="shared" si="6"/>
        <v>0.15119807987226189</v>
      </c>
    </row>
    <row r="149" spans="1:2" x14ac:dyDescent="0.2">
      <c r="A149" s="22">
        <v>10.9</v>
      </c>
      <c r="B149" s="22">
        <f t="shared" si="6"/>
        <v>0.14243808577631933</v>
      </c>
    </row>
    <row r="150" spans="1:2" x14ac:dyDescent="0.2">
      <c r="A150" s="22">
        <v>11</v>
      </c>
      <c r="B150" s="22">
        <f t="shared" si="6"/>
        <v>0.1341743271157492</v>
      </c>
    </row>
    <row r="151" spans="1:2" x14ac:dyDescent="0.2">
      <c r="A151" s="22">
        <v>11.1</v>
      </c>
      <c r="B151" s="22">
        <f t="shared" si="6"/>
        <v>0.12637955732323974</v>
      </c>
    </row>
    <row r="152" spans="1:2" x14ac:dyDescent="0.2">
      <c r="A152" s="22">
        <v>11.2</v>
      </c>
      <c r="B152" s="22">
        <f t="shared" si="6"/>
        <v>0.11902795822430835</v>
      </c>
    </row>
    <row r="153" spans="1:2" x14ac:dyDescent="0.2">
      <c r="A153" s="22">
        <v>11.3</v>
      </c>
      <c r="B153" s="22">
        <f t="shared" ref="B153:B168" si="7">($B$18+24*$B$19+4.9111739207*$B$20)*A153*$G$9*EXP(-$G$8*$C$5-($G$6+$G$7*$C$5)*A153)</f>
        <v>0.11209507061371003</v>
      </c>
    </row>
    <row r="154" spans="1:2" x14ac:dyDescent="0.2">
      <c r="A154" s="22">
        <v>11.4</v>
      </c>
      <c r="B154" s="22">
        <f t="shared" si="7"/>
        <v>0.10555772774437444</v>
      </c>
    </row>
    <row r="155" spans="1:2" x14ac:dyDescent="0.2">
      <c r="A155" s="22">
        <v>11.5</v>
      </c>
      <c r="B155" s="22">
        <f t="shared" si="7"/>
        <v>9.9393991648785124E-2</v>
      </c>
    </row>
    <row r="156" spans="1:2" x14ac:dyDescent="0.2">
      <c r="A156" s="22">
        <v>11.6</v>
      </c>
      <c r="B156" s="22">
        <f t="shared" si="7"/>
        <v>9.3583092210474395E-2</v>
      </c>
    </row>
    <row r="157" spans="1:2" x14ac:dyDescent="0.2">
      <c r="A157" s="22">
        <v>11.7</v>
      </c>
      <c r="B157" s="22">
        <f t="shared" si="7"/>
        <v>8.8105368901703382E-2</v>
      </c>
    </row>
    <row r="158" spans="1:2" x14ac:dyDescent="0.2">
      <c r="A158" s="22">
        <v>11.8</v>
      </c>
      <c r="B158" s="22">
        <f t="shared" si="7"/>
        <v>8.2942215102393094E-2</v>
      </c>
    </row>
    <row r="159" spans="1:2" x14ac:dyDescent="0.2">
      <c r="A159" s="22">
        <v>11.9</v>
      </c>
      <c r="B159" s="22">
        <f t="shared" si="7"/>
        <v>7.8076024914853021E-2</v>
      </c>
    </row>
    <row r="160" spans="1:2" x14ac:dyDescent="0.2">
      <c r="A160" s="22">
        <v>12</v>
      </c>
      <c r="B160" s="22">
        <f t="shared" si="7"/>
        <v>7.3490142388799862E-2</v>
      </c>
    </row>
    <row r="161" spans="1:2" x14ac:dyDescent="0.2">
      <c r="A161" s="22">
        <v>12.1</v>
      </c>
      <c r="B161" s="22">
        <f t="shared" si="7"/>
        <v>6.9168813071472685E-2</v>
      </c>
    </row>
    <row r="162" spans="1:2" x14ac:dyDescent="0.2">
      <c r="A162" s="22">
        <v>12.2</v>
      </c>
      <c r="B162" s="22">
        <f t="shared" si="7"/>
        <v>6.5097137798317939E-2</v>
      </c>
    </row>
    <row r="163" spans="1:2" x14ac:dyDescent="0.2">
      <c r="A163" s="22">
        <v>12.3</v>
      </c>
      <c r="B163" s="22">
        <f t="shared" si="7"/>
        <v>6.1261028640662386E-2</v>
      </c>
    </row>
    <row r="164" spans="1:2" x14ac:dyDescent="0.2">
      <c r="A164" s="22">
        <v>12.4</v>
      </c>
      <c r="B164" s="22">
        <f t="shared" si="7"/>
        <v>5.7647166927989012E-2</v>
      </c>
    </row>
    <row r="165" spans="1:2" x14ac:dyDescent="0.2">
      <c r="A165" s="22">
        <v>12.5</v>
      </c>
      <c r="B165" s="22">
        <f t="shared" si="7"/>
        <v>5.424296326384434E-2</v>
      </c>
    </row>
    <row r="166" spans="1:2" x14ac:dyDescent="0.2">
      <c r="A166" s="22">
        <v>12.6</v>
      </c>
      <c r="B166" s="22">
        <f t="shared" si="7"/>
        <v>5.1036519455984433E-2</v>
      </c>
    </row>
    <row r="167" spans="1:2" x14ac:dyDescent="0.2">
      <c r="A167" s="22">
        <v>12.7</v>
      </c>
      <c r="B167" s="22">
        <f t="shared" si="7"/>
        <v>4.8016592283107777E-2</v>
      </c>
    </row>
    <row r="168" spans="1:2" x14ac:dyDescent="0.2">
      <c r="A168" s="22">
        <v>12.8</v>
      </c>
      <c r="B168" s="22">
        <f t="shared" si="7"/>
        <v>4.5172559022373659E-2</v>
      </c>
    </row>
    <row r="169" spans="1:2" x14ac:dyDescent="0.2">
      <c r="A169" s="22">
        <v>12.9</v>
      </c>
      <c r="B169" s="22">
        <f t="shared" ref="B169:B184" si="8">($B$18+24*$B$19+4.9111739207*$B$20)*A169*$G$9*EXP(-$G$8*$C$5-($G$6+$G$7*$C$5)*A169)</f>
        <v>4.2494384663857236E-2</v>
      </c>
    </row>
    <row r="170" spans="1:2" x14ac:dyDescent="0.2">
      <c r="A170" s="22">
        <v>13</v>
      </c>
      <c r="B170" s="22">
        <f t="shared" si="8"/>
        <v>3.9972590740124034E-2</v>
      </c>
    </row>
    <row r="171" spans="1:2" x14ac:dyDescent="0.2">
      <c r="A171" s="22">
        <v>13.1</v>
      </c>
      <c r="B171" s="22">
        <f t="shared" si="8"/>
        <v>3.7598225701186885E-2</v>
      </c>
    </row>
    <row r="172" spans="1:2" x14ac:dyDescent="0.2">
      <c r="A172" s="22">
        <v>13.2</v>
      </c>
      <c r="B172" s="22">
        <f t="shared" si="8"/>
        <v>3.5362836767239371E-2</v>
      </c>
    </row>
    <row r="173" spans="1:2" x14ac:dyDescent="0.2">
      <c r="A173" s="22">
        <v>13.3</v>
      </c>
      <c r="B173" s="22">
        <f t="shared" si="8"/>
        <v>3.3258443193709103E-2</v>
      </c>
    </row>
    <row r="174" spans="1:2" x14ac:dyDescent="0.2">
      <c r="A174" s="22">
        <v>13.4</v>
      </c>
      <c r="B174" s="22">
        <f t="shared" si="8"/>
        <v>3.1277510885339498E-2</v>
      </c>
    </row>
    <row r="175" spans="1:2" x14ac:dyDescent="0.2">
      <c r="A175" s="22">
        <v>13.5</v>
      </c>
      <c r="B175" s="22">
        <f t="shared" si="8"/>
        <v>2.9412928298178341E-2</v>
      </c>
    </row>
    <row r="176" spans="1:2" x14ac:dyDescent="0.2">
      <c r="A176" s="22">
        <v>13.6</v>
      </c>
      <c r="B176" s="22">
        <f t="shared" si="8"/>
        <v>2.7657983570506653E-2</v>
      </c>
    </row>
    <row r="177" spans="1:10" x14ac:dyDescent="0.2">
      <c r="A177" s="22">
        <v>13.7</v>
      </c>
      <c r="B177" s="22">
        <f t="shared" si="8"/>
        <v>2.6006342825887718E-2</v>
      </c>
    </row>
    <row r="178" spans="1:10" x14ac:dyDescent="0.2">
      <c r="A178" s="22">
        <v>13.8</v>
      </c>
      <c r="B178" s="22">
        <f t="shared" si="8"/>
        <v>2.4452029593632258E-2</v>
      </c>
    </row>
    <row r="179" spans="1:10" x14ac:dyDescent="0.2">
      <c r="A179" s="22">
        <v>13.9</v>
      </c>
      <c r="B179" s="22">
        <f t="shared" si="8"/>
        <v>2.2989405294064628E-2</v>
      </c>
    </row>
    <row r="180" spans="1:10" x14ac:dyDescent="0.2">
      <c r="A180" s="22">
        <v>14</v>
      </c>
      <c r="B180" s="22">
        <f t="shared" si="8"/>
        <v>2.1613150738029083E-2</v>
      </c>
    </row>
    <row r="181" spans="1:10" x14ac:dyDescent="0.2">
      <c r="A181" s="22">
        <v>14.1</v>
      </c>
      <c r="B181" s="22">
        <f t="shared" si="8"/>
        <v>2.0318248592085461E-2</v>
      </c>
    </row>
    <row r="182" spans="1:10" x14ac:dyDescent="0.2">
      <c r="A182" s="22">
        <v>14.2</v>
      </c>
      <c r="B182" s="22">
        <f t="shared" si="8"/>
        <v>1.909996676281487E-2</v>
      </c>
    </row>
    <row r="183" spans="1:10" x14ac:dyDescent="0.2">
      <c r="A183" s="22">
        <v>14.3</v>
      </c>
      <c r="B183" s="22">
        <f t="shared" si="8"/>
        <v>1.795384265557616E-2</v>
      </c>
    </row>
    <row r="184" spans="1:10" x14ac:dyDescent="0.2">
      <c r="A184" s="22">
        <v>14.4</v>
      </c>
      <c r="B184" s="22">
        <f t="shared" si="8"/>
        <v>1.6875668264926778E-2</v>
      </c>
    </row>
    <row r="185" spans="1:10" x14ac:dyDescent="0.2">
      <c r="A185" s="22">
        <v>14.5</v>
      </c>
      <c r="B185" s="22">
        <f t="shared" ref="B185:B190" si="9">($B$18+24*$B$19+4.9111739207*$B$20)*A185*$G$9*EXP(-$G$8*$C$5-($G$6+$G$7*$C$5)*A185)</f>
        <v>1.5861476055743562E-2</v>
      </c>
    </row>
    <row r="186" spans="1:10" x14ac:dyDescent="0.2">
      <c r="A186" s="22">
        <v>14.6</v>
      </c>
      <c r="B186" s="22">
        <f t="shared" si="9"/>
        <v>1.4907525595845603E-2</v>
      </c>
    </row>
    <row r="187" spans="1:10" x14ac:dyDescent="0.2">
      <c r="A187" s="22">
        <v>14.7</v>
      </c>
      <c r="B187" s="22">
        <f t="shared" si="9"/>
        <v>1.4010290902637397E-2</v>
      </c>
    </row>
    <row r="188" spans="1:10" x14ac:dyDescent="0.2">
      <c r="A188" s="22">
        <v>14.8</v>
      </c>
      <c r="B188" s="22">
        <f t="shared" si="9"/>
        <v>1.3166448467949293E-2</v>
      </c>
    </row>
    <row r="189" spans="1:10" x14ac:dyDescent="0.2">
      <c r="A189" s="22">
        <v>14.9</v>
      </c>
      <c r="B189" s="22">
        <f t="shared" si="9"/>
        <v>1.2372865926857192E-2</v>
      </c>
    </row>
    <row r="190" spans="1:10" x14ac:dyDescent="0.2">
      <c r="A190" s="22">
        <v>15</v>
      </c>
      <c r="B190" s="22">
        <f t="shared" si="9"/>
        <v>1.1626591337814511E-2</v>
      </c>
    </row>
    <row r="191" spans="1:10" x14ac:dyDescent="0.2">
      <c r="A191" s="22">
        <f>$C$8</f>
        <v>3</v>
      </c>
      <c r="B191" s="22"/>
      <c r="C191" s="22">
        <f>(1697.73777048*$B$18+40745.7064914*$B19+8337.88546256*$B$20)*$A191*$C$9/($C$6*$C$7)</f>
        <v>7.5418059460341711</v>
      </c>
      <c r="D191" s="22"/>
      <c r="E191" s="22"/>
      <c r="F191" s="22"/>
      <c r="G191" s="22"/>
      <c r="H191" s="22"/>
      <c r="I191" s="22"/>
      <c r="J191" s="22"/>
    </row>
    <row r="192" spans="1:10" x14ac:dyDescent="0.2">
      <c r="A192" s="22">
        <v>0</v>
      </c>
      <c r="B192" s="22"/>
      <c r="C192" s="22"/>
      <c r="D192" s="22">
        <v>0</v>
      </c>
      <c r="E192" s="22"/>
      <c r="F192" s="22"/>
      <c r="G192" s="22"/>
      <c r="H192" s="22"/>
      <c r="I192" s="22"/>
      <c r="J192" s="22"/>
    </row>
    <row r="193" spans="1:10" x14ac:dyDescent="0.2">
      <c r="A193" s="22">
        <f>(0.000589019116*$B$18+0.0000245424631*$B$19+0.000119934485*$B$20)*$D$193*$C$6*$C$7/$C$9</f>
        <v>6.3363160155319074</v>
      </c>
      <c r="B193" s="22"/>
      <c r="C193" s="22"/>
      <c r="D193" s="22">
        <f>1.25*($B$18+24*$B$19+4.9111739207*$B$20)*$G$9*EXP(-$G$8*$C$5-1)/($G$6+$G$7*$C$5)</f>
        <v>15.929088617497019</v>
      </c>
      <c r="E193" s="22"/>
      <c r="F193" s="22"/>
      <c r="G193" s="22"/>
      <c r="H193" s="22"/>
      <c r="I193" s="22"/>
      <c r="J193" s="22"/>
    </row>
    <row r="194" spans="1:10" x14ac:dyDescent="0.2">
      <c r="A194" s="22">
        <v>0</v>
      </c>
      <c r="B194" s="22"/>
      <c r="C194" s="22"/>
      <c r="D194" s="22"/>
      <c r="E194" s="22">
        <f>(1697.73777048*$B$18+40745.7064914*$B$19+8337.88546256*$B$20)*($C$9+$C$10)*$C$8/($C$6*$C$7)</f>
        <v>11.312708919051255</v>
      </c>
      <c r="F194" s="22"/>
      <c r="G194" s="22"/>
      <c r="H194" s="22"/>
      <c r="I194" s="22"/>
      <c r="J194" s="22"/>
    </row>
    <row r="195" spans="1:10" x14ac:dyDescent="0.2">
      <c r="A195" s="22">
        <f>(0.000589019116*$B$18+0.0000245424631*$B$19+0.000119934485*$B$20)*$E$194*$C$6*$C$7/$C$10</f>
        <v>8.9999999904700818</v>
      </c>
      <c r="B195" s="22"/>
      <c r="C195" s="22"/>
      <c r="D195" s="22"/>
      <c r="E195" s="22">
        <f>-(1697.73777048*$B$18+40745.7064914*$B$19+8337.88546256*$B$20)*$A195*$C$10/($C$6*$C$7)+$E$194</f>
        <v>1.197880017400621E-8</v>
      </c>
      <c r="F195" s="22"/>
      <c r="G195" s="22"/>
      <c r="H195" s="22"/>
      <c r="I195" s="22"/>
      <c r="J195" s="22"/>
    </row>
    <row r="196" spans="1:10" x14ac:dyDescent="0.2">
      <c r="A196" s="22">
        <f>$C$8</f>
        <v>3</v>
      </c>
      <c r="B196" s="22"/>
      <c r="C196" s="22"/>
      <c r="D196" s="22"/>
      <c r="E196" s="22"/>
      <c r="F196" s="22">
        <f>(1697.73777048*$B$18+40745.7064914*$B$19+8337.88546256*$B$20)*$A196*$C$11/($C$6*$C$7)</f>
        <v>0</v>
      </c>
      <c r="G196" s="22"/>
      <c r="H196" s="22"/>
      <c r="I196" s="22"/>
      <c r="J196" s="22"/>
    </row>
    <row r="197" spans="1:10" x14ac:dyDescent="0.2">
      <c r="A197" s="22">
        <v>0</v>
      </c>
      <c r="B197" s="22"/>
      <c r="C197" s="22"/>
      <c r="D197" s="22"/>
      <c r="E197" s="22"/>
      <c r="F197" s="22"/>
      <c r="G197" s="22">
        <v>0</v>
      </c>
      <c r="H197" s="22"/>
      <c r="I197" s="22"/>
      <c r="J197" s="22"/>
    </row>
    <row r="198" spans="1:10" x14ac:dyDescent="0.2">
      <c r="A198" s="22">
        <f>IF($C$11=0,0,(0.000589019116*$B$18+0.0000245424631*$B$19+0.000119934485*$B$20)*$D$193*$C$6*$C$7/$C$11)</f>
        <v>0</v>
      </c>
      <c r="B198" s="22"/>
      <c r="C198" s="22"/>
      <c r="D198" s="22"/>
      <c r="E198" s="22"/>
      <c r="F198" s="22"/>
      <c r="G198" s="22">
        <f>IF($C$11=0,0,1.25*($B$18+24*$B$19+4.9111739207*$B$20)*$G$9*EXP(-$G$8*$C$5-1)/($G$6+$G$7*$C$5))</f>
        <v>0</v>
      </c>
      <c r="H198" s="22"/>
      <c r="I198" s="22"/>
      <c r="J198" s="22"/>
    </row>
    <row r="199" spans="1:10" x14ac:dyDescent="0.2">
      <c r="A199" s="22">
        <v>0</v>
      </c>
      <c r="B199" s="22"/>
      <c r="C199" s="22"/>
      <c r="D199" s="22"/>
      <c r="E199" s="22"/>
      <c r="F199" s="22"/>
      <c r="G199" s="22"/>
      <c r="H199" s="22">
        <f>IF($C$11=0,0,(1697.73777048*$B$18+40745.7064914*$B$19+8337.88546256*$B$20)*($C$11+$C$10)*$C$8/($C$6*$C$7))</f>
        <v>0</v>
      </c>
      <c r="I199" s="22"/>
      <c r="J199" s="22"/>
    </row>
    <row r="200" spans="1:10" x14ac:dyDescent="0.2">
      <c r="A200" s="22">
        <f>(0.000589019116*$B$18+0.0000245424631*$B$19+0.000119934485*$B$20)*$H$199*$C$6*$C$7/$C$10</f>
        <v>0</v>
      </c>
      <c r="B200" s="22"/>
      <c r="C200" s="22"/>
      <c r="D200" s="22"/>
      <c r="E200" s="22"/>
      <c r="F200" s="22"/>
      <c r="G200" s="22"/>
      <c r="H200" s="22">
        <f>IF($C$11=0,0,-(1697.73777048*$B$18+40745.7064914*$B$19+8337.88546256*$B$20)*$A200*$C$10/($C$6*$C$7)+$H$199)</f>
        <v>0</v>
      </c>
      <c r="I200" s="22"/>
      <c r="J200" s="22"/>
    </row>
    <row r="201" spans="1:10" x14ac:dyDescent="0.2">
      <c r="A201" s="22">
        <f>IF($C$12=0,0,0)</f>
        <v>0</v>
      </c>
      <c r="B201" s="22"/>
      <c r="C201" s="22"/>
      <c r="D201" s="22"/>
      <c r="E201" s="22"/>
      <c r="F201" s="22"/>
      <c r="G201" s="22"/>
      <c r="H201" s="22"/>
      <c r="I201" s="22"/>
      <c r="J201" s="22">
        <f>IF($C$12=0,0,(1697.73777048*$B$18+40745.7064914*$B$19+8337.88546256*$B$20)*($C$9+$C$12)*$C$8/($C$6*$C$7))</f>
        <v>0</v>
      </c>
    </row>
    <row r="202" spans="1:10" x14ac:dyDescent="0.2">
      <c r="A202" s="22">
        <f>IF($C$12=0,0,(0.000589019116*$B$18+0.0000245424631*$B$19+0.000119934485*$B$20)*$J$201*$C$6*$C$7/$C$12)</f>
        <v>0</v>
      </c>
      <c r="B202" s="22"/>
      <c r="C202" s="22"/>
      <c r="D202" s="22"/>
      <c r="E202" s="22"/>
      <c r="F202" s="22"/>
      <c r="G202" s="22"/>
      <c r="H202" s="22"/>
      <c r="I202" s="22"/>
      <c r="J202" s="22">
        <f>IF($C$12=0,0,-(1697.73777048*$B$18+40745.7064914*$B$19+8337.88546256*$B$20)*$A202*$C$12/($C$6*$C$7)+$J$201)</f>
        <v>0</v>
      </c>
    </row>
  </sheetData>
  <phoneticPr fontId="5" type="noConversion"/>
  <printOptions horizontalCentered="1"/>
  <pageMargins left="0.75" right="0.75" top="1" bottom="1" header="0.5" footer="0.5"/>
  <pageSetup orientation="portrait" horizont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workbookViewId="0">
      <selection activeCell="I3" sqref="I3"/>
    </sheetView>
  </sheetViews>
  <sheetFormatPr defaultRowHeight="12.75" x14ac:dyDescent="0.2"/>
  <sheetData>
    <row r="1" spans="1:9" ht="15.75" x14ac:dyDescent="0.25">
      <c r="A1" s="1" t="s">
        <v>40</v>
      </c>
    </row>
    <row r="2" spans="1:9" ht="15.75" x14ac:dyDescent="0.25">
      <c r="A2" s="1" t="s">
        <v>41</v>
      </c>
      <c r="I2" s="17" t="s">
        <v>127</v>
      </c>
    </row>
    <row r="3" spans="1:9" ht="15.75" x14ac:dyDescent="0.25">
      <c r="A3" s="1" t="s">
        <v>42</v>
      </c>
    </row>
    <row r="4" spans="1:9" ht="13.5" thickBot="1" x14ac:dyDescent="0.25">
      <c r="C4" s="2"/>
    </row>
    <row r="5" spans="1:9" ht="13.5" thickTop="1" x14ac:dyDescent="0.2">
      <c r="A5" s="17" t="s">
        <v>90</v>
      </c>
      <c r="C5">
        <v>173</v>
      </c>
      <c r="D5" t="s">
        <v>44</v>
      </c>
    </row>
    <row r="6" spans="1:9" x14ac:dyDescent="0.2">
      <c r="A6" t="s">
        <v>45</v>
      </c>
      <c r="C6">
        <v>2</v>
      </c>
      <c r="F6" t="s">
        <v>46</v>
      </c>
      <c r="G6">
        <v>0.21099999999999999</v>
      </c>
      <c r="H6" t="s">
        <v>47</v>
      </c>
    </row>
    <row r="7" spans="1:9" ht="14.25" x14ac:dyDescent="0.2">
      <c r="A7" t="s">
        <v>48</v>
      </c>
      <c r="C7">
        <v>5776</v>
      </c>
      <c r="D7" t="s">
        <v>49</v>
      </c>
      <c r="F7" t="s">
        <v>50</v>
      </c>
      <c r="G7">
        <v>2.3600000000000001E-3</v>
      </c>
      <c r="H7" t="s">
        <v>51</v>
      </c>
    </row>
    <row r="8" spans="1:9" x14ac:dyDescent="0.2">
      <c r="A8" t="s">
        <v>52</v>
      </c>
      <c r="C8">
        <v>3</v>
      </c>
      <c r="D8" t="s">
        <v>53</v>
      </c>
      <c r="F8" t="s">
        <v>54</v>
      </c>
      <c r="G8">
        <v>5.9300000000000004E-3</v>
      </c>
      <c r="H8" t="s">
        <v>55</v>
      </c>
    </row>
    <row r="9" spans="1:9" x14ac:dyDescent="0.2">
      <c r="A9" t="s">
        <v>56</v>
      </c>
      <c r="C9">
        <v>4.3</v>
      </c>
      <c r="D9" t="s">
        <v>57</v>
      </c>
      <c r="F9" t="s">
        <v>58</v>
      </c>
      <c r="G9">
        <v>14.6</v>
      </c>
      <c r="H9" t="s">
        <v>59</v>
      </c>
    </row>
    <row r="10" spans="1:9" x14ac:dyDescent="0.2">
      <c r="A10" t="s">
        <v>60</v>
      </c>
      <c r="C10">
        <v>1.8</v>
      </c>
      <c r="D10" t="s">
        <v>57</v>
      </c>
    </row>
    <row r="11" spans="1:9" x14ac:dyDescent="0.2">
      <c r="A11" t="s">
        <v>61</v>
      </c>
      <c r="C11">
        <v>0</v>
      </c>
      <c r="D11" t="s">
        <v>57</v>
      </c>
    </row>
    <row r="12" spans="1:9" ht="13.5" thickBot="1" x14ac:dyDescent="0.25">
      <c r="A12" t="s">
        <v>62</v>
      </c>
      <c r="C12" s="2">
        <v>0</v>
      </c>
      <c r="D12" t="s">
        <v>57</v>
      </c>
    </row>
    <row r="13" spans="1:9" ht="13.5" thickTop="1" x14ac:dyDescent="0.2"/>
    <row r="14" spans="1:9" ht="15.75" x14ac:dyDescent="0.25">
      <c r="A14" s="1" t="s">
        <v>63</v>
      </c>
    </row>
    <row r="15" spans="1:9" ht="15.75" x14ac:dyDescent="0.25">
      <c r="A15" s="1" t="s">
        <v>64</v>
      </c>
    </row>
    <row r="16" spans="1:9" ht="15.75" x14ac:dyDescent="0.25">
      <c r="A16" s="1" t="s">
        <v>65</v>
      </c>
    </row>
    <row r="18" spans="1:2" ht="14.25" x14ac:dyDescent="0.2">
      <c r="A18" t="s">
        <v>66</v>
      </c>
      <c r="B18">
        <v>0</v>
      </c>
    </row>
    <row r="19" spans="1:2" ht="14.25" x14ac:dyDescent="0.2">
      <c r="A19" t="s">
        <v>67</v>
      </c>
      <c r="B19">
        <v>0</v>
      </c>
    </row>
    <row r="20" spans="1:2" ht="14.25" x14ac:dyDescent="0.2">
      <c r="A20" t="s">
        <v>68</v>
      </c>
      <c r="B20">
        <v>1</v>
      </c>
    </row>
    <row r="40" spans="1:9" ht="13.5" thickBot="1" x14ac:dyDescent="0.25"/>
    <row r="41" spans="1:9" ht="13.5" thickBot="1" x14ac:dyDescent="0.25">
      <c r="A41" t="s">
        <v>69</v>
      </c>
      <c r="B41" t="s">
        <v>70</v>
      </c>
      <c r="E41" s="8" t="s">
        <v>71</v>
      </c>
      <c r="F41" s="9"/>
      <c r="G41" s="10"/>
      <c r="H41" s="10"/>
      <c r="I41" s="11"/>
    </row>
    <row r="42" spans="1:9" x14ac:dyDescent="0.2">
      <c r="A42" t="s">
        <v>72</v>
      </c>
      <c r="B42" t="str">
        <f>IF($B$18=1,"Solids Flux  (kg/m2d)",IF($B$19=1,"Solids Flux  (kg/m2d)","Solids Flux  (lb/ft2d)"))</f>
        <v>Solids Flux  (lb/ft2d)</v>
      </c>
      <c r="E42" s="3"/>
      <c r="I42" s="6"/>
    </row>
    <row r="43" spans="1:9" x14ac:dyDescent="0.2">
      <c r="A43">
        <v>0</v>
      </c>
      <c r="B43">
        <f t="shared" ref="B43:B74" si="0">($B$18+24*$B$19+4.9111739207*$B$20)*A43*$G$9*EXP(-$G$8*$C$5-($G$6+$G$7*$C$5)*A43)</f>
        <v>0</v>
      </c>
      <c r="E43" s="12" t="str">
        <f>$A$5</f>
        <v xml:space="preserve">SVISS </v>
      </c>
      <c r="F43" s="13"/>
      <c r="G43" s="13"/>
      <c r="H43" s="13">
        <f>$C$5</f>
        <v>173</v>
      </c>
      <c r="I43" s="14" t="s">
        <v>44</v>
      </c>
    </row>
    <row r="44" spans="1:9" ht="14.25" x14ac:dyDescent="0.2">
      <c r="A44">
        <v>0.1</v>
      </c>
      <c r="B44">
        <f t="shared" si="0"/>
        <v>2.416043866734491</v>
      </c>
      <c r="E44" s="12" t="s">
        <v>73</v>
      </c>
      <c r="F44" s="13"/>
      <c r="G44" s="13"/>
      <c r="H44" s="13">
        <f>$C$6*$C$7</f>
        <v>11552</v>
      </c>
      <c r="I44" s="14" t="s">
        <v>49</v>
      </c>
    </row>
    <row r="45" spans="1:9" x14ac:dyDescent="0.2">
      <c r="A45">
        <v>0.2</v>
      </c>
      <c r="B45">
        <f t="shared" si="0"/>
        <v>4.5419235748856446</v>
      </c>
      <c r="E45" s="12" t="s">
        <v>74</v>
      </c>
      <c r="F45" s="13"/>
      <c r="G45" s="13"/>
      <c r="H45" s="13">
        <f>$C$8*1000</f>
        <v>3000</v>
      </c>
      <c r="I45" s="14" t="s">
        <v>75</v>
      </c>
    </row>
    <row r="46" spans="1:9" x14ac:dyDescent="0.2">
      <c r="A46">
        <v>0.3</v>
      </c>
      <c r="B46">
        <f t="shared" si="0"/>
        <v>6.4037754169538674</v>
      </c>
      <c r="E46" s="12" t="s">
        <v>76</v>
      </c>
      <c r="F46" s="13"/>
      <c r="G46" s="13"/>
      <c r="H46" s="13">
        <f>$C$9</f>
        <v>4.3</v>
      </c>
      <c r="I46" s="14" t="s">
        <v>57</v>
      </c>
    </row>
    <row r="47" spans="1:9" ht="14.25" x14ac:dyDescent="0.2">
      <c r="A47">
        <v>0.4</v>
      </c>
      <c r="B47">
        <f t="shared" si="0"/>
        <v>8.0256430591628387</v>
      </c>
      <c r="E47" s="12" t="s">
        <v>77</v>
      </c>
      <c r="F47" s="13"/>
      <c r="G47" s="13"/>
      <c r="H47" s="13">
        <f>IF($C$9=0,0,$C$9*1000000/($C$6*$C$7))</f>
        <v>372.22991689750694</v>
      </c>
      <c r="I47" s="14" t="s">
        <v>78</v>
      </c>
    </row>
    <row r="48" spans="1:9" x14ac:dyDescent="0.2">
      <c r="A48">
        <v>0.5</v>
      </c>
      <c r="B48">
        <f t="shared" si="0"/>
        <v>9.4296346177524946</v>
      </c>
      <c r="E48" s="12" t="s">
        <v>79</v>
      </c>
      <c r="F48" s="13"/>
      <c r="G48" s="13"/>
      <c r="H48" s="13">
        <f>$C$10</f>
        <v>1.8</v>
      </c>
      <c r="I48" s="14" t="s">
        <v>57</v>
      </c>
    </row>
    <row r="49" spans="1:9" x14ac:dyDescent="0.2">
      <c r="A49">
        <v>0.6</v>
      </c>
      <c r="B49">
        <f t="shared" si="0"/>
        <v>10.63606841646004</v>
      </c>
      <c r="E49" s="12" t="s">
        <v>80</v>
      </c>
      <c r="F49" s="13"/>
      <c r="G49" s="13"/>
      <c r="H49" s="15">
        <f>$E$197</f>
        <v>13.208388501112188</v>
      </c>
      <c r="I49" s="14" t="str">
        <f>IF($B$18=1,$A$18,IF($B$19=1,$A$19,$A$20))</f>
        <v>lb/ft2d</v>
      </c>
    </row>
    <row r="50" spans="1:9" x14ac:dyDescent="0.2">
      <c r="A50">
        <v>0.7</v>
      </c>
      <c r="B50">
        <f t="shared" si="0"/>
        <v>11.663608218158679</v>
      </c>
      <c r="E50" s="12" t="s">
        <v>81</v>
      </c>
      <c r="F50" s="13"/>
      <c r="G50" s="13"/>
      <c r="H50" s="16">
        <f>$A$198*1000</f>
        <v>10166.66665590139</v>
      </c>
      <c r="I50" s="14" t="s">
        <v>75</v>
      </c>
    </row>
    <row r="51" spans="1:9" x14ac:dyDescent="0.2">
      <c r="A51">
        <v>0.8</v>
      </c>
      <c r="B51">
        <f t="shared" si="0"/>
        <v>12.529388669203927</v>
      </c>
      <c r="E51" s="12" t="s">
        <v>82</v>
      </c>
      <c r="F51" s="13"/>
      <c r="G51" s="13"/>
      <c r="H51" s="13">
        <f>$C$11</f>
        <v>0</v>
      </c>
      <c r="I51" s="14" t="s">
        <v>57</v>
      </c>
    </row>
    <row r="52" spans="1:9" ht="14.25" x14ac:dyDescent="0.2">
      <c r="A52">
        <v>0.9</v>
      </c>
      <c r="B52">
        <f t="shared" si="0"/>
        <v>13.249131644293781</v>
      </c>
      <c r="E52" s="12" t="s">
        <v>83</v>
      </c>
      <c r="F52" s="13"/>
      <c r="G52" s="13"/>
      <c r="H52" s="13">
        <f>$C$11*1000000/($C$6*$C$7)</f>
        <v>0</v>
      </c>
      <c r="I52" s="14" t="s">
        <v>78</v>
      </c>
    </row>
    <row r="53" spans="1:9" x14ac:dyDescent="0.2">
      <c r="A53">
        <v>1</v>
      </c>
      <c r="B53">
        <f t="shared" si="0"/>
        <v>13.837254132336675</v>
      </c>
      <c r="E53" s="12" t="s">
        <v>84</v>
      </c>
      <c r="F53" s="13"/>
      <c r="G53" s="13"/>
      <c r="H53" s="15">
        <f>$H$202</f>
        <v>0</v>
      </c>
      <c r="I53" s="14" t="str">
        <f>IF($B$18=1,$A$18,IF($B$19=1,$A$19,$A$20))</f>
        <v>lb/ft2d</v>
      </c>
    </row>
    <row r="54" spans="1:9" x14ac:dyDescent="0.2">
      <c r="A54">
        <v>1.1000000000000001</v>
      </c>
      <c r="B54">
        <f t="shared" si="0"/>
        <v>14.306968259710699</v>
      </c>
      <c r="E54" s="12" t="s">
        <v>85</v>
      </c>
      <c r="F54" s="13"/>
      <c r="G54" s="13"/>
      <c r="H54" s="16">
        <f>$A$203*1000</f>
        <v>0</v>
      </c>
      <c r="I54" s="14" t="s">
        <v>75</v>
      </c>
    </row>
    <row r="55" spans="1:9" x14ac:dyDescent="0.2">
      <c r="A55">
        <v>1.2</v>
      </c>
      <c r="B55">
        <f t="shared" si="0"/>
        <v>14.670374006175063</v>
      </c>
      <c r="E55" s="12" t="s">
        <v>86</v>
      </c>
      <c r="F55" s="13"/>
      <c r="G55" s="13"/>
      <c r="H55" s="13">
        <f>$C$12</f>
        <v>0</v>
      </c>
      <c r="I55" s="14" t="s">
        <v>57</v>
      </c>
    </row>
    <row r="56" spans="1:9" x14ac:dyDescent="0.2">
      <c r="A56">
        <v>1.3</v>
      </c>
      <c r="B56">
        <f t="shared" si="0"/>
        <v>14.938545130360774</v>
      </c>
      <c r="E56" s="12" t="s">
        <v>84</v>
      </c>
      <c r="F56" s="13"/>
      <c r="G56" s="13"/>
      <c r="H56" s="15">
        <f>$J$206</f>
        <v>0</v>
      </c>
      <c r="I56" s="14" t="str">
        <f>IF($B$18=1,$A$18,IF($B$19=1,$A$19,$A$20))</f>
        <v>lb/ft2d</v>
      </c>
    </row>
    <row r="57" spans="1:9" x14ac:dyDescent="0.2">
      <c r="A57">
        <v>1.4</v>
      </c>
      <c r="B57">
        <f t="shared" si="0"/>
        <v>15.121608786034807</v>
      </c>
      <c r="E57" s="12" t="s">
        <v>85</v>
      </c>
      <c r="F57" s="13"/>
      <c r="G57" s="13"/>
      <c r="H57" s="13">
        <f>$A$207*1000</f>
        <v>0</v>
      </c>
      <c r="I57" s="14" t="s">
        <v>75</v>
      </c>
    </row>
    <row r="58" spans="1:9" x14ac:dyDescent="0.2">
      <c r="A58">
        <v>1.5</v>
      </c>
      <c r="B58">
        <f t="shared" si="0"/>
        <v>15.228819277027101</v>
      </c>
      <c r="E58" s="12"/>
      <c r="F58" s="13"/>
      <c r="G58" s="13"/>
      <c r="H58" s="13"/>
      <c r="I58" s="14"/>
    </row>
    <row r="59" spans="1:9" ht="13.5" thickBot="1" x14ac:dyDescent="0.25">
      <c r="A59">
        <v>1.6</v>
      </c>
      <c r="B59">
        <f t="shared" si="0"/>
        <v>15.268626367669295</v>
      </c>
      <c r="E59" s="4" t="s">
        <v>87</v>
      </c>
      <c r="F59" s="5"/>
      <c r="G59" s="5"/>
      <c r="H59" s="5"/>
      <c r="I59" s="7"/>
    </row>
    <row r="60" spans="1:9" x14ac:dyDescent="0.2">
      <c r="A60">
        <v>1.7</v>
      </c>
      <c r="B60">
        <f t="shared" si="0"/>
        <v>15.248738536666636</v>
      </c>
    </row>
    <row r="61" spans="1:9" x14ac:dyDescent="0.2">
      <c r="A61">
        <v>1.8</v>
      </c>
      <c r="B61">
        <f t="shared" si="0"/>
        <v>15.176181535368109</v>
      </c>
    </row>
    <row r="62" spans="1:9" x14ac:dyDescent="0.2">
      <c r="A62">
        <v>1.9</v>
      </c>
      <c r="B62">
        <f t="shared" si="0"/>
        <v>15.057352586281853</v>
      </c>
    </row>
    <row r="63" spans="1:9" x14ac:dyDescent="0.2">
      <c r="A63">
        <v>2</v>
      </c>
      <c r="B63">
        <f t="shared" si="0"/>
        <v>14.898070534280286</v>
      </c>
    </row>
    <row r="64" spans="1:9" x14ac:dyDescent="0.2">
      <c r="A64">
        <v>2.1</v>
      </c>
      <c r="B64">
        <f t="shared" si="0"/>
        <v>14.703622241135935</v>
      </c>
    </row>
    <row r="65" spans="1:2" x14ac:dyDescent="0.2">
      <c r="A65">
        <v>2.2000000000000002</v>
      </c>
      <c r="B65">
        <f t="shared" si="0"/>
        <v>14.47880549371782</v>
      </c>
    </row>
    <row r="66" spans="1:2" x14ac:dyDescent="0.2">
      <c r="A66">
        <v>2.2999999999999998</v>
      </c>
      <c r="B66">
        <f t="shared" si="0"/>
        <v>14.227968677258124</v>
      </c>
    </row>
    <row r="67" spans="1:2" x14ac:dyDescent="0.2">
      <c r="A67">
        <v>2.4</v>
      </c>
      <c r="B67">
        <f t="shared" si="0"/>
        <v>13.955047447476446</v>
      </c>
    </row>
    <row r="68" spans="1:2" x14ac:dyDescent="0.2">
      <c r="A68">
        <v>2.5</v>
      </c>
      <c r="B68">
        <f t="shared" si="0"/>
        <v>13.663598618936176</v>
      </c>
    </row>
    <row r="69" spans="1:2" x14ac:dyDescent="0.2">
      <c r="A69">
        <v>2.6</v>
      </c>
      <c r="B69">
        <f t="shared" si="0"/>
        <v>13.356831471723176</v>
      </c>
    </row>
    <row r="70" spans="1:2" x14ac:dyDescent="0.2">
      <c r="A70">
        <v>2.7</v>
      </c>
      <c r="B70">
        <f t="shared" si="0"/>
        <v>13.037636664304074</v>
      </c>
    </row>
    <row r="71" spans="1:2" x14ac:dyDescent="0.2">
      <c r="A71">
        <v>2.8</v>
      </c>
      <c r="B71">
        <f t="shared" si="0"/>
        <v>12.708612927169517</v>
      </c>
    </row>
    <row r="72" spans="1:2" x14ac:dyDescent="0.2">
      <c r="A72">
        <v>2.9</v>
      </c>
      <c r="B72">
        <f t="shared" si="0"/>
        <v>12.37209169952969</v>
      </c>
    </row>
    <row r="73" spans="1:2" x14ac:dyDescent="0.2">
      <c r="A73">
        <v>3</v>
      </c>
      <c r="B73">
        <f t="shared" si="0"/>
        <v>12.030159859843693</v>
      </c>
    </row>
    <row r="74" spans="1:2" x14ac:dyDescent="0.2">
      <c r="A74">
        <v>3.1</v>
      </c>
      <c r="B74">
        <f t="shared" si="0"/>
        <v>11.684680690272845</v>
      </c>
    </row>
    <row r="75" spans="1:2" x14ac:dyDescent="0.2">
      <c r="A75">
        <v>3.2</v>
      </c>
      <c r="B75">
        <f t="shared" ref="B75:B106" si="1">($B$18+24*$B$19+4.9111739207*$B$20)*A75*$G$9*EXP(-$G$8*$C$5-($G$6+$G$7*$C$5)*A75)</f>
        <v>11.337313205196887</v>
      </c>
    </row>
    <row r="76" spans="1:2" x14ac:dyDescent="0.2">
      <c r="A76">
        <v>3.3</v>
      </c>
      <c r="B76">
        <f t="shared" si="1"/>
        <v>10.989529964670815</v>
      </c>
    </row>
    <row r="77" spans="1:2" x14ac:dyDescent="0.2">
      <c r="A77">
        <v>3.4</v>
      </c>
      <c r="B77">
        <f t="shared" si="1"/>
        <v>10.642633485081856</v>
      </c>
    </row>
    <row r="78" spans="1:2" x14ac:dyDescent="0.2">
      <c r="A78">
        <v>3.5</v>
      </c>
      <c r="B78">
        <f t="shared" si="1"/>
        <v>10.297771351247238</v>
      </c>
    </row>
    <row r="79" spans="1:2" x14ac:dyDescent="0.2">
      <c r="A79">
        <v>3.6</v>
      </c>
      <c r="B79">
        <f t="shared" si="1"/>
        <v>9.9559501267323167</v>
      </c>
    </row>
    <row r="80" spans="1:2" x14ac:dyDescent="0.2">
      <c r="A80">
        <v>3.7</v>
      </c>
      <c r="B80">
        <f t="shared" si="1"/>
        <v>9.618048152228333</v>
      </c>
    </row>
    <row r="81" spans="1:2" x14ac:dyDescent="0.2">
      <c r="A81">
        <v>3.8</v>
      </c>
      <c r="B81">
        <f t="shared" si="1"/>
        <v>9.284827315372862</v>
      </c>
    </row>
    <row r="82" spans="1:2" x14ac:dyDescent="0.2">
      <c r="A82">
        <v>3.9</v>
      </c>
      <c r="B82">
        <f t="shared" si="1"/>
        <v>8.9569438693913508</v>
      </c>
    </row>
    <row r="83" spans="1:2" x14ac:dyDescent="0.2">
      <c r="A83">
        <v>4</v>
      </c>
      <c r="B83">
        <f t="shared" si="1"/>
        <v>8.6349583723541397</v>
      </c>
    </row>
    <row r="84" spans="1:2" x14ac:dyDescent="0.2">
      <c r="A84">
        <v>4.0999999999999996</v>
      </c>
      <c r="B84">
        <f t="shared" si="1"/>
        <v>8.3193448136506785</v>
      </c>
    </row>
    <row r="85" spans="1:2" x14ac:dyDescent="0.2">
      <c r="A85">
        <v>4.2</v>
      </c>
      <c r="B85">
        <f t="shared" si="1"/>
        <v>8.0104989894549607</v>
      </c>
    </row>
    <row r="86" spans="1:2" x14ac:dyDescent="0.2">
      <c r="A86">
        <v>4.3</v>
      </c>
      <c r="B86">
        <f t="shared" si="1"/>
        <v>7.7087461844680076</v>
      </c>
    </row>
    <row r="87" spans="1:2" x14ac:dyDescent="0.2">
      <c r="A87">
        <v>4.4000000000000004</v>
      </c>
      <c r="B87">
        <f t="shared" si="1"/>
        <v>7.4143482130513361</v>
      </c>
    </row>
    <row r="88" spans="1:2" x14ac:dyDescent="0.2">
      <c r="A88">
        <v>4.5</v>
      </c>
      <c r="B88">
        <f t="shared" si="1"/>
        <v>7.1275098689880254</v>
      </c>
    </row>
    <row r="89" spans="1:2" x14ac:dyDescent="0.2">
      <c r="A89">
        <v>4.5999999999999996</v>
      </c>
      <c r="B89">
        <f t="shared" si="1"/>
        <v>6.8483848295046119</v>
      </c>
    </row>
    <row r="90" spans="1:2" x14ac:dyDescent="0.2">
      <c r="A90">
        <v>4.7</v>
      </c>
      <c r="B90">
        <f t="shared" si="1"/>
        <v>6.5770810558390984</v>
      </c>
    </row>
    <row r="91" spans="1:2" x14ac:dyDescent="0.2">
      <c r="A91">
        <v>4.8</v>
      </c>
      <c r="B91">
        <f t="shared" si="1"/>
        <v>6.3136657295298066</v>
      </c>
    </row>
    <row r="92" spans="1:2" x14ac:dyDescent="0.2">
      <c r="A92">
        <v>4.9000000000000004</v>
      </c>
      <c r="B92">
        <f t="shared" si="1"/>
        <v>6.0581697607103218</v>
      </c>
    </row>
    <row r="93" spans="1:2" x14ac:dyDescent="0.2">
      <c r="A93">
        <v>5</v>
      </c>
      <c r="B93">
        <f t="shared" si="1"/>
        <v>5.8105919020122743</v>
      </c>
    </row>
    <row r="94" spans="1:2" x14ac:dyDescent="0.2">
      <c r="A94">
        <v>5.0999999999999996</v>
      </c>
      <c r="B94">
        <f t="shared" si="1"/>
        <v>5.5709024991852933</v>
      </c>
    </row>
    <row r="95" spans="1:2" x14ac:dyDescent="0.2">
      <c r="A95">
        <v>5.2</v>
      </c>
      <c r="B95">
        <f t="shared" si="1"/>
        <v>5.3390469072296272</v>
      </c>
    </row>
    <row r="96" spans="1:2" x14ac:dyDescent="0.2">
      <c r="A96">
        <v>5.3</v>
      </c>
      <c r="B96">
        <f t="shared" si="1"/>
        <v>5.1149485986884216</v>
      </c>
    </row>
    <row r="97" spans="1:2" x14ac:dyDescent="0.2">
      <c r="A97">
        <v>5.4</v>
      </c>
      <c r="B97">
        <f t="shared" si="1"/>
        <v>4.8985119887525608</v>
      </c>
    </row>
    <row r="98" spans="1:2" x14ac:dyDescent="0.2">
      <c r="A98">
        <v>5.5</v>
      </c>
      <c r="B98">
        <f t="shared" si="1"/>
        <v>4.6896249999803992</v>
      </c>
    </row>
    <row r="99" spans="1:2" x14ac:dyDescent="0.2">
      <c r="A99">
        <v>5.6</v>
      </c>
      <c r="B99">
        <f t="shared" si="1"/>
        <v>4.4881613877170174</v>
      </c>
    </row>
    <row r="100" spans="1:2" x14ac:dyDescent="0.2">
      <c r="A100">
        <v>5.7</v>
      </c>
      <c r="B100">
        <f t="shared" si="1"/>
        <v>4.2939828457046314</v>
      </c>
    </row>
    <row r="101" spans="1:2" x14ac:dyDescent="0.2">
      <c r="A101">
        <v>5.8</v>
      </c>
      <c r="B101">
        <f t="shared" si="1"/>
        <v>4.1069409098976379</v>
      </c>
    </row>
    <row r="102" spans="1:2" x14ac:dyDescent="0.2">
      <c r="A102">
        <v>5.9</v>
      </c>
      <c r="B102">
        <f t="shared" si="1"/>
        <v>3.9268786771249036</v>
      </c>
    </row>
    <row r="103" spans="1:2" x14ac:dyDescent="0.2">
      <c r="A103">
        <v>6</v>
      </c>
      <c r="B103">
        <f t="shared" si="1"/>
        <v>3.7536323539710095</v>
      </c>
    </row>
    <row r="104" spans="1:2" x14ac:dyDescent="0.2">
      <c r="A104">
        <v>6.1</v>
      </c>
      <c r="B104">
        <f t="shared" si="1"/>
        <v>3.5870326500695207</v>
      </c>
    </row>
    <row r="105" spans="1:2" x14ac:dyDescent="0.2">
      <c r="A105">
        <v>6.2</v>
      </c>
      <c r="B105">
        <f t="shared" si="1"/>
        <v>3.4269060289090714</v>
      </c>
    </row>
    <row r="106" spans="1:2" x14ac:dyDescent="0.2">
      <c r="A106">
        <v>6.3</v>
      </c>
      <c r="B106">
        <f t="shared" si="1"/>
        <v>3.2730758282406893</v>
      </c>
    </row>
    <row r="107" spans="1:2" x14ac:dyDescent="0.2">
      <c r="A107">
        <v>6.4</v>
      </c>
      <c r="B107">
        <f t="shared" ref="B107:B138" si="2">($B$18+24*$B$19+4.9111739207*$B$20)*A107*$G$9*EXP(-$G$8*$C$5-($G$6+$G$7*$C$5)*A107)</f>
        <v>3.125363261236783</v>
      </c>
    </row>
    <row r="108" spans="1:2" x14ac:dyDescent="0.2">
      <c r="A108">
        <v>6.5</v>
      </c>
      <c r="B108">
        <f t="shared" si="2"/>
        <v>2.9835883086832715</v>
      </c>
    </row>
    <row r="109" spans="1:2" x14ac:dyDescent="0.2">
      <c r="A109">
        <v>6.6</v>
      </c>
      <c r="B109">
        <f t="shared" si="2"/>
        <v>2.8475705116815169</v>
      </c>
    </row>
    <row r="110" spans="1:2" x14ac:dyDescent="0.2">
      <c r="A110">
        <v>6.7</v>
      </c>
      <c r="B110">
        <f t="shared" si="2"/>
        <v>2.7171296735915438</v>
      </c>
    </row>
    <row r="111" spans="1:2" x14ac:dyDescent="0.2">
      <c r="A111">
        <v>6.8</v>
      </c>
      <c r="B111">
        <f t="shared" si="2"/>
        <v>2.5920864792581977</v>
      </c>
    </row>
    <row r="112" spans="1:2" x14ac:dyDescent="0.2">
      <c r="A112">
        <v>6.9</v>
      </c>
      <c r="B112">
        <f t="shared" si="2"/>
        <v>2.4722630389231561</v>
      </c>
    </row>
    <row r="113" spans="1:2" x14ac:dyDescent="0.2">
      <c r="A113">
        <v>7</v>
      </c>
      <c r="B113">
        <f t="shared" si="2"/>
        <v>2.3574833636352159</v>
      </c>
    </row>
    <row r="114" spans="1:2" x14ac:dyDescent="0.2">
      <c r="A114">
        <v>7.1</v>
      </c>
      <c r="B114">
        <f t="shared" si="2"/>
        <v>2.2475737784244147</v>
      </c>
    </row>
    <row r="115" spans="1:2" x14ac:dyDescent="0.2">
      <c r="A115">
        <v>7.2</v>
      </c>
      <c r="B115">
        <f t="shared" si="2"/>
        <v>2.1423632790002243</v>
      </c>
    </row>
    <row r="116" spans="1:2" x14ac:dyDescent="0.2">
      <c r="A116">
        <v>7.3</v>
      </c>
      <c r="B116">
        <f t="shared" si="2"/>
        <v>2.0416838372666239</v>
      </c>
    </row>
    <row r="117" spans="1:2" x14ac:dyDescent="0.2">
      <c r="A117">
        <v>7.4</v>
      </c>
      <c r="B117">
        <f t="shared" si="2"/>
        <v>1.9453706605148637</v>
      </c>
    </row>
    <row r="118" spans="1:2" x14ac:dyDescent="0.2">
      <c r="A118">
        <v>7.5</v>
      </c>
      <c r="B118">
        <f t="shared" si="2"/>
        <v>1.8532624087554956</v>
      </c>
    </row>
    <row r="119" spans="1:2" x14ac:dyDescent="0.2">
      <c r="A119">
        <v>7.6</v>
      </c>
      <c r="B119">
        <f t="shared" si="2"/>
        <v>1.7652013742824784</v>
      </c>
    </row>
    <row r="120" spans="1:2" x14ac:dyDescent="0.2">
      <c r="A120">
        <v>7.7</v>
      </c>
      <c r="B120">
        <f t="shared" si="2"/>
        <v>1.6810336272215574</v>
      </c>
    </row>
    <row r="121" spans="1:2" x14ac:dyDescent="0.2">
      <c r="A121">
        <v>7.8</v>
      </c>
      <c r="B121">
        <f t="shared" si="2"/>
        <v>1.6006091305006598</v>
      </c>
    </row>
    <row r="122" spans="1:2" x14ac:dyDescent="0.2">
      <c r="A122">
        <v>7.9</v>
      </c>
      <c r="B122">
        <f t="shared" si="2"/>
        <v>1.5237818273898665</v>
      </c>
    </row>
    <row r="123" spans="1:2" x14ac:dyDescent="0.2">
      <c r="A123">
        <v>8</v>
      </c>
      <c r="B123">
        <f t="shared" si="2"/>
        <v>1.450409704490732</v>
      </c>
    </row>
    <row r="124" spans="1:2" x14ac:dyDescent="0.2">
      <c r="A124">
        <v>8.1</v>
      </c>
      <c r="B124">
        <f t="shared" si="2"/>
        <v>1.3803548328078099</v>
      </c>
    </row>
    <row r="125" spans="1:2" x14ac:dyDescent="0.2">
      <c r="A125">
        <v>8.1999999999999993</v>
      </c>
      <c r="B125">
        <f t="shared" si="2"/>
        <v>1.3134833893075344</v>
      </c>
    </row>
    <row r="126" spans="1:2" x14ac:dyDescent="0.2">
      <c r="A126">
        <v>8.3000000000000007</v>
      </c>
      <c r="B126">
        <f t="shared" si="2"/>
        <v>1.2496656611598196</v>
      </c>
    </row>
    <row r="127" spans="1:2" x14ac:dyDescent="0.2">
      <c r="A127">
        <v>8.4</v>
      </c>
      <c r="B127">
        <f t="shared" si="2"/>
        <v>1.1887760346644094</v>
      </c>
    </row>
    <row r="128" spans="1:2" x14ac:dyDescent="0.2">
      <c r="A128">
        <v>8.5</v>
      </c>
      <c r="B128">
        <f t="shared" si="2"/>
        <v>1.1306929706860387</v>
      </c>
    </row>
    <row r="129" spans="1:2" x14ac:dyDescent="0.2">
      <c r="A129">
        <v>8.6</v>
      </c>
      <c r="B129">
        <f t="shared" si="2"/>
        <v>1.0752989682586018</v>
      </c>
    </row>
    <row r="130" spans="1:2" x14ac:dyDescent="0.2">
      <c r="A130">
        <v>8.6999999999999993</v>
      </c>
      <c r="B130">
        <f t="shared" si="2"/>
        <v>1.0224805178678078</v>
      </c>
    </row>
    <row r="131" spans="1:2" x14ac:dyDescent="0.2">
      <c r="A131">
        <v>8.8000000000000007</v>
      </c>
      <c r="B131">
        <f t="shared" si="2"/>
        <v>0.97212804578315726</v>
      </c>
    </row>
    <row r="132" spans="1:2" x14ac:dyDescent="0.2">
      <c r="A132">
        <v>8.9</v>
      </c>
      <c r="B132">
        <f t="shared" si="2"/>
        <v>0.9241358506826689</v>
      </c>
    </row>
    <row r="133" spans="1:2" x14ac:dyDescent="0.2">
      <c r="A133">
        <v>9</v>
      </c>
      <c r="B133">
        <f t="shared" si="2"/>
        <v>0.87840203369672898</v>
      </c>
    </row>
    <row r="134" spans="1:2" x14ac:dyDescent="0.2">
      <c r="A134">
        <v>9.1</v>
      </c>
      <c r="B134">
        <f t="shared" si="2"/>
        <v>0.83482842288993708</v>
      </c>
    </row>
    <row r="135" spans="1:2" x14ac:dyDescent="0.2">
      <c r="A135">
        <v>9.1999999999999993</v>
      </c>
      <c r="B135">
        <f t="shared" si="2"/>
        <v>0.79332049310120256</v>
      </c>
    </row>
    <row r="136" spans="1:2" x14ac:dyDescent="0.2">
      <c r="A136">
        <v>9.3000000000000007</v>
      </c>
      <c r="B136">
        <f t="shared" si="2"/>
        <v>0.75378728197187383</v>
      </c>
    </row>
    <row r="137" spans="1:2" x14ac:dyDescent="0.2">
      <c r="A137">
        <v>9.4</v>
      </c>
      <c r="B137">
        <f t="shared" si="2"/>
        <v>0.71614130290876132</v>
      </c>
    </row>
    <row r="138" spans="1:2" x14ac:dyDescent="0.2">
      <c r="A138">
        <v>9.5</v>
      </c>
      <c r="B138">
        <f t="shared" si="2"/>
        <v>0.6802984556529702</v>
      </c>
    </row>
    <row r="139" spans="1:2" x14ac:dyDescent="0.2">
      <c r="A139">
        <v>9.6</v>
      </c>
      <c r="B139">
        <f t="shared" ref="B139:B170" si="3">($B$18+24*$B$19+4.9111739207*$B$20)*A139*$G$9*EXP(-$G$8*$C$5-($G$6+$G$7*$C$5)*A139)</f>
        <v>0.64617793505593202</v>
      </c>
    </row>
    <row r="140" spans="1:2" x14ac:dyDescent="0.2">
      <c r="A140">
        <v>9.6999999999999993</v>
      </c>
      <c r="B140">
        <f t="shared" si="3"/>
        <v>0.61370213860042844</v>
      </c>
    </row>
    <row r="141" spans="1:2" x14ac:dyDescent="0.2">
      <c r="A141">
        <v>9.8000000000000007</v>
      </c>
      <c r="B141">
        <f t="shared" si="3"/>
        <v>0.58279657314628475</v>
      </c>
    </row>
    <row r="142" spans="1:2" x14ac:dyDescent="0.2">
      <c r="A142">
        <v>9.9</v>
      </c>
      <c r="B142">
        <f t="shared" si="3"/>
        <v>0.5533897613273181</v>
      </c>
    </row>
    <row r="143" spans="1:2" x14ac:dyDescent="0.2">
      <c r="A143">
        <v>10</v>
      </c>
      <c r="B143">
        <f t="shared" si="3"/>
        <v>0.52541314797769645</v>
      </c>
    </row>
    <row r="144" spans="1:2" x14ac:dyDescent="0.2">
      <c r="A144">
        <v>10.1</v>
      </c>
      <c r="B144">
        <f t="shared" si="3"/>
        <v>0.49880100692170082</v>
      </c>
    </row>
    <row r="145" spans="1:2" x14ac:dyDescent="0.2">
      <c r="A145">
        <v>10.199999999999999</v>
      </c>
      <c r="B145">
        <f t="shared" si="3"/>
        <v>0.47349034842066784</v>
      </c>
    </row>
    <row r="146" spans="1:2" x14ac:dyDescent="0.2">
      <c r="A146">
        <v>10.3</v>
      </c>
      <c r="B146">
        <f t="shared" si="3"/>
        <v>0.44942082753429585</v>
      </c>
    </row>
    <row r="147" spans="1:2" x14ac:dyDescent="0.2">
      <c r="A147">
        <v>10.4</v>
      </c>
      <c r="B147">
        <f t="shared" si="3"/>
        <v>0.42653465362024057</v>
      </c>
    </row>
    <row r="148" spans="1:2" x14ac:dyDescent="0.2">
      <c r="A148">
        <v>10.5</v>
      </c>
      <c r="B148">
        <f t="shared" si="3"/>
        <v>0.40477650116573638</v>
      </c>
    </row>
    <row r="149" spans="1:2" x14ac:dyDescent="0.2">
      <c r="A149">
        <v>10.6</v>
      </c>
      <c r="B149">
        <f t="shared" si="3"/>
        <v>0.38409342211760794</v>
      </c>
    </row>
    <row r="150" spans="1:2" x14ac:dyDescent="0.2">
      <c r="A150">
        <v>10.7</v>
      </c>
      <c r="B150">
        <f t="shared" si="3"/>
        <v>0.36443475985225043</v>
      </c>
    </row>
    <row r="151" spans="1:2" x14ac:dyDescent="0.2">
      <c r="A151">
        <v>10.8</v>
      </c>
      <c r="B151">
        <f t="shared" si="3"/>
        <v>0.34575206490475424</v>
      </c>
    </row>
    <row r="152" spans="1:2" x14ac:dyDescent="0.2">
      <c r="A152">
        <v>10.9</v>
      </c>
      <c r="B152">
        <f t="shared" si="3"/>
        <v>0.32799901255612124</v>
      </c>
    </row>
    <row r="153" spans="1:2" x14ac:dyDescent="0.2">
      <c r="A153">
        <v>11</v>
      </c>
      <c r="B153">
        <f t="shared" si="3"/>
        <v>0.3111313223592917</v>
      </c>
    </row>
    <row r="154" spans="1:2" x14ac:dyDescent="0.2">
      <c r="A154">
        <v>11.1</v>
      </c>
      <c r="B154">
        <f t="shared" si="3"/>
        <v>0.29510667966831045</v>
      </c>
    </row>
    <row r="155" spans="1:2" x14ac:dyDescent="0.2">
      <c r="A155">
        <v>11.2</v>
      </c>
      <c r="B155">
        <f t="shared" si="3"/>
        <v>0.27988465922023908</v>
      </c>
    </row>
    <row r="156" spans="1:2" x14ac:dyDescent="0.2">
      <c r="A156">
        <v>11.3</v>
      </c>
      <c r="B156">
        <f t="shared" si="3"/>
        <v>0.26542665080624417</v>
      </c>
    </row>
    <row r="157" spans="1:2" x14ac:dyDescent="0.2">
      <c r="A157">
        <v>11.4</v>
      </c>
      <c r="B157">
        <f t="shared" si="3"/>
        <v>0.25169578705651113</v>
      </c>
    </row>
    <row r="158" spans="1:2" x14ac:dyDescent="0.2">
      <c r="A158">
        <v>11.5</v>
      </c>
      <c r="B158">
        <f t="shared" si="3"/>
        <v>0.23865687335314262</v>
      </c>
    </row>
    <row r="159" spans="1:2" x14ac:dyDescent="0.2">
      <c r="A159">
        <v>11.6</v>
      </c>
      <c r="B159">
        <f t="shared" si="3"/>
        <v>0.22627631987587335</v>
      </c>
    </row>
    <row r="160" spans="1:2" x14ac:dyDescent="0.2">
      <c r="A160">
        <v>11.7</v>
      </c>
      <c r="B160">
        <f t="shared" si="3"/>
        <v>0.21452207577718466</v>
      </c>
    </row>
    <row r="161" spans="1:2" x14ac:dyDescent="0.2">
      <c r="A161">
        <v>11.8</v>
      </c>
      <c r="B161">
        <f t="shared" si="3"/>
        <v>0.20336356547611709</v>
      </c>
    </row>
    <row r="162" spans="1:2" x14ac:dyDescent="0.2">
      <c r="A162">
        <v>11.9</v>
      </c>
      <c r="B162">
        <f t="shared" si="3"/>
        <v>0.19277162705368872</v>
      </c>
    </row>
    <row r="163" spans="1:2" x14ac:dyDescent="0.2">
      <c r="A163">
        <v>12</v>
      </c>
      <c r="B163">
        <f t="shared" si="3"/>
        <v>0.18271845272723963</v>
      </c>
    </row>
    <row r="164" spans="1:2" x14ac:dyDescent="0.2">
      <c r="A164">
        <v>12.1</v>
      </c>
      <c r="B164">
        <f t="shared" si="3"/>
        <v>0.17317753137616676</v>
      </c>
    </row>
    <row r="165" spans="1:2" x14ac:dyDescent="0.2">
      <c r="A165">
        <v>12.2</v>
      </c>
      <c r="B165">
        <f t="shared" si="3"/>
        <v>0.16412359308732641</v>
      </c>
    </row>
    <row r="166" spans="1:2" x14ac:dyDescent="0.2">
      <c r="A166">
        <v>12.3</v>
      </c>
      <c r="B166">
        <f t="shared" si="3"/>
        <v>0.15553255568479152</v>
      </c>
    </row>
    <row r="167" spans="1:2" x14ac:dyDescent="0.2">
      <c r="A167">
        <v>12.4</v>
      </c>
      <c r="B167">
        <f t="shared" si="3"/>
        <v>0.14738147320561371</v>
      </c>
    </row>
    <row r="168" spans="1:2" x14ac:dyDescent="0.2">
      <c r="A168">
        <v>12.5</v>
      </c>
      <c r="B168">
        <f t="shared" si="3"/>
        <v>0.13964848628068077</v>
      </c>
    </row>
    <row r="169" spans="1:2" x14ac:dyDescent="0.2">
      <c r="A169">
        <v>12.6</v>
      </c>
      <c r="B169">
        <f t="shared" si="3"/>
        <v>0.13231277437767267</v>
      </c>
    </row>
    <row r="170" spans="1:2" x14ac:dyDescent="0.2">
      <c r="A170">
        <v>12.7</v>
      </c>
      <c r="B170">
        <f t="shared" si="3"/>
        <v>0.12535450986139396</v>
      </c>
    </row>
    <row r="171" spans="1:2" x14ac:dyDescent="0.2">
      <c r="A171">
        <v>12.8</v>
      </c>
      <c r="B171">
        <f t="shared" ref="B171:B193" si="4">($B$18+24*$B$19+4.9111739207*$B$20)*A171*$G$9*EXP(-$G$8*$C$5-($G$6+$G$7*$C$5)*A171)</f>
        <v>0.11875481382543229</v>
      </c>
    </row>
    <row r="172" spans="1:2" x14ac:dyDescent="0.2">
      <c r="A172">
        <v>12.9</v>
      </c>
      <c r="B172">
        <f t="shared" si="4"/>
        <v>0.11249571364806303</v>
      </c>
    </row>
    <row r="173" spans="1:2" x14ac:dyDescent="0.2">
      <c r="A173">
        <v>13</v>
      </c>
      <c r="B173">
        <f t="shared" si="4"/>
        <v>0.1065601022245851</v>
      </c>
    </row>
    <row r="174" spans="1:2" x14ac:dyDescent="0.2">
      <c r="A174">
        <v>13.1</v>
      </c>
      <c r="B174">
        <f t="shared" si="4"/>
        <v>0.10093169882780809</v>
      </c>
    </row>
    <row r="175" spans="1:2" x14ac:dyDescent="0.2">
      <c r="A175">
        <v>13.2</v>
      </c>
      <c r="B175">
        <f t="shared" si="4"/>
        <v>9.5595011548148381E-2</v>
      </c>
    </row>
    <row r="176" spans="1:2" x14ac:dyDescent="0.2">
      <c r="A176">
        <v>13.3</v>
      </c>
      <c r="B176">
        <f t="shared" si="4"/>
        <v>9.0535301264765847E-2</v>
      </c>
    </row>
    <row r="177" spans="1:2" x14ac:dyDescent="0.2">
      <c r="A177">
        <v>13.4</v>
      </c>
      <c r="B177">
        <f t="shared" si="4"/>
        <v>8.5738547099302703E-2</v>
      </c>
    </row>
    <row r="178" spans="1:2" x14ac:dyDescent="0.2">
      <c r="A178">
        <v>13.5</v>
      </c>
      <c r="B178">
        <f t="shared" si="4"/>
        <v>8.1191413304079432E-2</v>
      </c>
    </row>
    <row r="179" spans="1:2" x14ac:dyDescent="0.2">
      <c r="A179">
        <v>13.6</v>
      </c>
      <c r="B179">
        <f t="shared" si="4"/>
        <v>7.6881217537047478E-2</v>
      </c>
    </row>
    <row r="180" spans="1:2" x14ac:dyDescent="0.2">
      <c r="A180">
        <v>13.7</v>
      </c>
      <c r="B180">
        <f t="shared" si="4"/>
        <v>7.2795900476347125E-2</v>
      </c>
    </row>
    <row r="181" spans="1:2" x14ac:dyDescent="0.2">
      <c r="A181">
        <v>13.8</v>
      </c>
      <c r="B181">
        <f t="shared" si="4"/>
        <v>6.8923996727984008E-2</v>
      </c>
    </row>
    <row r="182" spans="1:2" x14ac:dyDescent="0.2">
      <c r="A182">
        <v>13.9</v>
      </c>
      <c r="B182">
        <f t="shared" si="4"/>
        <v>6.5254606980892305E-2</v>
      </c>
    </row>
    <row r="183" spans="1:2" x14ac:dyDescent="0.2">
      <c r="A183">
        <v>14</v>
      </c>
      <c r="B183">
        <f t="shared" si="4"/>
        <v>6.1777371364476003E-2</v>
      </c>
    </row>
    <row r="184" spans="1:2" x14ac:dyDescent="0.2">
      <c r="A184">
        <v>14.1</v>
      </c>
      <c r="B184">
        <f t="shared" si="4"/>
        <v>5.8482443964622939E-2</v>
      </c>
    </row>
    <row r="185" spans="1:2" x14ac:dyDescent="0.2">
      <c r="A185">
        <v>14.2</v>
      </c>
      <c r="B185">
        <f t="shared" si="4"/>
        <v>5.5360468455128972E-2</v>
      </c>
    </row>
    <row r="186" spans="1:2" x14ac:dyDescent="0.2">
      <c r="A186">
        <v>14.3</v>
      </c>
      <c r="B186">
        <f t="shared" si="4"/>
        <v>5.2402554802467041E-2</v>
      </c>
    </row>
    <row r="187" spans="1:2" x14ac:dyDescent="0.2">
      <c r="A187">
        <v>14.4</v>
      </c>
      <c r="B187">
        <f t="shared" si="4"/>
        <v>4.9600257002865238E-2</v>
      </c>
    </row>
    <row r="188" spans="1:2" x14ac:dyDescent="0.2">
      <c r="A188">
        <v>14.5</v>
      </c>
      <c r="B188">
        <f t="shared" si="4"/>
        <v>4.6945551811715565E-2</v>
      </c>
    </row>
    <row r="189" spans="1:2" x14ac:dyDescent="0.2">
      <c r="A189">
        <v>14.6</v>
      </c>
      <c r="B189">
        <f t="shared" si="4"/>
        <v>4.4430818426414408E-2</v>
      </c>
    </row>
    <row r="190" spans="1:2" x14ac:dyDescent="0.2">
      <c r="A190">
        <v>14.7</v>
      </c>
      <c r="B190">
        <f t="shared" si="4"/>
        <v>4.2048819084828888E-2</v>
      </c>
    </row>
    <row r="191" spans="1:2" x14ac:dyDescent="0.2">
      <c r="A191">
        <v>14.8</v>
      </c>
      <c r="B191">
        <f t="shared" si="4"/>
        <v>3.9792680542685928E-2</v>
      </c>
    </row>
    <row r="192" spans="1:2" x14ac:dyDescent="0.2">
      <c r="A192">
        <v>14.9</v>
      </c>
      <c r="B192">
        <f t="shared" si="4"/>
        <v>3.7655876394287031E-2</v>
      </c>
    </row>
    <row r="193" spans="1:10" x14ac:dyDescent="0.2">
      <c r="A193">
        <v>15</v>
      </c>
      <c r="B193">
        <f t="shared" si="4"/>
        <v>3.5632210202057521E-2</v>
      </c>
    </row>
    <row r="194" spans="1:10" x14ac:dyDescent="0.2">
      <c r="A194">
        <f>$C$8</f>
        <v>3</v>
      </c>
      <c r="C194">
        <f>(1697.73777048*$B$18+40745.7064914*$B19+8337.88546256*$B$20)*$A194*$C$9/($C$6*$C$7)</f>
        <v>9.3108312384889196</v>
      </c>
    </row>
    <row r="195" spans="1:10" x14ac:dyDescent="0.2">
      <c r="A195">
        <v>0</v>
      </c>
      <c r="D195">
        <v>0</v>
      </c>
    </row>
    <row r="196" spans="1:10" x14ac:dyDescent="0.2">
      <c r="A196">
        <f>(0.000589019116*$B$18+0.0000245424631*$B$19+0.000119934485*$B$20)*$D$196*$C$6*$C$7/$C$9</f>
        <v>6.1498012418060002</v>
      </c>
      <c r="D196">
        <f>1.25*($B$18+24*$B$19+4.9111739207*$B$20)*$G$9*EXP(-$G$8*$C$5-1)/($G$6+$G$7*$C$5)</f>
        <v>19.086587191112152</v>
      </c>
    </row>
    <row r="197" spans="1:10" x14ac:dyDescent="0.2">
      <c r="A197">
        <v>0</v>
      </c>
      <c r="E197">
        <f>(1697.73777048*$B$18+40745.7064914*$B$19+8337.88546256*$B$20)*($C$9+$C$10)*$C$8/($C$6*$C$7)</f>
        <v>13.208388501112188</v>
      </c>
    </row>
    <row r="198" spans="1:10" x14ac:dyDescent="0.2">
      <c r="A198">
        <f>(0.000589019116*$B$18+0.0000245424631*$B$19+0.000119934485*$B$20)*$E$197*$C$6*$C$7/$C$10</f>
        <v>10.166666655901389</v>
      </c>
      <c r="E198">
        <f>-(1697.73777048*$B$18+40745.7064914*$B$19+8337.88546256*$B$20)*$A198*$C$10/($C$6*$C$7)+$E$197</f>
        <v>1.3986094060669529E-8</v>
      </c>
    </row>
    <row r="199" spans="1:10" x14ac:dyDescent="0.2">
      <c r="A199">
        <f>$C$8</f>
        <v>3</v>
      </c>
      <c r="F199">
        <f>(1697.73777048*$B$18+40745.7064914*$B$19+8337.88546256*$B$20)*$A199*$C$11/($C$6*$C$7)</f>
        <v>0</v>
      </c>
    </row>
    <row r="200" spans="1:10" x14ac:dyDescent="0.2">
      <c r="A200">
        <v>0</v>
      </c>
      <c r="G200">
        <v>0</v>
      </c>
    </row>
    <row r="201" spans="1:10" x14ac:dyDescent="0.2">
      <c r="A201">
        <f>IF($C$11=0,0,(0.000589019116*$B$18+0.0000245424631*$B$19+0.000119934485*$B$20)*$D$196*$C$6*$C$7/$C$11)</f>
        <v>0</v>
      </c>
      <c r="G201">
        <f>IF($C$11=0,0,1.25*($B$18+24*$B$19+4.9111739207*$B$20)*$G$9*EXP(-$G$8*$C$5-1)/($G$6+$G$7*$C$5))</f>
        <v>0</v>
      </c>
    </row>
    <row r="202" spans="1:10" x14ac:dyDescent="0.2">
      <c r="A202">
        <v>0</v>
      </c>
      <c r="H202">
        <f>IF($C$11=0,0,(1697.73777048*$B$18+40745.7064914*$B$19+8337.88546256*$B$20)*($C$11+$C$10)*$C$8/($C$6*$C$7))</f>
        <v>0</v>
      </c>
    </row>
    <row r="203" spans="1:10" x14ac:dyDescent="0.2">
      <c r="A203">
        <f>(0.000589019116*$B$18+0.0000245424631*$B$19+0.000119934485*$B$20)*$H$202*$C$6*$C$7/$C$10</f>
        <v>0</v>
      </c>
      <c r="H203">
        <f>IF($C$11=0,0,-(1697.73777048*$B$18+40745.7064914*$B$19+8337.88546256*$B$20)*$A203*$C$10/($C$6*$C$7)+$H$202)</f>
        <v>0</v>
      </c>
    </row>
    <row r="204" spans="1:10" x14ac:dyDescent="0.2">
      <c r="A204">
        <v>0</v>
      </c>
      <c r="I204">
        <f>IF($C$11=0,0,1697.73777048*$B$18+40745.7064914*$B$19+8337.88546256*$B$20)*($C$9+$C$12)*$C$8/($C$6*$C$7)</f>
        <v>0</v>
      </c>
    </row>
    <row r="205" spans="1:10" x14ac:dyDescent="0.2">
      <c r="A205">
        <f>IF($C$11=0,0,(0.000589019116*$B$18+0.0000245424631*$B$19+0.000119934485*$B$20)*$I$204*$C$6*$C$7/$C$10)</f>
        <v>0</v>
      </c>
      <c r="I205">
        <f>IF($C$11=0,0,(1697.73777048*$B$18+40745.7064914*$B$19+8337.88546256*$B$20)*$A205*(-1)*$C$10/($C$6*$C$7)+$I$204)</f>
        <v>0</v>
      </c>
    </row>
    <row r="206" spans="1:10" x14ac:dyDescent="0.2">
      <c r="A206">
        <f>IF($C$12=0,0,0)</f>
        <v>0</v>
      </c>
      <c r="J206">
        <f>IF($C$12=0,0,(1697.73777048*$B$18+40745.7064914*$B$19+8337.88546256*$B$20)*($C$9+$C$12)*$C$8/($C$6*$C$7))</f>
        <v>0</v>
      </c>
    </row>
    <row r="207" spans="1:10" x14ac:dyDescent="0.2">
      <c r="A207">
        <f>IF($C$12=0,0,(0.000589019116*$B$18+0.0000245424631*$B$19+0.000119934485*$B$20)*$J$206*$C$6*$C$7/$C$12)</f>
        <v>0</v>
      </c>
      <c r="J207">
        <f>IF($C$12=0,0,-(1697.73777048*$B$18+40745.7064914*$B$19+8337.88546256*$B$20)*$A207*$C$12/($C$6*$C$7)+$J$206)</f>
        <v>0</v>
      </c>
    </row>
  </sheetData>
  <phoneticPr fontId="5" type="noConversion"/>
  <printOptions horizontalCentered="1"/>
  <pageMargins left="0.75" right="0.75" top="1" bottom="1" header="0.5" footer="0.5"/>
  <pageSetup orientation="portrait" horizontalDpi="4294967292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workbookViewId="0">
      <selection activeCell="C14" sqref="C14"/>
    </sheetView>
  </sheetViews>
  <sheetFormatPr defaultRowHeight="12.75" x14ac:dyDescent="0.2"/>
  <cols>
    <col min="1" max="1" width="18.140625" customWidth="1"/>
  </cols>
  <sheetData>
    <row r="1" spans="1:10" x14ac:dyDescent="0.2">
      <c r="A1" s="17" t="s">
        <v>40</v>
      </c>
    </row>
    <row r="2" spans="1:10" x14ac:dyDescent="0.2">
      <c r="A2" s="17" t="s">
        <v>41</v>
      </c>
    </row>
    <row r="3" spans="1:10" x14ac:dyDescent="0.2">
      <c r="A3" s="17" t="s">
        <v>42</v>
      </c>
    </row>
    <row r="4" spans="1:10" ht="13.5" thickBot="1" x14ac:dyDescent="0.25">
      <c r="C4" s="21"/>
    </row>
    <row r="5" spans="1:10" s="50" customFormat="1" ht="24.95" customHeight="1" x14ac:dyDescent="0.2">
      <c r="A5" s="53" t="s">
        <v>92</v>
      </c>
      <c r="B5" s="54"/>
      <c r="C5" s="54">
        <v>225</v>
      </c>
      <c r="D5" s="55" t="s">
        <v>93</v>
      </c>
      <c r="F5" s="53">
        <v>1</v>
      </c>
      <c r="G5" s="62" t="s">
        <v>113</v>
      </c>
      <c r="H5" s="63" t="s">
        <v>117</v>
      </c>
      <c r="I5" s="54">
        <v>0.30480000000000002</v>
      </c>
      <c r="J5" s="64" t="s">
        <v>118</v>
      </c>
    </row>
    <row r="6" spans="1:10" s="50" customFormat="1" ht="24.95" customHeight="1" x14ac:dyDescent="0.2">
      <c r="A6" s="56" t="s">
        <v>94</v>
      </c>
      <c r="B6" s="57"/>
      <c r="C6" s="57">
        <v>0.66</v>
      </c>
      <c r="D6" s="58" t="s">
        <v>47</v>
      </c>
      <c r="F6" s="65">
        <v>738</v>
      </c>
      <c r="G6" s="66" t="s">
        <v>113</v>
      </c>
      <c r="H6" s="67" t="s">
        <v>117</v>
      </c>
      <c r="I6" s="74">
        <f>F6*I5</f>
        <v>224.94240000000002</v>
      </c>
      <c r="J6" s="68" t="s">
        <v>118</v>
      </c>
    </row>
    <row r="7" spans="1:10" s="50" customFormat="1" ht="24.95" customHeight="1" thickBot="1" x14ac:dyDescent="0.25">
      <c r="A7" s="56" t="s">
        <v>95</v>
      </c>
      <c r="B7" s="57"/>
      <c r="C7" s="57">
        <v>2</v>
      </c>
      <c r="D7" s="58"/>
      <c r="F7" s="69">
        <v>6.15</v>
      </c>
      <c r="G7" s="70" t="s">
        <v>119</v>
      </c>
      <c r="H7" s="71" t="s">
        <v>117</v>
      </c>
      <c r="I7" s="72">
        <f>(F7/12)*1440</f>
        <v>738.00000000000011</v>
      </c>
      <c r="J7" s="73" t="s">
        <v>120</v>
      </c>
    </row>
    <row r="8" spans="1:10" s="50" customFormat="1" ht="24.95" customHeight="1" x14ac:dyDescent="0.2">
      <c r="A8" s="56" t="s">
        <v>96</v>
      </c>
      <c r="B8" s="57"/>
      <c r="C8" s="57">
        <v>908</v>
      </c>
      <c r="D8" s="58" t="s">
        <v>49</v>
      </c>
    </row>
    <row r="9" spans="1:10" s="50" customFormat="1" ht="24.95" customHeight="1" x14ac:dyDescent="0.2">
      <c r="A9" s="56" t="s">
        <v>97</v>
      </c>
      <c r="B9" s="57"/>
      <c r="C9" s="57">
        <v>2.5</v>
      </c>
      <c r="D9" s="58" t="s">
        <v>53</v>
      </c>
    </row>
    <row r="10" spans="1:10" s="50" customFormat="1" ht="24.95" customHeight="1" x14ac:dyDescent="0.2">
      <c r="A10" s="56" t="s">
        <v>56</v>
      </c>
      <c r="B10" s="57"/>
      <c r="C10" s="88">
        <v>1</v>
      </c>
      <c r="D10" s="58" t="s">
        <v>57</v>
      </c>
    </row>
    <row r="11" spans="1:10" s="50" customFormat="1" ht="24.95" customHeight="1" x14ac:dyDescent="0.2">
      <c r="A11" s="56" t="s">
        <v>98</v>
      </c>
      <c r="B11" s="57"/>
      <c r="C11" s="57">
        <v>0.7</v>
      </c>
      <c r="D11" s="58" t="s">
        <v>57</v>
      </c>
    </row>
    <row r="12" spans="1:10" s="50" customFormat="1" ht="24.95" customHeight="1" x14ac:dyDescent="0.2">
      <c r="A12" s="56" t="s">
        <v>61</v>
      </c>
      <c r="B12" s="57"/>
      <c r="C12" s="57">
        <v>2.5</v>
      </c>
      <c r="D12" s="58" t="s">
        <v>57</v>
      </c>
    </row>
    <row r="13" spans="1:10" s="50" customFormat="1" ht="24.95" customHeight="1" thickBot="1" x14ac:dyDescent="0.25">
      <c r="A13" s="59" t="s">
        <v>62</v>
      </c>
      <c r="B13" s="60"/>
      <c r="C13" s="60">
        <v>1.4</v>
      </c>
      <c r="D13" s="61" t="s">
        <v>57</v>
      </c>
    </row>
    <row r="15" spans="1:10" x14ac:dyDescent="0.2">
      <c r="A15" s="17" t="s">
        <v>63</v>
      </c>
    </row>
    <row r="16" spans="1:10" x14ac:dyDescent="0.2">
      <c r="A16" s="17" t="s">
        <v>64</v>
      </c>
    </row>
    <row r="17" spans="1:9" x14ac:dyDescent="0.2">
      <c r="A17" s="17" t="s">
        <v>65</v>
      </c>
    </row>
    <row r="19" spans="1:9" ht="14.25" x14ac:dyDescent="0.2">
      <c r="A19" t="s">
        <v>66</v>
      </c>
      <c r="B19" s="51">
        <v>0</v>
      </c>
    </row>
    <row r="20" spans="1:9" ht="14.25" x14ac:dyDescent="0.2">
      <c r="A20" t="s">
        <v>67</v>
      </c>
      <c r="B20" s="51">
        <v>0</v>
      </c>
    </row>
    <row r="21" spans="1:9" ht="14.25" x14ac:dyDescent="0.2">
      <c r="A21" t="s">
        <v>68</v>
      </c>
      <c r="B21" s="51">
        <v>1</v>
      </c>
    </row>
    <row r="22" spans="1:9" ht="13.5" thickBot="1" x14ac:dyDescent="0.25"/>
    <row r="23" spans="1:9" ht="13.5" thickBot="1" x14ac:dyDescent="0.25">
      <c r="A23" t="s">
        <v>69</v>
      </c>
      <c r="B23" t="s">
        <v>70</v>
      </c>
      <c r="E23" s="8" t="s">
        <v>71</v>
      </c>
      <c r="F23" s="9"/>
      <c r="G23" s="10"/>
      <c r="H23" s="10"/>
      <c r="I23" s="11"/>
    </row>
    <row r="24" spans="1:9" x14ac:dyDescent="0.2">
      <c r="A24" t="s">
        <v>99</v>
      </c>
      <c r="B24" s="14" t="str">
        <f>IF($B$19=1,"Solids Flux  (kg/m2h)",IF($B$20=1,"Solids Flux  (kg/m2d)","Solids Flux  (lb/ft2d)"))</f>
        <v>Solids Flux  (lb/ft2d)</v>
      </c>
      <c r="E24" s="3"/>
      <c r="I24" s="6"/>
    </row>
    <row r="25" spans="1:9" x14ac:dyDescent="0.2">
      <c r="A25">
        <v>0</v>
      </c>
      <c r="B25">
        <f>(0.041667*$B$19+$B$20+0.204632*$B$21)*$A25*$C$5*EXP(-$C$6*$A25)</f>
        <v>0</v>
      </c>
      <c r="E25" s="12" t="str">
        <f>$A$5</f>
        <v>Vo</v>
      </c>
      <c r="F25" s="13"/>
      <c r="G25" s="13"/>
      <c r="H25" s="13">
        <f>$C$5</f>
        <v>225</v>
      </c>
      <c r="I25" s="14" t="s">
        <v>93</v>
      </c>
    </row>
    <row r="26" spans="1:9" x14ac:dyDescent="0.2">
      <c r="A26">
        <v>0.1</v>
      </c>
      <c r="B26">
        <f t="shared" ref="B26:B41" si="0">(0.041667*$B$19+$B$20+0.204632*$B$21)*$A26*$C$5*EXP(-$C$6*$A26)</f>
        <v>4.3101524479887567</v>
      </c>
      <c r="E26" s="12" t="s">
        <v>100</v>
      </c>
      <c r="F26" s="13"/>
      <c r="G26" s="13"/>
      <c r="H26" s="13">
        <f>$C$6</f>
        <v>0.66</v>
      </c>
      <c r="I26" s="14" t="s">
        <v>47</v>
      </c>
    </row>
    <row r="27" spans="1:9" ht="14.25" x14ac:dyDescent="0.2">
      <c r="A27">
        <v>0.2</v>
      </c>
      <c r="B27">
        <f t="shared" si="0"/>
        <v>8.0697334727287036</v>
      </c>
      <c r="E27" s="12" t="s">
        <v>73</v>
      </c>
      <c r="F27" s="13"/>
      <c r="G27" s="13"/>
      <c r="H27" s="13">
        <f>$C$7*$C$8</f>
        <v>1816</v>
      </c>
      <c r="I27" s="14" t="s">
        <v>49</v>
      </c>
    </row>
    <row r="28" spans="1:9" x14ac:dyDescent="0.2">
      <c r="A28">
        <v>0.3</v>
      </c>
      <c r="B28">
        <f t="shared" si="0"/>
        <v>11.331489855642795</v>
      </c>
      <c r="E28" s="12" t="s">
        <v>74</v>
      </c>
      <c r="F28" s="13"/>
      <c r="G28" s="13"/>
      <c r="H28" s="13">
        <f>$C$9</f>
        <v>2.5</v>
      </c>
      <c r="I28" s="14" t="s">
        <v>75</v>
      </c>
    </row>
    <row r="29" spans="1:9" x14ac:dyDescent="0.2">
      <c r="A29">
        <v>0.4</v>
      </c>
      <c r="B29">
        <f t="shared" si="0"/>
        <v>14.143676523032797</v>
      </c>
      <c r="E29" s="12" t="s">
        <v>76</v>
      </c>
      <c r="F29" s="13"/>
      <c r="G29" s="13"/>
      <c r="H29" s="13">
        <f>$C$10</f>
        <v>1</v>
      </c>
      <c r="I29" s="14" t="s">
        <v>57</v>
      </c>
    </row>
    <row r="30" spans="1:9" ht="14.25" x14ac:dyDescent="0.2">
      <c r="A30">
        <v>0.5</v>
      </c>
      <c r="B30">
        <f t="shared" si="0"/>
        <v>16.550415159709715</v>
      </c>
      <c r="E30" s="12" t="s">
        <v>77</v>
      </c>
      <c r="F30" s="13"/>
      <c r="G30" s="13"/>
      <c r="H30" s="16">
        <f>$C$10*1000000/($C$7*$C$8)</f>
        <v>550.66079295154179</v>
      </c>
      <c r="I30" s="14" t="s">
        <v>78</v>
      </c>
    </row>
    <row r="31" spans="1:9" x14ac:dyDescent="0.2">
      <c r="A31">
        <v>0.6</v>
      </c>
      <c r="B31">
        <f t="shared" si="0"/>
        <v>18.592025337412998</v>
      </c>
      <c r="E31" s="12" t="s">
        <v>79</v>
      </c>
      <c r="F31" s="13"/>
      <c r="G31" s="13"/>
      <c r="H31" s="13">
        <f>$C$11</f>
        <v>0.7</v>
      </c>
      <c r="I31" s="14" t="s">
        <v>57</v>
      </c>
    </row>
    <row r="32" spans="1:9" x14ac:dyDescent="0.2">
      <c r="A32">
        <v>0.7</v>
      </c>
      <c r="B32">
        <f t="shared" si="0"/>
        <v>20.305330206051458</v>
      </c>
      <c r="E32" s="12" t="s">
        <v>80</v>
      </c>
      <c r="F32" s="13"/>
      <c r="G32" s="13"/>
      <c r="H32" s="15">
        <f>$E$179</f>
        <v>19.513223136497796</v>
      </c>
      <c r="I32" s="14" t="str">
        <f>IF($B$19=1,$A$19,IF($B$20=1,$A$20,$A$21))</f>
        <v>lb/ft2d</v>
      </c>
    </row>
    <row r="33" spans="1:9" x14ac:dyDescent="0.2">
      <c r="A33">
        <v>0.8</v>
      </c>
      <c r="B33">
        <f t="shared" si="0"/>
        <v>21.723938646305903</v>
      </c>
      <c r="E33" s="12" t="s">
        <v>81</v>
      </c>
      <c r="F33" s="13"/>
      <c r="G33" s="13"/>
      <c r="H33" s="16">
        <f>$A$180*1000</f>
        <v>6071.4285649996591</v>
      </c>
      <c r="I33" s="14" t="s">
        <v>75</v>
      </c>
    </row>
    <row r="34" spans="1:9" x14ac:dyDescent="0.2">
      <c r="A34">
        <v>0.9</v>
      </c>
      <c r="B34">
        <f t="shared" si="0"/>
        <v>22.878505643382507</v>
      </c>
      <c r="E34" s="12" t="s">
        <v>82</v>
      </c>
      <c r="F34" s="13"/>
      <c r="G34" s="13"/>
      <c r="H34" s="13">
        <f>$C$12</f>
        <v>2.5</v>
      </c>
      <c r="I34" s="14" t="s">
        <v>57</v>
      </c>
    </row>
    <row r="35" spans="1:9" ht="14.25" x14ac:dyDescent="0.2">
      <c r="A35">
        <v>1</v>
      </c>
      <c r="B35">
        <f t="shared" si="0"/>
        <v>23.796972512933714</v>
      </c>
      <c r="E35" s="12" t="s">
        <v>83</v>
      </c>
      <c r="F35" s="13"/>
      <c r="G35" s="13"/>
      <c r="H35" s="16">
        <f>$C$12*1000000/($C$7*$C$8)</f>
        <v>1376.6519823788547</v>
      </c>
      <c r="I35" s="14" t="s">
        <v>78</v>
      </c>
    </row>
    <row r="36" spans="1:9" x14ac:dyDescent="0.2">
      <c r="A36">
        <v>1.1000000000000001</v>
      </c>
      <c r="B36">
        <f t="shared" si="0"/>
        <v>24.50478849066219</v>
      </c>
      <c r="E36" s="12" t="s">
        <v>84</v>
      </c>
      <c r="F36" s="13"/>
      <c r="G36" s="13"/>
      <c r="H36" s="15">
        <f>$H$184</f>
        <v>36.73077296281938</v>
      </c>
      <c r="I36" s="14" t="str">
        <f>IF($B$19=1,$A$19,IF($B$20=1,$A$20,$A$21))</f>
        <v>lb/ft2d</v>
      </c>
    </row>
    <row r="37" spans="1:9" x14ac:dyDescent="0.2">
      <c r="A37">
        <v>1.2</v>
      </c>
      <c r="B37">
        <f t="shared" si="0"/>
        <v>25.025115086232994</v>
      </c>
      <c r="E37" s="12" t="s">
        <v>85</v>
      </c>
      <c r="F37" s="13"/>
      <c r="G37" s="13"/>
      <c r="H37" s="16">
        <f>$A$185*1000</f>
        <v>11428.571416469946</v>
      </c>
      <c r="I37" s="14" t="s">
        <v>75</v>
      </c>
    </row>
    <row r="38" spans="1:9" x14ac:dyDescent="0.2">
      <c r="A38">
        <v>1.3</v>
      </c>
      <c r="B38">
        <f t="shared" si="0"/>
        <v>25.37901449922856</v>
      </c>
      <c r="E38" s="12" t="s">
        <v>86</v>
      </c>
      <c r="F38" s="13"/>
      <c r="G38" s="13"/>
      <c r="H38" s="13">
        <f>$C$12</f>
        <v>2.5</v>
      </c>
      <c r="I38" s="14" t="s">
        <v>57</v>
      </c>
    </row>
    <row r="39" spans="1:9" x14ac:dyDescent="0.2">
      <c r="A39">
        <v>1.4</v>
      </c>
      <c r="B39">
        <f t="shared" si="0"/>
        <v>25.585623299419467</v>
      </c>
      <c r="E39" s="12" t="s">
        <v>84</v>
      </c>
      <c r="F39" s="13"/>
      <c r="G39" s="13"/>
      <c r="H39" s="15">
        <f>$I$186</f>
        <v>27.548079722114537</v>
      </c>
      <c r="I39" s="14" t="str">
        <f>IF($B$18=1,$A$18,IF($B$19=1,$A$19,$A$20))</f>
        <v>kg/m2d</v>
      </c>
    </row>
    <row r="40" spans="1:9" x14ac:dyDescent="0.2">
      <c r="A40">
        <v>1.5</v>
      </c>
      <c r="B40">
        <f t="shared" si="0"/>
        <v>25.662312485062849</v>
      </c>
      <c r="E40" s="12" t="s">
        <v>85</v>
      </c>
      <c r="F40" s="13"/>
      <c r="G40" s="13"/>
      <c r="H40" s="13">
        <f>$A$187*1000</f>
        <v>4285.7142811762296</v>
      </c>
      <c r="I40" s="14" t="s">
        <v>75</v>
      </c>
    </row>
    <row r="41" spans="1:9" x14ac:dyDescent="0.2">
      <c r="A41">
        <v>1.6</v>
      </c>
      <c r="B41">
        <f t="shared" si="0"/>
        <v>25.624834950787712</v>
      </c>
      <c r="E41" s="12"/>
      <c r="F41" s="13"/>
      <c r="G41" s="13"/>
      <c r="H41" s="13"/>
      <c r="I41" s="14"/>
    </row>
    <row r="42" spans="1:9" ht="13.5" thickBot="1" x14ac:dyDescent="0.25">
      <c r="A42">
        <v>1.7</v>
      </c>
      <c r="B42">
        <f t="shared" ref="B42:B57" si="1">(0.041667*$B$19+$B$20+0.204632*$B$21)*$A42*$C$5*EXP(-$C$6*$A42)</f>
        <v>25.487461320424178</v>
      </c>
      <c r="E42" s="4" t="s">
        <v>87</v>
      </c>
      <c r="F42" s="5"/>
      <c r="G42" s="5"/>
      <c r="H42" s="5"/>
      <c r="I42" s="7"/>
    </row>
    <row r="43" spans="1:9" x14ac:dyDescent="0.2">
      <c r="A43">
        <v>1.8</v>
      </c>
      <c r="B43">
        <f t="shared" si="1"/>
        <v>25.263105029457758</v>
      </c>
    </row>
    <row r="44" spans="1:9" x14ac:dyDescent="0.2">
      <c r="A44">
        <v>1.9</v>
      </c>
      <c r="B44">
        <f t="shared" si="1"/>
        <v>24.96343747624492</v>
      </c>
    </row>
    <row r="45" spans="1:9" x14ac:dyDescent="0.2">
      <c r="A45">
        <v>2</v>
      </c>
      <c r="B45">
        <f t="shared" si="1"/>
        <v>24.598994000344149</v>
      </c>
    </row>
    <row r="46" spans="1:9" x14ac:dyDescent="0.2">
      <c r="A46">
        <v>2.1</v>
      </c>
      <c r="B46">
        <f t="shared" si="1"/>
        <v>24.179271389958842</v>
      </c>
    </row>
    <row r="47" spans="1:9" x14ac:dyDescent="0.2">
      <c r="A47">
        <v>2.2000000000000002</v>
      </c>
      <c r="B47">
        <f t="shared" si="1"/>
        <v>23.712817568234438</v>
      </c>
    </row>
    <row r="48" spans="1:9" x14ac:dyDescent="0.2">
      <c r="A48">
        <v>2.2999999999999998</v>
      </c>
      <c r="B48">
        <f t="shared" si="1"/>
        <v>23.207314059710825</v>
      </c>
    </row>
    <row r="49" spans="1:2" x14ac:dyDescent="0.2">
      <c r="A49">
        <v>2.4</v>
      </c>
      <c r="B49">
        <f t="shared" si="1"/>
        <v>22.669651793326054</v>
      </c>
    </row>
    <row r="50" spans="1:2" x14ac:dyDescent="0.2">
      <c r="A50">
        <v>2.5</v>
      </c>
      <c r="B50">
        <f t="shared" si="1"/>
        <v>22.106000756746209</v>
      </c>
    </row>
    <row r="51" spans="1:2" x14ac:dyDescent="0.2">
      <c r="A51">
        <v>2.6</v>
      </c>
      <c r="B51">
        <f t="shared" si="1"/>
        <v>21.52187397822177</v>
      </c>
    </row>
    <row r="52" spans="1:2" x14ac:dyDescent="0.2">
      <c r="A52">
        <v>2.7</v>
      </c>
      <c r="B52">
        <f t="shared" si="1"/>
        <v>20.922186276423741</v>
      </c>
    </row>
    <row r="53" spans="1:2" x14ac:dyDescent="0.2">
      <c r="A53">
        <v>2.8</v>
      </c>
      <c r="B53">
        <f t="shared" si="1"/>
        <v>20.311308185589876</v>
      </c>
    </row>
    <row r="54" spans="1:2" x14ac:dyDescent="0.2">
      <c r="A54">
        <v>2.9</v>
      </c>
      <c r="B54">
        <f t="shared" si="1"/>
        <v>19.693115432622168</v>
      </c>
    </row>
    <row r="55" spans="1:2" x14ac:dyDescent="0.2">
      <c r="A55">
        <v>3</v>
      </c>
      <c r="B55">
        <f t="shared" si="1"/>
        <v>19.071034314346768</v>
      </c>
    </row>
    <row r="56" spans="1:2" x14ac:dyDescent="0.2">
      <c r="A56">
        <v>3.1</v>
      </c>
      <c r="B56">
        <f t="shared" si="1"/>
        <v>18.448083296812037</v>
      </c>
    </row>
    <row r="57" spans="1:2" x14ac:dyDescent="0.2">
      <c r="A57">
        <v>3.2</v>
      </c>
      <c r="B57">
        <f t="shared" si="1"/>
        <v>17.826911134109352</v>
      </c>
    </row>
    <row r="58" spans="1:2" x14ac:dyDescent="0.2">
      <c r="A58">
        <v>3.3</v>
      </c>
      <c r="B58">
        <f t="shared" ref="B58:B73" si="2">(0.041667*$B$19+$B$20+0.204632*$B$21)*$A58*$C$5*EXP(-$C$6*$A58)</f>
        <v>17.209831781611914</v>
      </c>
    </row>
    <row r="59" spans="1:2" x14ac:dyDescent="0.2">
      <c r="A59">
        <v>3.4</v>
      </c>
      <c r="B59">
        <f t="shared" si="2"/>
        <v>16.598856357610508</v>
      </c>
    </row>
    <row r="60" spans="1:2" x14ac:dyDescent="0.2">
      <c r="A60">
        <v>3.5</v>
      </c>
      <c r="B60">
        <f t="shared" si="2"/>
        <v>15.995722387958311</v>
      </c>
    </row>
    <row r="61" spans="1:2" x14ac:dyDescent="0.2">
      <c r="A61">
        <v>3.6</v>
      </c>
      <c r="B61">
        <f t="shared" si="2"/>
        <v>15.401920550408441</v>
      </c>
    </row>
    <row r="62" spans="1:2" x14ac:dyDescent="0.2">
      <c r="A62">
        <v>3.7</v>
      </c>
      <c r="B62">
        <f t="shared" si="2"/>
        <v>14.818719118732609</v>
      </c>
    </row>
    <row r="63" spans="1:2" x14ac:dyDescent="0.2">
      <c r="A63">
        <v>3.8</v>
      </c>
      <c r="B63">
        <f t="shared" si="2"/>
        <v>14.247186291349408</v>
      </c>
    </row>
    <row r="64" spans="1:2" x14ac:dyDescent="0.2">
      <c r="A64">
        <v>3.9</v>
      </c>
      <c r="B64">
        <f t="shared" si="2"/>
        <v>13.688210574977379</v>
      </c>
    </row>
    <row r="65" spans="1:2" x14ac:dyDescent="0.2">
      <c r="A65">
        <v>4</v>
      </c>
      <c r="B65">
        <f t="shared" si="2"/>
        <v>13.142519380676152</v>
      </c>
    </row>
    <row r="66" spans="1:2" x14ac:dyDescent="0.2">
      <c r="A66">
        <v>4.0999999999999996</v>
      </c>
      <c r="B66">
        <f t="shared" si="2"/>
        <v>12.610695977471758</v>
      </c>
    </row>
    <row r="67" spans="1:2" x14ac:dyDescent="0.2">
      <c r="A67">
        <v>4.2</v>
      </c>
      <c r="B67">
        <f t="shared" si="2"/>
        <v>12.093194937507272</v>
      </c>
    </row>
    <row r="68" spans="1:2" x14ac:dyDescent="0.2">
      <c r="A68">
        <v>4.3</v>
      </c>
      <c r="B68">
        <f t="shared" si="2"/>
        <v>11.590356196250372</v>
      </c>
    </row>
    <row r="69" spans="1:2" x14ac:dyDescent="0.2">
      <c r="A69">
        <v>4.4000000000000004</v>
      </c>
      <c r="B69">
        <f t="shared" si="2"/>
        <v>11.102417841663197</v>
      </c>
    </row>
    <row r="70" spans="1:2" x14ac:dyDescent="0.2">
      <c r="A70">
        <v>4.5</v>
      </c>
      <c r="B70">
        <f t="shared" si="2"/>
        <v>10.629527737339286</v>
      </c>
    </row>
    <row r="71" spans="1:2" x14ac:dyDescent="0.2">
      <c r="A71">
        <v>4.5999999999999996</v>
      </c>
      <c r="B71">
        <f t="shared" si="2"/>
        <v>10.171754076384213</v>
      </c>
    </row>
    <row r="72" spans="1:2" x14ac:dyDescent="0.2">
      <c r="A72">
        <v>4.7</v>
      </c>
      <c r="B72">
        <f t="shared" si="2"/>
        <v>9.7290949552109858</v>
      </c>
    </row>
    <row r="73" spans="1:2" x14ac:dyDescent="0.2">
      <c r="A73">
        <v>4.8</v>
      </c>
      <c r="B73">
        <f t="shared" si="2"/>
        <v>9.3014870493925699</v>
      </c>
    </row>
    <row r="74" spans="1:2" x14ac:dyDescent="0.2">
      <c r="A74">
        <v>4.9000000000000004</v>
      </c>
      <c r="B74">
        <f t="shared" ref="B74:B89" si="3">(0.041667*$B$19+$B$20+0.204632*$B$21)*$A74*$C$5*EXP(-$C$6*$A74)</f>
        <v>8.8888134672190198</v>
      </c>
    </row>
    <row r="75" spans="1:2" x14ac:dyDescent="0.2">
      <c r="A75">
        <v>5</v>
      </c>
      <c r="B75">
        <f t="shared" si="3"/>
        <v>8.4909108506068609</v>
      </c>
    </row>
    <row r="76" spans="1:2" x14ac:dyDescent="0.2">
      <c r="A76">
        <v>5.0999999999999996</v>
      </c>
      <c r="B76">
        <f t="shared" si="3"/>
        <v>8.1075757874657199</v>
      </c>
    </row>
    <row r="77" spans="1:2" x14ac:dyDescent="0.2">
      <c r="A77">
        <v>5.2</v>
      </c>
      <c r="B77">
        <f t="shared" si="3"/>
        <v>7.7385705945091052</v>
      </c>
    </row>
    <row r="78" spans="1:2" x14ac:dyDescent="0.2">
      <c r="A78">
        <v>5.3</v>
      </c>
      <c r="B78">
        <f t="shared" si="3"/>
        <v>7.3836285247698941</v>
      </c>
    </row>
    <row r="79" spans="1:2" x14ac:dyDescent="0.2">
      <c r="A79">
        <v>5.4</v>
      </c>
      <c r="B79">
        <f t="shared" si="3"/>
        <v>7.0424584497180911</v>
      </c>
    </row>
    <row r="80" spans="1:2" x14ac:dyDescent="0.2">
      <c r="A80">
        <v>5.5</v>
      </c>
      <c r="B80">
        <f t="shared" si="3"/>
        <v>6.7147490618515304</v>
      </c>
    </row>
    <row r="81" spans="1:2" x14ac:dyDescent="0.2">
      <c r="A81">
        <v>5.6</v>
      </c>
      <c r="B81">
        <f t="shared" si="3"/>
        <v>6.4001726399137286</v>
      </c>
    </row>
    <row r="82" spans="1:2" x14ac:dyDescent="0.2">
      <c r="A82">
        <v>5.7</v>
      </c>
      <c r="B82">
        <f t="shared" si="3"/>
        <v>6.0983884154647585</v>
      </c>
    </row>
    <row r="83" spans="1:2" x14ac:dyDescent="0.2">
      <c r="A83">
        <v>5.8</v>
      </c>
      <c r="B83">
        <f t="shared" si="3"/>
        <v>5.809045576368268</v>
      </c>
    </row>
    <row r="84" spans="1:2" x14ac:dyDescent="0.2">
      <c r="A84">
        <v>5.9</v>
      </c>
      <c r="B84">
        <f t="shared" si="3"/>
        <v>5.53178593984115</v>
      </c>
    </row>
    <row r="85" spans="1:2" x14ac:dyDescent="0.2">
      <c r="A85">
        <v>6</v>
      </c>
      <c r="B85">
        <f t="shared" si="3"/>
        <v>5.2662463250234479</v>
      </c>
    </row>
    <row r="86" spans="1:2" x14ac:dyDescent="0.2">
      <c r="A86">
        <v>6.1</v>
      </c>
      <c r="B86">
        <f t="shared" si="3"/>
        <v>5.0120606525470421</v>
      </c>
    </row>
    <row r="87" spans="1:2" x14ac:dyDescent="0.2">
      <c r="A87">
        <v>6.2</v>
      </c>
      <c r="B87">
        <f t="shared" si="3"/>
        <v>4.7688617962976094</v>
      </c>
    </row>
    <row r="88" spans="1:2" x14ac:dyDescent="0.2">
      <c r="A88">
        <v>6.3</v>
      </c>
      <c r="B88">
        <f t="shared" si="3"/>
        <v>4.5362832104594819</v>
      </c>
    </row>
    <row r="89" spans="1:2" x14ac:dyDescent="0.2">
      <c r="A89">
        <v>6.4</v>
      </c>
      <c r="B89">
        <f t="shared" si="3"/>
        <v>4.3139603529945347</v>
      </c>
    </row>
    <row r="90" spans="1:2" x14ac:dyDescent="0.2">
      <c r="A90">
        <v>6.5</v>
      </c>
      <c r="B90">
        <f t="shared" ref="B90:B105" si="4">(0.041667*$B$19+$B$20+0.204632*$B$21)*$A90*$C$5*EXP(-$C$6*$A90)</f>
        <v>4.1015319249211863</v>
      </c>
    </row>
    <row r="91" spans="1:2" x14ac:dyDescent="0.2">
      <c r="A91">
        <v>6.6</v>
      </c>
      <c r="B91">
        <f t="shared" si="4"/>
        <v>3.8986409431160785</v>
      </c>
    </row>
    <row r="92" spans="1:2" x14ac:dyDescent="0.2">
      <c r="A92">
        <v>6.7</v>
      </c>
      <c r="B92">
        <f t="shared" si="4"/>
        <v>3.7049356628486398</v>
      </c>
    </row>
    <row r="93" spans="1:2" x14ac:dyDescent="0.2">
      <c r="A93">
        <v>6.8</v>
      </c>
      <c r="B93">
        <f t="shared" si="4"/>
        <v>3.5200703648671507</v>
      </c>
    </row>
    <row r="94" spans="1:2" x14ac:dyDescent="0.2">
      <c r="A94">
        <v>6.9</v>
      </c>
      <c r="B94">
        <f t="shared" si="4"/>
        <v>3.3437060205749649</v>
      </c>
    </row>
    <row r="95" spans="1:2" x14ac:dyDescent="0.2">
      <c r="A95">
        <v>7</v>
      </c>
      <c r="B95">
        <f t="shared" si="4"/>
        <v>3.1755108476587717</v>
      </c>
    </row>
    <row r="96" spans="1:2" x14ac:dyDescent="0.2">
      <c r="A96">
        <v>7.1</v>
      </c>
      <c r="B96">
        <f t="shared" si="4"/>
        <v>3.0151607674488776</v>
      </c>
    </row>
    <row r="97" spans="1:2" x14ac:dyDescent="0.2">
      <c r="A97">
        <v>7.2</v>
      </c>
      <c r="B97">
        <f t="shared" si="4"/>
        <v>2.8623397742975629</v>
      </c>
    </row>
    <row r="98" spans="1:2" x14ac:dyDescent="0.2">
      <c r="A98">
        <v>7.3</v>
      </c>
      <c r="B98">
        <f t="shared" si="4"/>
        <v>2.7167402263484748</v>
      </c>
    </row>
    <row r="99" spans="1:2" x14ac:dyDescent="0.2">
      <c r="A99">
        <v>7.4</v>
      </c>
      <c r="B99">
        <f t="shared" si="4"/>
        <v>2.5780630662316177</v>
      </c>
    </row>
    <row r="100" spans="1:2" x14ac:dyDescent="0.2">
      <c r="A100">
        <v>7.5</v>
      </c>
      <c r="B100">
        <f t="shared" si="4"/>
        <v>2.4460179794490262</v>
      </c>
    </row>
    <row r="101" spans="1:2" x14ac:dyDescent="0.2">
      <c r="A101">
        <v>7.6</v>
      </c>
      <c r="B101">
        <f t="shared" si="4"/>
        <v>2.3203234975101159</v>
      </c>
    </row>
    <row r="102" spans="1:2" x14ac:dyDescent="0.2">
      <c r="A102">
        <v>7.7</v>
      </c>
      <c r="B102">
        <f t="shared" si="4"/>
        <v>2.2007070522281933</v>
      </c>
    </row>
    <row r="103" spans="1:2" x14ac:dyDescent="0.2">
      <c r="A103">
        <v>7.8</v>
      </c>
      <c r="B103">
        <f t="shared" si="4"/>
        <v>2.0869049869960166</v>
      </c>
    </row>
    <row r="104" spans="1:2" x14ac:dyDescent="0.2">
      <c r="A104">
        <v>7.9</v>
      </c>
      <c r="B104">
        <f t="shared" si="4"/>
        <v>1.9786625303142877</v>
      </c>
    </row>
    <row r="105" spans="1:2" x14ac:dyDescent="0.2">
      <c r="A105">
        <v>8</v>
      </c>
      <c r="B105">
        <f t="shared" si="4"/>
        <v>1.8757337363489173</v>
      </c>
    </row>
    <row r="106" spans="1:2" x14ac:dyDescent="0.2">
      <c r="A106">
        <v>8.1</v>
      </c>
      <c r="B106">
        <f t="shared" ref="B106:B121" si="5">(0.041667*$B$19+$B$20+0.204632*$B$21)*$A106*$C$5*EXP(-$C$6*$A106)</f>
        <v>1.7778813968366256</v>
      </c>
    </row>
    <row r="107" spans="1:2" x14ac:dyDescent="0.2">
      <c r="A107">
        <v>8.1999999999999993</v>
      </c>
      <c r="B107">
        <f t="shared" si="5"/>
        <v>1.6848769282413605</v>
      </c>
    </row>
    <row r="108" spans="1:2" x14ac:dyDescent="0.2">
      <c r="A108">
        <v>8.3000000000000007</v>
      </c>
      <c r="B108">
        <f t="shared" si="5"/>
        <v>1.5965002376822699</v>
      </c>
    </row>
    <row r="109" spans="1:2" x14ac:dyDescent="0.2">
      <c r="A109">
        <v>8.4</v>
      </c>
      <c r="B109">
        <f t="shared" si="5"/>
        <v>1.5125395708052454</v>
      </c>
    </row>
    <row r="110" spans="1:2" x14ac:dyDescent="0.2">
      <c r="A110">
        <v>8.5</v>
      </c>
      <c r="B110">
        <f t="shared" si="5"/>
        <v>1.4327913444514413</v>
      </c>
    </row>
    <row r="111" spans="1:2" x14ac:dyDescent="0.2">
      <c r="A111">
        <v>8.6</v>
      </c>
      <c r="B111">
        <f t="shared" si="5"/>
        <v>1.3570599666853593</v>
      </c>
    </row>
    <row r="112" spans="1:2" x14ac:dyDescent="0.2">
      <c r="A112">
        <v>8.6999999999999993</v>
      </c>
      <c r="B112">
        <f t="shared" si="5"/>
        <v>1.2851576464797527</v>
      </c>
    </row>
    <row r="113" spans="1:2" x14ac:dyDescent="0.2">
      <c r="A113">
        <v>8.8000000000000007</v>
      </c>
      <c r="B113">
        <f t="shared" si="5"/>
        <v>1.2169041951127175</v>
      </c>
    </row>
    <row r="114" spans="1:2" x14ac:dyDescent="0.2">
      <c r="A114">
        <v>8.9</v>
      </c>
      <c r="B114">
        <f t="shared" si="5"/>
        <v>1.1521268211119988</v>
      </c>
    </row>
    <row r="115" spans="1:2" x14ac:dyDescent="0.2">
      <c r="A115">
        <v>9</v>
      </c>
      <c r="B115">
        <f t="shared" si="5"/>
        <v>1.0906599203809189</v>
      </c>
    </row>
    <row r="116" spans="1:2" x14ac:dyDescent="0.2">
      <c r="A116">
        <v>9.1</v>
      </c>
      <c r="B116">
        <f t="shared" si="5"/>
        <v>1.0323448629579113</v>
      </c>
    </row>
    <row r="117" spans="1:2" x14ac:dyDescent="0.2">
      <c r="A117">
        <v>9.1999999999999993</v>
      </c>
      <c r="B117">
        <f t="shared" si="5"/>
        <v>0.97702977769580046</v>
      </c>
    </row>
    <row r="118" spans="1:2" x14ac:dyDescent="0.2">
      <c r="A118">
        <v>9.3000000000000007</v>
      </c>
      <c r="B118">
        <f t="shared" si="5"/>
        <v>0.92456933599641977</v>
      </c>
    </row>
    <row r="119" spans="1:2" x14ac:dyDescent="0.2">
      <c r="A119">
        <v>9.4</v>
      </c>
      <c r="B119">
        <f t="shared" si="5"/>
        <v>0.87482453559959694</v>
      </c>
    </row>
    <row r="120" spans="1:2" x14ac:dyDescent="0.2">
      <c r="A120">
        <v>9.5</v>
      </c>
      <c r="B120">
        <f t="shared" si="5"/>
        <v>0.82766248530175179</v>
      </c>
    </row>
    <row r="121" spans="1:2" x14ac:dyDescent="0.2">
      <c r="A121">
        <v>9.6</v>
      </c>
      <c r="B121">
        <f t="shared" si="5"/>
        <v>0.78295619136735506</v>
      </c>
    </row>
    <row r="122" spans="1:2" x14ac:dyDescent="0.2">
      <c r="A122">
        <v>9.6999999999999993</v>
      </c>
      <c r="B122">
        <f t="shared" ref="B122:B137" si="6">(0.041667*$B$19+$B$20+0.204632*$B$21)*$A122*$C$5*EXP(-$C$6*$A122)</f>
        <v>0.74058434629518777</v>
      </c>
    </row>
    <row r="123" spans="1:2" x14ac:dyDescent="0.2">
      <c r="A123">
        <v>9.8000000000000007</v>
      </c>
      <c r="B123">
        <f t="shared" si="6"/>
        <v>0.70043112050989087</v>
      </c>
    </row>
    <row r="124" spans="1:2" x14ac:dyDescent="0.2">
      <c r="A124">
        <v>9.9</v>
      </c>
      <c r="B124">
        <f t="shared" si="6"/>
        <v>0.66238595746681073</v>
      </c>
    </row>
    <row r="125" spans="1:2" x14ac:dyDescent="0.2">
      <c r="A125">
        <v>10</v>
      </c>
      <c r="B125">
        <f t="shared" si="6"/>
        <v>0.62634337258387596</v>
      </c>
    </row>
    <row r="126" spans="1:2" x14ac:dyDescent="0.2">
      <c r="A126">
        <v>10.1</v>
      </c>
      <c r="B126">
        <f t="shared" si="6"/>
        <v>0.59220275634747399</v>
      </c>
    </row>
    <row r="127" spans="1:2" x14ac:dyDescent="0.2">
      <c r="A127">
        <v>10.199999999999999</v>
      </c>
      <c r="B127">
        <f t="shared" si="6"/>
        <v>0.55986818187935505</v>
      </c>
    </row>
    <row r="128" spans="1:2" x14ac:dyDescent="0.2">
      <c r="A128">
        <v>10.3</v>
      </c>
      <c r="B128">
        <f t="shared" si="6"/>
        <v>0.52924821719790249</v>
      </c>
    </row>
    <row r="129" spans="1:2" x14ac:dyDescent="0.2">
      <c r="A129">
        <v>10.4</v>
      </c>
      <c r="B129">
        <f t="shared" si="6"/>
        <v>0.50025574235910852</v>
      </c>
    </row>
    <row r="130" spans="1:2" x14ac:dyDescent="0.2">
      <c r="A130">
        <v>10.5</v>
      </c>
      <c r="B130">
        <f t="shared" si="6"/>
        <v>0.47280777161976123</v>
      </c>
    </row>
    <row r="131" spans="1:2" x14ac:dyDescent="0.2">
      <c r="A131">
        <v>10.6</v>
      </c>
      <c r="B131">
        <f t="shared" si="6"/>
        <v>0.44682528072725103</v>
      </c>
    </row>
    <row r="132" spans="1:2" x14ac:dyDescent="0.2">
      <c r="A132">
        <v>10.7</v>
      </c>
      <c r="B132">
        <f t="shared" si="6"/>
        <v>0.4222330394065707</v>
      </c>
    </row>
    <row r="133" spans="1:2" x14ac:dyDescent="0.2">
      <c r="A133">
        <v>10.8</v>
      </c>
      <c r="B133">
        <f t="shared" si="6"/>
        <v>0.39895944908516073</v>
      </c>
    </row>
    <row r="134" spans="1:2" x14ac:dyDescent="0.2">
      <c r="A134">
        <v>10.9</v>
      </c>
      <c r="B134">
        <f t="shared" si="6"/>
        <v>0.37693638586985712</v>
      </c>
    </row>
    <row r="135" spans="1:2" x14ac:dyDescent="0.2">
      <c r="A135">
        <v>11</v>
      </c>
      <c r="B135">
        <f t="shared" si="6"/>
        <v>0.35609904876700854</v>
      </c>
    </row>
    <row r="136" spans="1:2" x14ac:dyDescent="0.2">
      <c r="A136">
        <v>11.1</v>
      </c>
      <c r="B136">
        <f t="shared" si="6"/>
        <v>0.33638581311655291</v>
      </c>
    </row>
    <row r="137" spans="1:2" x14ac:dyDescent="0.2">
      <c r="A137">
        <v>11.2</v>
      </c>
      <c r="B137">
        <f t="shared" si="6"/>
        <v>0.31773808919317709</v>
      </c>
    </row>
    <row r="138" spans="1:2" x14ac:dyDescent="0.2">
      <c r="A138">
        <v>11.3</v>
      </c>
      <c r="B138">
        <f t="shared" ref="B138:B153" si="7">(0.041667*$B$19+$B$20+0.204632*$B$21)*$A138*$C$5*EXP(-$C$6*$A138)</f>
        <v>0.30010018591240784</v>
      </c>
    </row>
    <row r="139" spans="1:2" x14ac:dyDescent="0.2">
      <c r="A139">
        <v>11.4</v>
      </c>
      <c r="B139">
        <f t="shared" si="7"/>
        <v>0.28341917956634871</v>
      </c>
    </row>
    <row r="140" spans="1:2" x14ac:dyDescent="0.2">
      <c r="A140">
        <v>11.5</v>
      </c>
      <c r="B140">
        <f t="shared" si="7"/>
        <v>0.26764478750255055</v>
      </c>
    </row>
    <row r="141" spans="1:2" x14ac:dyDescent="0.2">
      <c r="A141">
        <v>11.6</v>
      </c>
      <c r="B141">
        <f t="shared" si="7"/>
        <v>0.2527292466500653</v>
      </c>
    </row>
    <row r="142" spans="1:2" x14ac:dyDescent="0.2">
      <c r="A142">
        <v>11.7</v>
      </c>
      <c r="B142">
        <f t="shared" si="7"/>
        <v>0.23862719678879793</v>
      </c>
    </row>
    <row r="143" spans="1:2" x14ac:dyDescent="0.2">
      <c r="A143">
        <v>11.8</v>
      </c>
      <c r="B143">
        <f t="shared" si="7"/>
        <v>0.2252955684517883</v>
      </c>
    </row>
    <row r="144" spans="1:2" x14ac:dyDescent="0.2">
      <c r="A144">
        <v>11.9</v>
      </c>
      <c r="B144">
        <f t="shared" si="7"/>
        <v>0.21269347534479202</v>
      </c>
    </row>
    <row r="145" spans="1:2" x14ac:dyDescent="0.2">
      <c r="A145">
        <v>12</v>
      </c>
      <c r="B145">
        <f t="shared" si="7"/>
        <v>0.2007821111634035</v>
      </c>
    </row>
    <row r="146" spans="1:2" x14ac:dyDescent="0.2">
      <c r="A146">
        <v>12.1</v>
      </c>
      <c r="B146">
        <f t="shared" si="7"/>
        <v>0.18952465068484028</v>
      </c>
    </row>
    <row r="147" spans="1:2" x14ac:dyDescent="0.2">
      <c r="A147">
        <v>12.2</v>
      </c>
      <c r="B147">
        <f t="shared" si="7"/>
        <v>0.17888615500925897</v>
      </c>
    </row>
    <row r="148" spans="1:2" x14ac:dyDescent="0.2">
      <c r="A148">
        <v>12.3</v>
      </c>
      <c r="B148">
        <f t="shared" si="7"/>
        <v>0.16883348082402053</v>
      </c>
    </row>
    <row r="149" spans="1:2" x14ac:dyDescent="0.2">
      <c r="A149">
        <v>12.4</v>
      </c>
      <c r="B149">
        <f t="shared" si="7"/>
        <v>0.15933519356356857</v>
      </c>
    </row>
    <row r="150" spans="1:2" x14ac:dyDescent="0.2">
      <c r="A150">
        <v>12.5</v>
      </c>
      <c r="B150">
        <f t="shared" si="7"/>
        <v>0.15036148433743549</v>
      </c>
    </row>
    <row r="151" spans="1:2" x14ac:dyDescent="0.2">
      <c r="A151">
        <v>12.6</v>
      </c>
      <c r="B151">
        <f t="shared" si="7"/>
        <v>0.14188409049928585</v>
      </c>
    </row>
    <row r="152" spans="1:2" x14ac:dyDescent="0.2">
      <c r="A152">
        <v>12.7</v>
      </c>
      <c r="B152">
        <f t="shared" si="7"/>
        <v>0.13387621973077393</v>
      </c>
    </row>
    <row r="153" spans="1:2" x14ac:dyDescent="0.2">
      <c r="A153">
        <v>12.8</v>
      </c>
      <c r="B153">
        <f t="shared" si="7"/>
        <v>0.12631247751525188</v>
      </c>
    </row>
    <row r="154" spans="1:2" x14ac:dyDescent="0.2">
      <c r="A154">
        <v>12.9</v>
      </c>
      <c r="B154">
        <f t="shared" ref="B154:B169" si="8">(0.041667*$B$19+$B$20+0.204632*$B$21)*$A154*$C$5*EXP(-$C$6*$A154)</f>
        <v>0.11916879787800558</v>
      </c>
    </row>
    <row r="155" spans="1:2" x14ac:dyDescent="0.2">
      <c r="A155">
        <v>13</v>
      </c>
      <c r="B155">
        <f t="shared" si="8"/>
        <v>0.1124223772716046</v>
      </c>
    </row>
    <row r="156" spans="1:2" x14ac:dyDescent="0.2">
      <c r="A156">
        <v>13.1</v>
      </c>
      <c r="B156">
        <f t="shared" si="8"/>
        <v>0.10605161148714702</v>
      </c>
    </row>
    <row r="157" spans="1:2" x14ac:dyDescent="0.2">
      <c r="A157">
        <v>13.2</v>
      </c>
      <c r="B157">
        <f t="shared" si="8"/>
        <v>0.1000360354745773</v>
      </c>
    </row>
    <row r="158" spans="1:2" x14ac:dyDescent="0.2">
      <c r="A158">
        <v>13.3</v>
      </c>
      <c r="B158">
        <f t="shared" si="8"/>
        <v>9.4356265957828492E-2</v>
      </c>
    </row>
    <row r="159" spans="1:2" x14ac:dyDescent="0.2">
      <c r="A159">
        <v>13.4</v>
      </c>
      <c r="B159">
        <f t="shared" si="8"/>
        <v>8.8993946733277138E-2</v>
      </c>
    </row>
    <row r="160" spans="1:2" x14ac:dyDescent="0.2">
      <c r="A160">
        <v>13.5</v>
      </c>
      <c r="B160">
        <f t="shared" si="8"/>
        <v>8.3931696542832737E-2</v>
      </c>
    </row>
    <row r="161" spans="1:3" x14ac:dyDescent="0.2">
      <c r="A161">
        <v>13.6</v>
      </c>
      <c r="B161">
        <f t="shared" si="8"/>
        <v>7.9153059415926832E-2</v>
      </c>
    </row>
    <row r="162" spans="1:3" x14ac:dyDescent="0.2">
      <c r="A162">
        <v>13.7</v>
      </c>
      <c r="B162">
        <f t="shared" si="8"/>
        <v>7.4642457377668975E-2</v>
      </c>
    </row>
    <row r="163" spans="1:3" x14ac:dyDescent="0.2">
      <c r="A163">
        <v>13.8</v>
      </c>
      <c r="B163">
        <f t="shared" si="8"/>
        <v>7.0385145423484952E-2</v>
      </c>
    </row>
    <row r="164" spans="1:3" x14ac:dyDescent="0.2">
      <c r="A164">
        <v>13.9</v>
      </c>
      <c r="B164">
        <f t="shared" si="8"/>
        <v>6.6367168663640355E-2</v>
      </c>
    </row>
    <row r="165" spans="1:3" x14ac:dyDescent="0.2">
      <c r="A165">
        <v>14</v>
      </c>
      <c r="B165">
        <f t="shared" si="8"/>
        <v>6.2575321544139501E-2</v>
      </c>
    </row>
    <row r="166" spans="1:3" x14ac:dyDescent="0.2">
      <c r="A166">
        <v>14.1</v>
      </c>
      <c r="B166">
        <f t="shared" si="8"/>
        <v>5.8997109053587231E-2</v>
      </c>
    </row>
    <row r="167" spans="1:3" x14ac:dyDescent="0.2">
      <c r="A167">
        <v>14.2</v>
      </c>
      <c r="B167">
        <f t="shared" si="8"/>
        <v>5.562070982868015E-2</v>
      </c>
    </row>
    <row r="168" spans="1:3" x14ac:dyDescent="0.2">
      <c r="A168">
        <v>14.3</v>
      </c>
      <c r="B168">
        <f t="shared" si="8"/>
        <v>5.243494107404436E-2</v>
      </c>
    </row>
    <row r="169" spans="1:3" x14ac:dyDescent="0.2">
      <c r="A169">
        <v>14.4</v>
      </c>
      <c r="B169">
        <f t="shared" si="8"/>
        <v>4.9429225215163852E-2</v>
      </c>
    </row>
    <row r="170" spans="1:3" x14ac:dyDescent="0.2">
      <c r="A170">
        <v>14.5</v>
      </c>
      <c r="B170">
        <f t="shared" ref="B170:B175" si="9">(0.041667*$B$19+$B$20+0.204632*$B$21)*$A170*$C$5*EXP(-$C$6*$A170)</f>
        <v>4.6593558206116582E-2</v>
      </c>
    </row>
    <row r="171" spans="1:3" x14ac:dyDescent="0.2">
      <c r="A171">
        <v>14.6</v>
      </c>
      <c r="B171">
        <f t="shared" si="9"/>
        <v>4.3918479416768297E-2</v>
      </c>
    </row>
    <row r="172" spans="1:3" x14ac:dyDescent="0.2">
      <c r="A172">
        <v>14.7</v>
      </c>
      <c r="B172">
        <f t="shared" si="9"/>
        <v>4.1395043026949151E-2</v>
      </c>
    </row>
    <row r="173" spans="1:3" x14ac:dyDescent="0.2">
      <c r="A173">
        <v>14.8</v>
      </c>
      <c r="B173">
        <f t="shared" si="9"/>
        <v>3.9014790857949531E-2</v>
      </c>
    </row>
    <row r="174" spans="1:3" x14ac:dyDescent="0.2">
      <c r="A174">
        <v>14.9</v>
      </c>
      <c r="B174">
        <f t="shared" si="9"/>
        <v>3.6769726574428001E-2</v>
      </c>
    </row>
    <row r="175" spans="1:3" x14ac:dyDescent="0.2">
      <c r="A175">
        <v>15</v>
      </c>
      <c r="B175">
        <f t="shared" si="9"/>
        <v>3.4652291192502509E-2</v>
      </c>
    </row>
    <row r="176" spans="1:3" x14ac:dyDescent="0.2">
      <c r="A176">
        <f>$C$9</f>
        <v>2.5</v>
      </c>
      <c r="C176">
        <f>(1697.8609626*$B$19+40748.663102*$B$20+8337.88546256*$B$21)*$C$9*$C$10/($C$7*$C$8)</f>
        <v>11.478366550881058</v>
      </c>
    </row>
    <row r="177" spans="1:12" x14ac:dyDescent="0.2">
      <c r="A177">
        <v>0</v>
      </c>
      <c r="D177">
        <v>0</v>
      </c>
    </row>
    <row r="178" spans="1:12" x14ac:dyDescent="0.2">
      <c r="A178">
        <f>(0.000589019116*$B$19+0.0000245424631*$B$20+0.000119934485*$B$21)*$D$178*$C$7*$C$8/$C$10</f>
        <v>6.9869491313941774</v>
      </c>
      <c r="D178">
        <f>(0.041667*$B$19+$B$20+0.204632*$B$21)*1.25*$C$5*EXP(-1)/$C$6</f>
        <v>32.079505314969289</v>
      </c>
    </row>
    <row r="179" spans="1:12" x14ac:dyDescent="0.2">
      <c r="A179">
        <v>0</v>
      </c>
      <c r="E179">
        <f>(1697.73777048*$B$19+40745.7064914*$B$20+8337.88546256*$B$21)*($C$10+$C$11)*$C$9/($C$7*$C$8)</f>
        <v>19.513223136497796</v>
      </c>
    </row>
    <row r="180" spans="1:12" x14ac:dyDescent="0.2">
      <c r="A180">
        <f>(0.000589019116*$B$19+0.0000245424631*$B$20+0.000119934485*$B$21)*$E$179*$C$7*$C$8/$C$11</f>
        <v>6.0714285649996595</v>
      </c>
      <c r="E180">
        <f>-(1697.73777048*$B$19+40745.7064914*$B$20+8337.88546256*$B$21)*$A180*$C$11/($C$7*$C$8)+$E$179</f>
        <v>2.0662152877548579E-8</v>
      </c>
    </row>
    <row r="181" spans="1:12" x14ac:dyDescent="0.2">
      <c r="A181">
        <f>$C$9</f>
        <v>2.5</v>
      </c>
      <c r="F181">
        <f>(1697.73777048*$B$19+40745.7064914*$B$20+8337.88546256*$B$21)*$A181*$C$12/($C$7*$C$8)</f>
        <v>28.695916377202643</v>
      </c>
    </row>
    <row r="182" spans="1:12" x14ac:dyDescent="0.2">
      <c r="A182">
        <v>0</v>
      </c>
      <c r="G182">
        <v>0</v>
      </c>
    </row>
    <row r="183" spans="1:12" x14ac:dyDescent="0.2">
      <c r="A183">
        <f>IF($C$12=0,0,(0.000589019116*$B$19+0.0000245424631*$B$20+0.000119934485*$B$21)*$D$178*$C$7*$C$8/$C$12)</f>
        <v>2.7947796525576711</v>
      </c>
      <c r="G183">
        <f>IF($C$12=0,0,$D$178)</f>
        <v>32.079505314969289</v>
      </c>
    </row>
    <row r="184" spans="1:12" x14ac:dyDescent="0.2">
      <c r="A184">
        <f>IF($C$12=0,0,0)</f>
        <v>0</v>
      </c>
      <c r="H184">
        <f>IF($C$12=0,0,(1697.73777048*$B$19+40745.7064914*$B$20+8337.88546256*$B$21)*($C$12+$C$11)*$C$9/($C$7*$C$8))</f>
        <v>36.73077296281938</v>
      </c>
    </row>
    <row r="185" spans="1:12" x14ac:dyDescent="0.2">
      <c r="A185">
        <f>IF($C$12=0,0,(0.000589019116*$B$19+0.0000245424631*$B$20+0.000119934485*$B$21)*$H$184*$C$7*$C$8/$C$11)</f>
        <v>11.428571416469946</v>
      </c>
      <c r="H185">
        <f>IF($C$12=0,0,-(1697.73777048*$B$19+40745.7064914*$B$20+8337.88546256*$B$21)*$A185*$C$11/($C$7*$C$8)+$H$184)</f>
        <v>3.8893468001788278E-8</v>
      </c>
      <c r="L185">
        <f>(1697.86096*$B$19+40748.6631*$B$20+8337.88546*$B$21)*$C$9*($C$12+$C$11)/($C$7*$C$8)</f>
        <v>36.730772951541852</v>
      </c>
    </row>
    <row r="186" spans="1:12" x14ac:dyDescent="0.2">
      <c r="A186">
        <f>IF($C$13=0,0,0)</f>
        <v>0</v>
      </c>
      <c r="I186">
        <f>IF($C$13=0,0,(1697.73777048*$B$19+40745.7064914*$B$20+8337.88546256*$B$21)*($C$10+$C$13)*$C$9/($C$7*$C$8))</f>
        <v>27.548079722114537</v>
      </c>
      <c r="L186" t="e">
        <f>$L$185-(1697.86096*$B$19+40748.6631*$B$20+8337.88546*$B$21)*#REF!*$C$11/($C$7*$C$8)</f>
        <v>#REF!</v>
      </c>
    </row>
    <row r="187" spans="1:12" x14ac:dyDescent="0.2">
      <c r="A187">
        <f>IF($C$13=0,0,(0.000589019116*$B$19+0.0000245424631*$B$20+0.000119934485*$B$21)*$I$186*$C$7*$C$8/$C$13)</f>
        <v>4.2857142811762294</v>
      </c>
      <c r="I187">
        <f>IF($C$13=0,0,-(1697.73777048*$B$19+40745.7064914*$B$20+8337.88546256*$B$21)*$A187*$C$13/($C$7*$C$8)+$I$186)</f>
        <v>2.9170102777698048E-8</v>
      </c>
    </row>
  </sheetData>
  <phoneticPr fontId="5" type="noConversion"/>
  <printOptions horizontalCentered="1"/>
  <pageMargins left="0.75" right="0.75" top="1" bottom="1" header="0.5" footer="0.5"/>
  <pageSetup orientation="portrait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Bkgrnd.</vt:lpstr>
      <vt:lpstr>SVISN</vt:lpstr>
      <vt:lpstr>SVI &amp; SA</vt:lpstr>
      <vt:lpstr>SVIGN</vt:lpstr>
      <vt:lpstr>SVIGS</vt:lpstr>
      <vt:lpstr>SVISS</vt:lpstr>
      <vt:lpstr>VoK</vt:lpstr>
      <vt:lpstr>Bkgrnd.!Print_Area</vt:lpstr>
      <vt:lpstr>SVIGN!Print_Area</vt:lpstr>
      <vt:lpstr>SVIGS!Print_Area</vt:lpstr>
      <vt:lpstr>SVISN!Print_Area</vt:lpstr>
      <vt:lpstr>SVISS!Print_Area</vt:lpstr>
      <vt:lpstr>VoK!Print_Area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Fuller</dc:creator>
  <cp:lastModifiedBy>Rick Fuller</cp:lastModifiedBy>
  <cp:lastPrinted>2015-02-15T18:39:22Z</cp:lastPrinted>
  <dcterms:created xsi:type="dcterms:W3CDTF">1997-05-31T00:53:21Z</dcterms:created>
  <dcterms:modified xsi:type="dcterms:W3CDTF">2016-10-02T20:06:38Z</dcterms:modified>
</cp:coreProperties>
</file>