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/>
  <bookViews>
    <workbookView xWindow="0" yWindow="30" windowWidth="19155" windowHeight="8505" tabRatio="730"/>
  </bookViews>
  <sheets>
    <sheet name="01-VG BIAPOIADAS" sheetId="2" r:id="rId1"/>
    <sheet name="MADEIRAS" sheetId="4" r:id="rId2"/>
    <sheet name="Tabelas de Cálculo" sheetId="3" r:id="rId3"/>
  </sheets>
  <calcPr calcId="145621"/>
</workbook>
</file>

<file path=xl/calcChain.xml><?xml version="1.0" encoding="utf-8"?>
<calcChain xmlns="http://schemas.openxmlformats.org/spreadsheetml/2006/main">
  <c r="D200" i="2" l="1"/>
  <c r="D194" i="2"/>
  <c r="J6" i="2"/>
  <c r="I18" i="4"/>
  <c r="G18" i="4"/>
  <c r="E18" i="4"/>
  <c r="C18" i="4"/>
  <c r="J21" i="3"/>
  <c r="J22" i="3"/>
  <c r="J23" i="3"/>
  <c r="J24" i="3"/>
  <c r="I20" i="3"/>
  <c r="J20" i="3" s="1"/>
  <c r="I19" i="3"/>
  <c r="J19" i="3" s="1"/>
  <c r="I18" i="3"/>
  <c r="J18" i="3" s="1"/>
  <c r="I17" i="3"/>
  <c r="J17" i="3" s="1"/>
  <c r="I16" i="3"/>
  <c r="J16" i="3" s="1"/>
  <c r="I15" i="3"/>
  <c r="J15" i="3" s="1"/>
  <c r="I14" i="3"/>
  <c r="J14" i="3" s="1"/>
  <c r="I13" i="3"/>
  <c r="J13" i="3" s="1"/>
  <c r="D70" i="3"/>
  <c r="H60" i="4"/>
  <c r="I60" i="4" s="1"/>
  <c r="H61" i="4"/>
  <c r="I61" i="4" s="1"/>
  <c r="H62" i="4"/>
  <c r="I62" i="4" s="1"/>
  <c r="H63" i="4"/>
  <c r="I63" i="4" s="1"/>
  <c r="H64" i="4"/>
  <c r="H65" i="4"/>
  <c r="I65" i="4" s="1"/>
  <c r="H59" i="4"/>
  <c r="I59" i="4" s="1"/>
  <c r="D168" i="2"/>
  <c r="G140" i="2"/>
  <c r="G134" i="2"/>
  <c r="G135" i="2" s="1"/>
  <c r="E131" i="2"/>
  <c r="G131" i="2" s="1"/>
  <c r="G130" i="2"/>
  <c r="G156" i="2"/>
  <c r="G150" i="2"/>
  <c r="G151" i="2" s="1"/>
  <c r="G148" i="2"/>
  <c r="G149" i="2" s="1"/>
  <c r="E147" i="2"/>
  <c r="G146" i="2"/>
  <c r="G125" i="2"/>
  <c r="G119" i="2"/>
  <c r="G120" i="2" s="1"/>
  <c r="E116" i="2"/>
  <c r="G116" i="2" s="1"/>
  <c r="G115" i="2"/>
  <c r="G109" i="2"/>
  <c r="G95" i="2"/>
  <c r="E194" i="2"/>
  <c r="D196" i="2" s="1"/>
  <c r="E196" i="2" s="1"/>
  <c r="J7" i="2"/>
  <c r="G103" i="2"/>
  <c r="G104" i="2" s="1"/>
  <c r="E100" i="2"/>
  <c r="G100" i="2" s="1"/>
  <c r="G99" i="2"/>
  <c r="E238" i="2"/>
  <c r="G208" i="2"/>
  <c r="D210" i="2" s="1"/>
  <c r="F208" i="2"/>
  <c r="E208" i="2"/>
  <c r="D206" i="2" s="1"/>
  <c r="D216" i="2"/>
  <c r="E216" i="2" s="1"/>
  <c r="D215" i="2"/>
  <c r="D31" i="3" s="1"/>
  <c r="D212" i="2"/>
  <c r="E212" i="2" s="1"/>
  <c r="D208" i="2"/>
  <c r="D204" i="2"/>
  <c r="E203" i="2"/>
  <c r="E202" i="2"/>
  <c r="E201" i="2"/>
  <c r="E200" i="2"/>
  <c r="A171" i="2"/>
  <c r="G92" i="2"/>
  <c r="G91" i="2"/>
  <c r="G90" i="2"/>
  <c r="G89" i="2"/>
  <c r="G88" i="2"/>
  <c r="G81" i="2"/>
  <c r="G79" i="2"/>
  <c r="G77" i="2"/>
  <c r="G76" i="2"/>
  <c r="G75" i="2" s="1"/>
  <c r="G80" i="2" s="1"/>
  <c r="I64" i="4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E26" i="2"/>
  <c r="E25" i="2"/>
  <c r="E24" i="2"/>
  <c r="D18" i="2"/>
  <c r="D17" i="2"/>
  <c r="D26" i="3"/>
  <c r="D25" i="3"/>
  <c r="C8" i="2"/>
  <c r="A8" i="2"/>
  <c r="J8" i="2" l="1"/>
  <c r="A18" i="4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G82" i="2"/>
  <c r="D178" i="2" s="1"/>
  <c r="D179" i="2"/>
  <c r="C292" i="2" s="1"/>
  <c r="G155" i="2"/>
  <c r="D169" i="2"/>
  <c r="G139" i="2"/>
  <c r="D174" i="2"/>
  <c r="G132" i="2"/>
  <c r="G133" i="2" s="1"/>
  <c r="I5" i="2"/>
  <c r="G147" i="2"/>
  <c r="D175" i="2" s="1"/>
  <c r="G152" i="2"/>
  <c r="G154" i="2"/>
  <c r="G117" i="2"/>
  <c r="G118" i="2" s="1"/>
  <c r="G124" i="2"/>
  <c r="G108" i="2"/>
  <c r="G101" i="2"/>
  <c r="G102" i="2" s="1"/>
  <c r="D238" i="2"/>
  <c r="D213" i="2"/>
  <c r="D214" i="2"/>
  <c r="G93" i="2"/>
  <c r="G94" i="2"/>
  <c r="G83" i="2"/>
  <c r="G78" i="2"/>
  <c r="D171" i="2" s="1"/>
  <c r="D19" i="2"/>
  <c r="C22" i="3"/>
  <c r="E8" i="2" s="1"/>
  <c r="E9" i="2" s="1"/>
  <c r="F37" i="2" s="1"/>
  <c r="A34" i="4" l="1"/>
  <c r="D170" i="2"/>
  <c r="D68" i="3"/>
  <c r="D177" i="2"/>
  <c r="G137" i="2"/>
  <c r="G138" i="2"/>
  <c r="G136" i="2"/>
  <c r="G153" i="2"/>
  <c r="G122" i="2"/>
  <c r="G121" i="2"/>
  <c r="G123" i="2"/>
  <c r="G106" i="2"/>
  <c r="G107" i="2"/>
  <c r="G105" i="2"/>
  <c r="B277" i="2"/>
  <c r="B276" i="2"/>
  <c r="A35" i="4" l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D172" i="2"/>
  <c r="D176" i="2"/>
  <c r="D67" i="3"/>
  <c r="D73" i="3" s="1"/>
  <c r="D173" i="2"/>
  <c r="C276" i="2"/>
  <c r="B278" i="2"/>
  <c r="A50" i="4" l="1"/>
  <c r="D74" i="3"/>
  <c r="D72" i="3"/>
  <c r="D76" i="3" s="1"/>
  <c r="D79" i="3" s="1"/>
  <c r="A51" i="4" l="1"/>
  <c r="A52" i="4" s="1"/>
  <c r="A53" i="4" s="1"/>
  <c r="A54" i="4" s="1"/>
  <c r="A55" i="4" s="1"/>
  <c r="A56" i="4" s="1"/>
  <c r="A57" i="4" s="1"/>
  <c r="D77" i="3"/>
  <c r="D82" i="3" s="1"/>
  <c r="D84" i="3" s="1"/>
  <c r="D85" i="3" s="1"/>
  <c r="A58" i="4" l="1"/>
  <c r="D91" i="3"/>
  <c r="D93" i="3" s="1"/>
  <c r="D95" i="3" s="1"/>
  <c r="D80" i="3"/>
  <c r="D86" i="3" s="1"/>
  <c r="D87" i="3" s="1"/>
  <c r="A59" i="4" l="1"/>
  <c r="A60" i="4" s="1"/>
  <c r="A61" i="4" s="1"/>
  <c r="D92" i="3"/>
  <c r="D94" i="3" s="1"/>
  <c r="D96" i="3" s="1"/>
  <c r="D89" i="3"/>
  <c r="D88" i="3"/>
  <c r="A62" i="4" l="1"/>
  <c r="D97" i="3"/>
  <c r="D99" i="3" s="1"/>
  <c r="A63" i="4" l="1"/>
  <c r="D98" i="3"/>
  <c r="A64" i="4" l="1"/>
  <c r="A65" i="4" l="1"/>
  <c r="E35" i="2"/>
  <c r="F41" i="2" l="1"/>
  <c r="E40" i="2"/>
  <c r="G40" i="2" s="1"/>
  <c r="E39" i="2"/>
  <c r="G39" i="2" s="1"/>
  <c r="E59" i="2" s="1"/>
  <c r="G59" i="2" s="1"/>
  <c r="E42" i="2"/>
  <c r="G42" i="2" s="1"/>
  <c r="E62" i="2" s="1"/>
  <c r="G62" i="2" s="1"/>
  <c r="G256" i="2" s="1"/>
  <c r="E43" i="2"/>
  <c r="G43" i="2" s="1"/>
  <c r="E63" i="2" s="1"/>
  <c r="G63" i="2" s="1"/>
  <c r="F42" i="2"/>
  <c r="E38" i="2"/>
  <c r="E58" i="2" s="1"/>
  <c r="D197" i="2" s="1"/>
  <c r="F40" i="2"/>
  <c r="D48" i="2"/>
  <c r="D68" i="2" s="1"/>
  <c r="D50" i="2"/>
  <c r="D70" i="2" s="1"/>
  <c r="D49" i="2"/>
  <c r="D69" i="2" s="1"/>
  <c r="F58" i="2"/>
  <c r="E60" i="2" l="1"/>
  <c r="G60" i="2" s="1"/>
  <c r="G263" i="2" s="1"/>
  <c r="G46" i="2"/>
  <c r="E66" i="2" s="1"/>
  <c r="G66" i="2" s="1"/>
  <c r="G45" i="2"/>
  <c r="E65" i="2" s="1"/>
  <c r="G65" i="2" s="1"/>
  <c r="G44" i="2"/>
  <c r="E64" i="2" s="1"/>
  <c r="G64" i="2" s="1"/>
  <c r="C291" i="2" s="1"/>
  <c r="D198" i="2"/>
  <c r="D199" i="2" s="1"/>
  <c r="D217" i="2"/>
  <c r="D218" i="2"/>
  <c r="D33" i="3"/>
  <c r="D280" i="2"/>
  <c r="E41" i="2"/>
  <c r="G41" i="2" s="1"/>
  <c r="E61" i="2" s="1"/>
  <c r="G61" i="2" s="1"/>
  <c r="G264" i="2" s="1"/>
  <c r="E44" i="2"/>
  <c r="D47" i="2"/>
  <c r="D67" i="2" s="1"/>
  <c r="E45" i="2"/>
  <c r="E46" i="2"/>
  <c r="B279" i="2" l="1"/>
  <c r="C279" i="2" s="1"/>
  <c r="J9" i="2"/>
  <c r="D250" i="2"/>
  <c r="M2" i="2"/>
  <c r="F280" i="2"/>
  <c r="D30" i="3"/>
  <c r="D37" i="3" s="1"/>
  <c r="D227" i="2"/>
  <c r="D239" i="2"/>
  <c r="D231" i="2" l="1"/>
  <c r="D232" i="2"/>
  <c r="D254" i="2"/>
  <c r="D255" i="2"/>
  <c r="M3" i="2"/>
  <c r="G280" i="2"/>
  <c r="M4" i="2" s="1"/>
  <c r="D273" i="2"/>
  <c r="D268" i="2"/>
  <c r="I2" i="2"/>
  <c r="F239" i="2"/>
  <c r="D35" i="3"/>
  <c r="D36" i="3"/>
  <c r="D39" i="3" l="1"/>
  <c r="D42" i="3" s="1"/>
  <c r="I3" i="2"/>
  <c r="G239" i="2"/>
  <c r="I4" i="2" s="1"/>
  <c r="F268" i="2"/>
  <c r="K2" i="2"/>
  <c r="L2" i="2"/>
  <c r="F273" i="2"/>
  <c r="D258" i="2"/>
  <c r="C290" i="2"/>
  <c r="C293" i="2" s="1"/>
  <c r="D40" i="3"/>
  <c r="G273" i="2" l="1"/>
  <c r="L4" i="2" s="1"/>
  <c r="L3" i="2"/>
  <c r="D43" i="3"/>
  <c r="D45" i="3"/>
  <c r="F258" i="2"/>
  <c r="J2" i="2"/>
  <c r="K3" i="2"/>
  <c r="G268" i="2"/>
  <c r="K4" i="2" s="1"/>
  <c r="G258" i="2" l="1"/>
  <c r="J4" i="2" s="1"/>
  <c r="J3" i="2"/>
  <c r="D47" i="3"/>
  <c r="D48" i="3" s="1"/>
  <c r="D54" i="3"/>
  <c r="D55" i="3" l="1"/>
  <c r="D57" i="3" s="1"/>
  <c r="D56" i="3"/>
  <c r="D58" i="3" s="1"/>
  <c r="D49" i="3"/>
  <c r="D52" i="3" s="1"/>
  <c r="D50" i="3" l="1"/>
  <c r="D51" i="3"/>
  <c r="D59" i="3"/>
  <c r="D60" i="3" s="1"/>
  <c r="D62" i="3" s="1"/>
  <c r="D244" i="2" l="1"/>
  <c r="D61" i="3"/>
</calcChain>
</file>

<file path=xl/sharedStrings.xml><?xml version="1.0" encoding="utf-8"?>
<sst xmlns="http://schemas.openxmlformats.org/spreadsheetml/2006/main" count="644" uniqueCount="418">
  <si>
    <t>Kmod2</t>
  </si>
  <si>
    <t>Kmod3</t>
  </si>
  <si>
    <t>Carga Permanente</t>
  </si>
  <si>
    <t>Longa Duração</t>
  </si>
  <si>
    <t>Média Duração</t>
  </si>
  <si>
    <t>Curta Duração</t>
  </si>
  <si>
    <t>Instantânea</t>
  </si>
  <si>
    <t>Não Considerada</t>
  </si>
  <si>
    <t>Kmod 1</t>
  </si>
  <si>
    <t>Categoria</t>
  </si>
  <si>
    <t>Kmod 2</t>
  </si>
  <si>
    <t>Submersa</t>
  </si>
  <si>
    <t>IV &gt; 25%</t>
  </si>
  <si>
    <t>I = 12%</t>
  </si>
  <si>
    <t>II = 15%</t>
  </si>
  <si>
    <t>III = 18%</t>
  </si>
  <si>
    <t>Kmod 3</t>
  </si>
  <si>
    <t>Dicotiledônia 1a.</t>
  </si>
  <si>
    <t>Dicotiledônia 2a.</t>
  </si>
  <si>
    <t>Conífera 1a.</t>
  </si>
  <si>
    <t>Conífera 2a.</t>
  </si>
  <si>
    <t>Laminada Reta</t>
  </si>
  <si>
    <t>Laminada Curva</t>
  </si>
  <si>
    <t>MEMÓRIA DE CÁLCULO PARA VIGAS BIAPOIADAS</t>
  </si>
  <si>
    <t>Kmod = Kmod1 x Kmod2 x Kmod3</t>
  </si>
  <si>
    <t>Carregamento</t>
  </si>
  <si>
    <t>Umidade</t>
  </si>
  <si>
    <t>Para as Vigas Laminadas Curvas :</t>
  </si>
  <si>
    <t>Lâmina de espessura "t" :</t>
  </si>
  <si>
    <t>Raio de curvatura "r" :</t>
  </si>
  <si>
    <t>Classe de umidade selecionada :</t>
  </si>
  <si>
    <t>Tipo de Carga Selecionada :</t>
  </si>
  <si>
    <t>Coeficiente de Fluência :</t>
  </si>
  <si>
    <t>1 - Coeficientes de modificação da madeira :</t>
  </si>
  <si>
    <t>2 - Coeficientes de fluência (φ) - deformação lenta da madeira :</t>
  </si>
  <si>
    <t>Esforço</t>
  </si>
  <si>
    <t>fk/fm</t>
  </si>
  <si>
    <t>coef. de seg.</t>
  </si>
  <si>
    <t>fator de corr.</t>
  </si>
  <si>
    <t>* Estas reduções são utilizadas levando em conta que a madeira analisada</t>
  </si>
  <si>
    <t>Comp. // fibras (fc)</t>
  </si>
  <si>
    <t>não é linear (fibras em direções diferentes), não é isotrópico é anisotrópico</t>
  </si>
  <si>
    <t>Tração // fibras (ft)</t>
  </si>
  <si>
    <t>(3 direções - longitudinal, radial e tangencial), e poderá possuir defeitos como</t>
  </si>
  <si>
    <t>Cisalham. // fibras (fv)</t>
  </si>
  <si>
    <t>nós, fendas, presença de alburno (brancal).</t>
  </si>
  <si>
    <t>3 - Relação entre fk/fm e o coeficiente de segurança</t>
  </si>
  <si>
    <t>4 - Madeira selecionada para o cálculo</t>
  </si>
  <si>
    <t>Valores médios à umidade de U=12%</t>
  </si>
  <si>
    <t>Cód.</t>
  </si>
  <si>
    <t>Nome Comum</t>
  </si>
  <si>
    <t>fc0,m (MPa)</t>
  </si>
  <si>
    <t>Ec0,m (MPa)</t>
  </si>
  <si>
    <t>P(apar.) Kg/m³</t>
  </si>
  <si>
    <t>fv0,m (MPa)</t>
  </si>
  <si>
    <t>ft0,m (MPa)</t>
  </si>
  <si>
    <t>ftn,m (MPa)</t>
  </si>
  <si>
    <t>Nome científico</t>
  </si>
  <si>
    <t>Angelim-araroba</t>
  </si>
  <si>
    <t>Votaireopsis araroba</t>
  </si>
  <si>
    <t>Dicotiledônia</t>
  </si>
  <si>
    <t>Angelim-ferro</t>
  </si>
  <si>
    <t>Hymenolobium spp</t>
  </si>
  <si>
    <t>Angelim-pedra</t>
  </si>
  <si>
    <t>Hymenolobium petraeum</t>
  </si>
  <si>
    <t>Angelim-pedra verdadeiro</t>
  </si>
  <si>
    <t>Dinizia excelsa</t>
  </si>
  <si>
    <t>Aroeira</t>
  </si>
  <si>
    <t>Branquilho</t>
  </si>
  <si>
    <t>Termilalia spp</t>
  </si>
  <si>
    <t>Cafearana</t>
  </si>
  <si>
    <t>Andira spp</t>
  </si>
  <si>
    <t>Canafístula</t>
  </si>
  <si>
    <t>Cassia ferruginea</t>
  </si>
  <si>
    <t>Casca Grossa</t>
  </si>
  <si>
    <t>Castelo</t>
  </si>
  <si>
    <t>Catiúba</t>
  </si>
  <si>
    <t>Cedro Amargo</t>
  </si>
  <si>
    <t>Cedro Doce</t>
  </si>
  <si>
    <t>Cumarú (Ipê Champanhe)</t>
  </si>
  <si>
    <t>Dipteryx odorata</t>
  </si>
  <si>
    <t>Cupiúba</t>
  </si>
  <si>
    <t>Eucalyptus spp</t>
  </si>
  <si>
    <t>Eucalyptus alba</t>
  </si>
  <si>
    <t>Eucalyptus camaldulensis</t>
  </si>
  <si>
    <t>Eucalyptus citriodora</t>
  </si>
  <si>
    <t>Eucalyptus cloeziana</t>
  </si>
  <si>
    <t>Eucalyptus dunnii</t>
  </si>
  <si>
    <t>Eucalyptus grandis</t>
  </si>
  <si>
    <t>Eucalyptus maculata</t>
  </si>
  <si>
    <t>Eucalyptus maidene</t>
  </si>
  <si>
    <t>Eucalyptus microcorys</t>
  </si>
  <si>
    <t>Eucalyptus paniculata</t>
  </si>
  <si>
    <t>Eucalyptus propinqua</t>
  </si>
  <si>
    <t>Eucalyptus puncata</t>
  </si>
  <si>
    <t>Eucalyptus saligna</t>
  </si>
  <si>
    <t>Eucalyptus tereticornis</t>
  </si>
  <si>
    <t>Eucalyptus triantha</t>
  </si>
  <si>
    <t>Eucalyptus umbra</t>
  </si>
  <si>
    <t>Eucalyptus urophylla</t>
  </si>
  <si>
    <t>Freijó</t>
  </si>
  <si>
    <t>Cordia goeldiana</t>
  </si>
  <si>
    <t>Garapeira</t>
  </si>
  <si>
    <t>Guaiçara</t>
  </si>
  <si>
    <t>Guarucaia</t>
  </si>
  <si>
    <t>Ipê</t>
  </si>
  <si>
    <t>Itaúba</t>
  </si>
  <si>
    <t>Mezilaurus itauba</t>
  </si>
  <si>
    <t>Jatobá</t>
  </si>
  <si>
    <t>Hymenaea spp</t>
  </si>
  <si>
    <t>Louro-preto</t>
  </si>
  <si>
    <t>Maçaranduba</t>
  </si>
  <si>
    <t>Manilkara spp</t>
  </si>
  <si>
    <t>Mandioqueira</t>
  </si>
  <si>
    <t>Oiticica Amarela</t>
  </si>
  <si>
    <t>Peroba Rosa</t>
  </si>
  <si>
    <t>Aspidosperma polyneuron</t>
  </si>
  <si>
    <t>Pinho do paraná</t>
  </si>
  <si>
    <t>Araucaria angustifolia</t>
  </si>
  <si>
    <t>Conífera</t>
  </si>
  <si>
    <t>Pinus bahamensis</t>
  </si>
  <si>
    <t>Pinus caribea</t>
  </si>
  <si>
    <t>Pinus elliottii</t>
  </si>
  <si>
    <t>Pinus honduresnsis</t>
  </si>
  <si>
    <t>Pinus hindurensis</t>
  </si>
  <si>
    <t>Pinus oocarpa</t>
  </si>
  <si>
    <t>Pinus taeda</t>
  </si>
  <si>
    <t>Piquiá</t>
  </si>
  <si>
    <t>Caryocar villosum</t>
  </si>
  <si>
    <t>Quarubarana</t>
  </si>
  <si>
    <t>Sucupira</t>
  </si>
  <si>
    <t>Tatajuba</t>
  </si>
  <si>
    <t>-</t>
  </si>
  <si>
    <t>Dicotiledônia C20</t>
  </si>
  <si>
    <t>Dicotiledônia C30</t>
  </si>
  <si>
    <t>Dicotiledônia C40</t>
  </si>
  <si>
    <t>Dicotiledônia C60</t>
  </si>
  <si>
    <t>Conífera C20</t>
  </si>
  <si>
    <t>Conífera C25</t>
  </si>
  <si>
    <t>Conífera C30</t>
  </si>
  <si>
    <t>Nome científico :</t>
  </si>
  <si>
    <t>Densidade aparente :</t>
  </si>
  <si>
    <t>Módulo de Elasticidade :</t>
  </si>
  <si>
    <t>Resist. à compressão paralela às fibras :</t>
  </si>
  <si>
    <t>Resist. à tração paralela às fibras :</t>
  </si>
  <si>
    <t>Resist. ao cisalhamento :</t>
  </si>
  <si>
    <t>Resist. à tração normal às fibras :</t>
  </si>
  <si>
    <t>Resist. à compressão normal às fibras :</t>
  </si>
  <si>
    <t>Resist. ao embutimento paralelo às fibras :</t>
  </si>
  <si>
    <t>Resist. ao embutimento normal às fibras :</t>
  </si>
  <si>
    <t>fe0</t>
  </si>
  <si>
    <t>fe90</t>
  </si>
  <si>
    <t>fc90</t>
  </si>
  <si>
    <t>ft90</t>
  </si>
  <si>
    <t>ft0</t>
  </si>
  <si>
    <t>fc0</t>
  </si>
  <si>
    <t>Ec0</t>
  </si>
  <si>
    <t>ρap.</t>
  </si>
  <si>
    <t>Peso Aparente Específico (15%)</t>
  </si>
  <si>
    <t>Compressão paralela às fibras (15%)</t>
  </si>
  <si>
    <t>Módulo de Elasticidade (25%)</t>
  </si>
  <si>
    <t>Cisalhamento paralelo às fibras (25%)</t>
  </si>
  <si>
    <t>Tração paralela às fibras (25%)</t>
  </si>
  <si>
    <t>Tração normal às fibras (25%)</t>
  </si>
  <si>
    <t>Valores a U=12%</t>
  </si>
  <si>
    <t>Classe de compressão desta espécie :</t>
  </si>
  <si>
    <t>fv0</t>
  </si>
  <si>
    <t>Tabebuia spp.</t>
  </si>
  <si>
    <t>Contração Radial :</t>
  </si>
  <si>
    <t>Contração Tangencial :</t>
  </si>
  <si>
    <t>Contração Volumétrica :</t>
  </si>
  <si>
    <t>Contr. Radial</t>
  </si>
  <si>
    <t>Contr. Tang.</t>
  </si>
  <si>
    <t>Contr. Vol.</t>
  </si>
  <si>
    <t>Densidade Básica (0%)</t>
  </si>
  <si>
    <t>P(bás.) Kg/m³</t>
  </si>
  <si>
    <t>Valores de cálculo</t>
  </si>
  <si>
    <t>x Kmod =</t>
  </si>
  <si>
    <t>x 0,00 =</t>
  </si>
  <si>
    <t>5 - Transformação de unidades para o cálculo :</t>
  </si>
  <si>
    <t>x 10,2 =</t>
  </si>
  <si>
    <t>Valores utilizados neste cálculo</t>
  </si>
  <si>
    <t>Eucalipto citriodora</t>
  </si>
  <si>
    <t>6 - Propriedades geométricas da seção :</t>
  </si>
  <si>
    <t>Diâmetro (Ø) :</t>
  </si>
  <si>
    <t>Quadrado de Lado :</t>
  </si>
  <si>
    <t>Área da seção (A) :</t>
  </si>
  <si>
    <t>Momento de inércia da seção circular (Jxy) :</t>
  </si>
  <si>
    <t>Momento de inércia do quadrado equiv. (Jxy) :</t>
  </si>
  <si>
    <t>Módulo de resistência seção circular (Wxy) :</t>
  </si>
  <si>
    <t>Módulo de resistência do quadrado equiv. (Wxy) :</t>
  </si>
  <si>
    <t>Raio de Giração (i) :</t>
  </si>
  <si>
    <t>Base (b) :</t>
  </si>
  <si>
    <t>Altura (h) :</t>
  </si>
  <si>
    <t>Momento de inércia (Jx) :</t>
  </si>
  <si>
    <t>Momento de inércia (Jy) :</t>
  </si>
  <si>
    <t>Módulo de resistência (Wx) :</t>
  </si>
  <si>
    <t>Módulo de resistência (Wy) :</t>
  </si>
  <si>
    <t>Raio de Giração (ix) :</t>
  </si>
  <si>
    <t>Raio de Giração (iy) :</t>
  </si>
  <si>
    <t>Momento estático da seção (S) :</t>
  </si>
  <si>
    <t>Tipo de seção :</t>
  </si>
  <si>
    <t>Área adotada :</t>
  </si>
  <si>
    <t>Momento de inércia (Jx) adotado :</t>
  </si>
  <si>
    <t>Centróide superior (ys) adotado :</t>
  </si>
  <si>
    <t>Centróide inferior (yi) adotado :</t>
  </si>
  <si>
    <t>Raio de Giração (ix) adotado :</t>
  </si>
  <si>
    <t>Raio de Giração (iy) adotado :</t>
  </si>
  <si>
    <t>7 - Seção a ser calculada :</t>
  </si>
  <si>
    <t>8 - Esforços solicitantes :</t>
  </si>
  <si>
    <t>Comprimento da peça (L) :</t>
  </si>
  <si>
    <t>Deslocamento limite (Flecha) :</t>
  </si>
  <si>
    <t>Flecha máxima admissível :</t>
  </si>
  <si>
    <t>(*1,3)</t>
  </si>
  <si>
    <t>Estado Limite Último CASO 1:</t>
  </si>
  <si>
    <t>1,4*(G)+1,4*(Q)+1,4*0,5(V1) - Acidentais principais</t>
  </si>
  <si>
    <t>Estado Limite Último CASO 2:</t>
  </si>
  <si>
    <t>1,4*(G)+1,4*0,75*(V1)+1,4*ψ0(Q) - Vento V1 principal</t>
  </si>
  <si>
    <t>Estado Limite Último CASO 3:</t>
  </si>
  <si>
    <t>0,9*(G)-0,75*1,4*(V2) - Vento V2 principal</t>
  </si>
  <si>
    <t>Estado Limite de Utilização:</t>
  </si>
  <si>
    <t>(G)+ψ2*(Q)</t>
  </si>
  <si>
    <t>Espaçamento entre as vigas :</t>
  </si>
  <si>
    <t>Distância (d) de P do 1o. apoio :</t>
  </si>
  <si>
    <r>
      <t>Peso próprio (</t>
    </r>
    <r>
      <rPr>
        <b/>
        <sz val="10"/>
        <rFont val="Arial"/>
        <family val="2"/>
      </rPr>
      <t>q1</t>
    </r>
    <r>
      <rPr>
        <sz val="10"/>
        <rFont val="Arial"/>
        <family val="2"/>
      </rPr>
      <t>) :</t>
    </r>
  </si>
  <si>
    <r>
      <t>Carga permanente por área (</t>
    </r>
    <r>
      <rPr>
        <b/>
        <sz val="10"/>
        <rFont val="Arial"/>
        <family val="2"/>
      </rPr>
      <t>G</t>
    </r>
    <r>
      <rPr>
        <sz val="10"/>
        <rFont val="Arial"/>
        <family val="2"/>
      </rPr>
      <t>) :</t>
    </r>
  </si>
  <si>
    <r>
      <t>Carga variável por área (</t>
    </r>
    <r>
      <rPr>
        <b/>
        <sz val="10"/>
        <rFont val="Arial"/>
        <family val="2"/>
      </rPr>
      <t>Q</t>
    </r>
    <r>
      <rPr>
        <sz val="10"/>
        <rFont val="Arial"/>
        <family val="2"/>
      </rPr>
      <t>) :</t>
    </r>
  </si>
  <si>
    <r>
      <t>Vento sobrepressão (</t>
    </r>
    <r>
      <rPr>
        <b/>
        <sz val="10"/>
        <rFont val="Arial"/>
        <family val="2"/>
      </rPr>
      <t>V1</t>
    </r>
    <r>
      <rPr>
        <sz val="10"/>
        <rFont val="Arial"/>
        <family val="2"/>
      </rPr>
      <t>):</t>
    </r>
  </si>
  <si>
    <r>
      <t>Vento de sucção (</t>
    </r>
    <r>
      <rPr>
        <b/>
        <sz val="10"/>
        <rFont val="Arial"/>
        <family val="2"/>
      </rPr>
      <t>V2</t>
    </r>
    <r>
      <rPr>
        <sz val="10"/>
        <rFont val="Arial"/>
        <family val="2"/>
      </rPr>
      <t>):</t>
    </r>
  </si>
  <si>
    <r>
      <t>E.L.ÚLTIMO - Carga distribuída (</t>
    </r>
    <r>
      <rPr>
        <b/>
        <sz val="10"/>
        <rFont val="Arial"/>
        <family val="2"/>
      </rPr>
      <t>q2</t>
    </r>
    <r>
      <rPr>
        <sz val="10"/>
        <rFont val="Arial"/>
        <family val="2"/>
      </rPr>
      <t>) :</t>
    </r>
  </si>
  <si>
    <r>
      <t>E.L.UTILIZ. - Carga distribuída (</t>
    </r>
    <r>
      <rPr>
        <b/>
        <sz val="10"/>
        <rFont val="Arial"/>
        <family val="2"/>
      </rPr>
      <t>q2</t>
    </r>
    <r>
      <rPr>
        <sz val="10"/>
        <rFont val="Arial"/>
        <family val="2"/>
      </rPr>
      <t>) :</t>
    </r>
  </si>
  <si>
    <r>
      <t>Carga Pontual (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>) :</t>
    </r>
  </si>
  <si>
    <r>
      <t>Carga distribuída (</t>
    </r>
    <r>
      <rPr>
        <b/>
        <sz val="10"/>
        <rFont val="Arial"/>
        <family val="2"/>
      </rPr>
      <t>1,3*q1+q2</t>
    </r>
    <r>
      <rPr>
        <sz val="10"/>
        <rFont val="Arial"/>
        <family val="2"/>
      </rPr>
      <t>) :</t>
    </r>
  </si>
  <si>
    <r>
      <t>Carga distribuída (</t>
    </r>
    <r>
      <rPr>
        <b/>
        <sz val="10"/>
        <rFont val="Arial"/>
        <family val="2"/>
      </rPr>
      <t>q1+q2</t>
    </r>
    <r>
      <rPr>
        <sz val="10"/>
        <rFont val="Arial"/>
        <family val="2"/>
      </rPr>
      <t>) :</t>
    </r>
  </si>
  <si>
    <t>Flecha limite</t>
  </si>
  <si>
    <t>ψ0</t>
  </si>
  <si>
    <t>ψ2</t>
  </si>
  <si>
    <t>Fatores de combinação</t>
  </si>
  <si>
    <t>ψ1</t>
  </si>
  <si>
    <t>pressão dinâmica do vento</t>
  </si>
  <si>
    <t>há predom. de pesos de equip. fixos e de elevadas concent. de pessoas</t>
  </si>
  <si>
    <t>bibliotecas, arquivos, oficinas e garagens</t>
  </si>
  <si>
    <t>pontes de pedestres</t>
  </si>
  <si>
    <t>pontes rodoviárias</t>
  </si>
  <si>
    <t>pontes ferroviárias</t>
  </si>
  <si>
    <t>variações unif. de temp. em relação à média anual local</t>
  </si>
  <si>
    <t>s/ predom. de pesos de equip. fixos nem de elevadas concent. de pessoas</t>
  </si>
  <si>
    <t>Fatores para as combinações</t>
  </si>
  <si>
    <t>9 - Cálculo dos esforços :</t>
  </si>
  <si>
    <t>Peso próprio da peça de madeira :</t>
  </si>
  <si>
    <t>Peso TOTAL da peça :</t>
  </si>
  <si>
    <t>Momento fletor calculado :</t>
  </si>
  <si>
    <t>Cortante V1 lado esquerdo :</t>
  </si>
  <si>
    <t>Cortante V2 lado direito :</t>
  </si>
  <si>
    <t>a) ESTADO LIMITE DE UTILIZAÇÃO :</t>
  </si>
  <si>
    <t xml:space="preserve">CÁLCULO DA FLECHA </t>
  </si>
  <si>
    <t>Flecha calculada :</t>
  </si>
  <si>
    <t>Resolução da equação de 3o. grau (Método de Tartaglia)</t>
  </si>
  <si>
    <t>a(x³)</t>
  </si>
  <si>
    <t>240*q</t>
  </si>
  <si>
    <t>b(x²)</t>
  </si>
  <si>
    <t>384*P</t>
  </si>
  <si>
    <t>c(x)</t>
  </si>
  <si>
    <t>d</t>
  </si>
  <si>
    <t>-18432*E*Jx/desloc.</t>
  </si>
  <si>
    <t>A</t>
  </si>
  <si>
    <t>8*P/3*pp</t>
  </si>
  <si>
    <t>B</t>
  </si>
  <si>
    <t>0</t>
  </si>
  <si>
    <t>C</t>
  </si>
  <si>
    <t>-24*E*Jx/3*pp*desloc</t>
  </si>
  <si>
    <t>B-A²/3</t>
  </si>
  <si>
    <t>p</t>
  </si>
  <si>
    <t>C-AB/3+2A³/27</t>
  </si>
  <si>
    <t>q</t>
  </si>
  <si>
    <t>u³v³</t>
  </si>
  <si>
    <t>-p³/27</t>
  </si>
  <si>
    <t>u³+v³</t>
  </si>
  <si>
    <t>-q</t>
  </si>
  <si>
    <t>D</t>
  </si>
  <si>
    <t>q²/4+p³/27</t>
  </si>
  <si>
    <t>Para D&lt;0</t>
  </si>
  <si>
    <t>E</t>
  </si>
  <si>
    <t>raiz(-D)</t>
  </si>
  <si>
    <t>r</t>
  </si>
  <si>
    <t>raiz(q²/4+E²)</t>
  </si>
  <si>
    <t>t</t>
  </si>
  <si>
    <t>arccos(-q/2r)</t>
  </si>
  <si>
    <t>raiz1</t>
  </si>
  <si>
    <t>2r^(1/3)cos(t/3)-A/3</t>
  </si>
  <si>
    <t>raiz2</t>
  </si>
  <si>
    <t>2r^(1/3)cos((t+2pi)/3)-A/3</t>
  </si>
  <si>
    <t>raiz3</t>
  </si>
  <si>
    <t>2r^(1/3)cos((t+4pi)/3)-A/3</t>
  </si>
  <si>
    <t>Para D&gt;0</t>
  </si>
  <si>
    <t>raiz(D)</t>
  </si>
  <si>
    <t>u3</t>
  </si>
  <si>
    <t>-q/2+E</t>
  </si>
  <si>
    <t>v3</t>
  </si>
  <si>
    <t>-q/2-E</t>
  </si>
  <si>
    <t>u</t>
  </si>
  <si>
    <t>u3^1/3</t>
  </si>
  <si>
    <t>v</t>
  </si>
  <si>
    <t>v3^1/3</t>
  </si>
  <si>
    <t>u+v-A/3</t>
  </si>
  <si>
    <t>d2</t>
  </si>
  <si>
    <t>(A+r1)²+4C/r1</t>
  </si>
  <si>
    <t>-(A+r1)/2+1/2*raiz(-d2)</t>
  </si>
  <si>
    <t>-(A+r1)/2-1/2*raiz(-d2)</t>
  </si>
  <si>
    <t>Vão máximo admissível :</t>
  </si>
  <si>
    <t>b) ESTADO LIMITE ÚLTIMO :</t>
  </si>
  <si>
    <t>CRITÉRIO DO CISALHAMENTO</t>
  </si>
  <si>
    <t>fv0 (limite) :</t>
  </si>
  <si>
    <t>CRITÉRIO DO MOMENTO FLETOR</t>
  </si>
  <si>
    <t>fc0 (limite) :</t>
  </si>
  <si>
    <t>ft0 (limite) :</t>
  </si>
  <si>
    <t>Para a aba superior teremos :</t>
  </si>
  <si>
    <t>Tensão calc. p/ a aba superior :</t>
  </si>
  <si>
    <t>Momento fletor máximo calculado :</t>
  </si>
  <si>
    <t>Para a aba inferior teremos :</t>
  </si>
  <si>
    <t>h/b :</t>
  </si>
  <si>
    <t>l/b :</t>
  </si>
  <si>
    <t>βM :</t>
  </si>
  <si>
    <t>Ec/βM*fc :</t>
  </si>
  <si>
    <t>c) VERIFICAÇÃO DA FLAMBAGEM LATERAL :</t>
  </si>
  <si>
    <t>Não há necessidade de suportes laterais, nem de amarração intermediária</t>
  </si>
  <si>
    <t>Contenção lateral nos apoios, sem necessidade de amarração intermediária</t>
  </si>
  <si>
    <t>Contenção lateral nos apoios, alinhamento da viga mantido com auxílio das terças ou tirantes intermediários</t>
  </si>
  <si>
    <t>Igual ao CASO 4, acrescentando-se diafragmas ou escoras intermediárias com espaçameto não superior a 6h</t>
  </si>
  <si>
    <t>CASO 1 :</t>
  </si>
  <si>
    <t>CASO 2 :</t>
  </si>
  <si>
    <t>CASO 3 :</t>
  </si>
  <si>
    <t>CASO 4 :</t>
  </si>
  <si>
    <t>CASO 5 :</t>
  </si>
  <si>
    <t>CASO 6 :</t>
  </si>
  <si>
    <t>Contenção lateral nos apoios, o alinham. do lado comprimido deve ser mantido por ligação direta com o estrado ou travessas</t>
  </si>
  <si>
    <t>Contenção lateral nos apoios, os lados comprim. e trac. devem ser firmemente amarrados, para manter o alinhamento</t>
  </si>
  <si>
    <t>Distância máxima entre os travamentos :</t>
  </si>
  <si>
    <t>d) DIMENSIONAMENTO DO APOIO DA VIGA :</t>
  </si>
  <si>
    <t>Reação de apoio (Rd) :</t>
  </si>
  <si>
    <t>Largura da peça apoiada :</t>
  </si>
  <si>
    <t>Comprimento necessário :</t>
  </si>
  <si>
    <t>Compressão normal fc90 :</t>
  </si>
  <si>
    <t>para que o apoio absorva a carga de cisalhamento.</t>
  </si>
  <si>
    <t>PARA O ESTADO LIMITE ÚLTIMO</t>
  </si>
  <si>
    <t>PARA O ESTADO LIMITE DE UTILIZAÇÃO</t>
  </si>
  <si>
    <t>Base (b1) :</t>
  </si>
  <si>
    <t>Altura (h1) :</t>
  </si>
  <si>
    <t>Base (b2) :</t>
  </si>
  <si>
    <t>Altura (h2) :</t>
  </si>
  <si>
    <t>Momento de inércia Jx efetivo (0,95) :</t>
  </si>
  <si>
    <t>Momento de inércia Jy efetivo (0,95) :</t>
  </si>
  <si>
    <t>Módulo de resist. à compressão (Wsup.) :</t>
  </si>
  <si>
    <t>Módulo de resist. à tração (Winf.) :</t>
  </si>
  <si>
    <t>ysuperior :</t>
  </si>
  <si>
    <t>yinferior :</t>
  </si>
  <si>
    <t>Módulo de resistência (Wsup.) adotado :</t>
  </si>
  <si>
    <t>Módulo de resistência (Winf.) adotado :</t>
  </si>
  <si>
    <t>Tensão de cisalhamento máxima :</t>
  </si>
  <si>
    <t>FLECHA</t>
  </si>
  <si>
    <t>ABA INF.</t>
  </si>
  <si>
    <t>ABA SUP.</t>
  </si>
  <si>
    <t>BASE</t>
  </si>
  <si>
    <t>ALTURA</t>
  </si>
  <si>
    <t>DIÂMETRO</t>
  </si>
  <si>
    <t>BASE1</t>
  </si>
  <si>
    <t>ALTURA1</t>
  </si>
  <si>
    <t>BASE2</t>
  </si>
  <si>
    <t>ALTURA2</t>
  </si>
  <si>
    <t>Espaç. :</t>
  </si>
  <si>
    <t>Vão "L" :</t>
  </si>
  <si>
    <t>ESPAÇAM.</t>
  </si>
  <si>
    <t>VÃO</t>
  </si>
  <si>
    <t>FLAMB. LAT.</t>
  </si>
  <si>
    <t>Momento estático do semi-círculo (Ms) :</t>
  </si>
  <si>
    <t>Momento estático do quadrado (Ms) :</t>
  </si>
  <si>
    <t>Momento estático (Ms) da seção adotato :</t>
  </si>
  <si>
    <t>Momento estático da seção (Ms) :</t>
  </si>
  <si>
    <t>Momento de inércia Jx efetivo (0,85) :</t>
  </si>
  <si>
    <t>Momento de inércia Jy efetivo (0,85) :</t>
  </si>
  <si>
    <t>Madeira adotada :</t>
  </si>
  <si>
    <t>Largura efetiva da peça no apoio :</t>
  </si>
  <si>
    <t>Espaçam. (e) :</t>
  </si>
  <si>
    <t>CISALHAM.</t>
  </si>
  <si>
    <t>Carga :</t>
  </si>
  <si>
    <t>C20</t>
  </si>
  <si>
    <t>C30</t>
  </si>
  <si>
    <t>C40</t>
  </si>
  <si>
    <t>C60</t>
  </si>
  <si>
    <t>C25</t>
  </si>
  <si>
    <t>q/8EI</t>
  </si>
  <si>
    <t>P/3EI</t>
  </si>
  <si>
    <t>-1/desloc</t>
  </si>
  <si>
    <t>Cálculo do vão máximo admissível - VIGAS BIAPOIADAS</t>
  </si>
  <si>
    <t>Cálculo do vão máximo admissível - VIGAS EM BALANÇO</t>
  </si>
  <si>
    <t>Tensão calc. p/ a aba inferior :</t>
  </si>
  <si>
    <t>PERM.</t>
  </si>
  <si>
    <t>ACID.</t>
  </si>
  <si>
    <t>POL.</t>
  </si>
  <si>
    <t>CM.</t>
  </si>
  <si>
    <t>Chapas</t>
  </si>
  <si>
    <t>Eucalipto grandis</t>
  </si>
  <si>
    <t>Parâmetros de flambagem</t>
  </si>
  <si>
    <t>Tipos de seções</t>
  </si>
  <si>
    <t>Circular</t>
  </si>
  <si>
    <t>Retangular Simples</t>
  </si>
  <si>
    <t>Retangular Dupla</t>
  </si>
  <si>
    <t>Retangular Tripla</t>
  </si>
  <si>
    <t>Retangular Quadrupla</t>
  </si>
  <si>
    <t>Retangular Quíntupla</t>
  </si>
  <si>
    <t>Simples com 2 tábuas</t>
  </si>
  <si>
    <t>Simples com 1 tábua</t>
  </si>
  <si>
    <t>Dupla com 1 tábua</t>
  </si>
  <si>
    <t>Dupla com 2 tábuas</t>
  </si>
  <si>
    <t>A de infl :</t>
  </si>
  <si>
    <t>Eng. Alan Dias (alandias@uol.com.br)</t>
  </si>
  <si>
    <t>V. 4.0</t>
  </si>
  <si>
    <t>AMARU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</si>
</sst>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164" formatCode="0.0"/>
    <numFmt numFmtId="165" formatCode="0.000"/>
    <numFmt numFmtId="166" formatCode="0.00&quot;cm&quot;"/>
    <numFmt numFmtId="167" formatCode="0\ &quot;Kgf/m³&quot;"/>
    <numFmt numFmtId="168" formatCode="0.00\ &quot;MPa&quot;"/>
    <numFmt numFmtId="169" formatCode="&quot;Kmod=&quot;0.000"/>
    <numFmt numFmtId="170" formatCode="0.00\ &quot;Kgf/cm²&quot;"/>
    <numFmt numFmtId="171" formatCode="0.00\ &quot;cm&quot;"/>
    <numFmt numFmtId="172" formatCode="0.00\ &quot;cm²&quot;"/>
    <numFmt numFmtId="173" formatCode="0.00\ &quot;cm4&quot;"/>
    <numFmt numFmtId="174" formatCode="0.00\ &quot;cm³&quot;"/>
    <numFmt numFmtId="175" formatCode="0.00\ &quot;cm &quot;"/>
    <numFmt numFmtId="176" formatCode="&quot;d = &quot;\ 0.00\ &quot;cm&quot;"/>
    <numFmt numFmtId="177" formatCode="&quot;P = &quot;0.00&quot; tf&quot;"/>
    <numFmt numFmtId="178" formatCode="0.00\ &quot;m&quot;"/>
    <numFmt numFmtId="179" formatCode="&quot;=&quot;\ 0.00\ &quot;cm&quot;"/>
    <numFmt numFmtId="180" formatCode="&quot;=&quot;\ 0.00\ &quot;tf/m²&quot;"/>
    <numFmt numFmtId="181" formatCode="&quot;=&quot;\ 0.00\ &quot;mm&quot;"/>
    <numFmt numFmtId="182" formatCode="0.00000\ &quot;tf/m&quot;"/>
    <numFmt numFmtId="183" formatCode="0.00\ &quot;Kgf/m²&quot;"/>
    <numFmt numFmtId="184" formatCode="0.00\ &quot;tf/m²&quot;"/>
    <numFmt numFmtId="185" formatCode="&quot;=&quot;\ 0.00\ &quot;Kgf&quot;"/>
    <numFmt numFmtId="186" formatCode="0.00&quot; m&quot;"/>
    <numFmt numFmtId="187" formatCode="0.00&quot; Kgf/m²&quot;"/>
    <numFmt numFmtId="188" formatCode="&quot;e = &quot;0.00&quot; cm&quot;"/>
    <numFmt numFmtId="189" formatCode="0.00\ &quot;Kgf/m&quot;"/>
    <numFmt numFmtId="190" formatCode="0.00\ &quot;Kg&quot;"/>
    <numFmt numFmtId="191" formatCode="0.00000\ &quot;tf x m&quot;"/>
    <numFmt numFmtId="192" formatCode="0.00&quot; tf&quot;"/>
    <numFmt numFmtId="193" formatCode="0.00000\ &quot;tf&quot;"/>
    <numFmt numFmtId="194" formatCode="&quot;(L/&quot;0&quot;)&quot;"/>
    <numFmt numFmtId="195" formatCode="0.00\ &quot;Kgf&quot;"/>
    <numFmt numFmtId="196" formatCode="&quot;L = &quot;0.00&quot; cm&quot;"/>
    <numFmt numFmtId="197" formatCode="&quot;(&quot;0.00\ &quot;cm)&quot;"/>
    <numFmt numFmtId="198" formatCode="0.0000000000"/>
    <numFmt numFmtId="199" formatCode="#\ ??/??&quot;''&quot;"/>
    <numFmt numFmtId="200" formatCode="0.00&quot; m²&quot;"/>
  </numFmts>
  <fonts count="46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8"/>
      <name val="Tahoma"/>
      <family val="2"/>
    </font>
    <font>
      <i/>
      <sz val="8"/>
      <name val="Arial"/>
      <family val="2"/>
    </font>
    <font>
      <sz val="8"/>
      <name val="Arial"/>
      <family val="2"/>
    </font>
    <font>
      <i/>
      <sz val="8"/>
      <color indexed="12"/>
      <name val="Arial"/>
      <family val="2"/>
    </font>
    <font>
      <i/>
      <sz val="11"/>
      <color theme="1"/>
      <name val="Arial"/>
      <family val="2"/>
      <scheme val="minor"/>
    </font>
    <font>
      <i/>
      <u/>
      <sz val="11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b/>
      <sz val="9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sz val="9"/>
      <color indexed="18"/>
      <name val="Courier New"/>
      <family val="3"/>
    </font>
    <font>
      <sz val="9"/>
      <color indexed="18"/>
      <name val="Franklin Gothic Book"/>
      <family val="2"/>
      <scheme val="major"/>
    </font>
    <font>
      <b/>
      <sz val="10"/>
      <color theme="1"/>
      <name val="Arial"/>
      <family val="2"/>
      <scheme val="minor"/>
    </font>
    <font>
      <sz val="10"/>
      <name val="Arial"/>
      <family val="2"/>
    </font>
    <font>
      <b/>
      <sz val="10"/>
      <color indexed="18"/>
      <name val="Franklin Gothic Book"/>
      <family val="2"/>
      <scheme val="major"/>
    </font>
    <font>
      <sz val="10"/>
      <color indexed="18"/>
      <name val="Franklin Gothic Book"/>
      <family val="2"/>
      <scheme val="major"/>
    </font>
    <font>
      <b/>
      <i/>
      <sz val="11"/>
      <color rgb="FFFF0000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0"/>
      <name val="Arial"/>
      <family val="2"/>
    </font>
    <font>
      <i/>
      <sz val="10"/>
      <color indexed="18"/>
      <name val="Franklin Gothic Book"/>
      <family val="2"/>
      <scheme val="major"/>
    </font>
    <font>
      <sz val="9"/>
      <name val="Impact"/>
      <family val="2"/>
    </font>
    <font>
      <b/>
      <sz val="9"/>
      <name val="Courier New"/>
      <family val="3"/>
    </font>
    <font>
      <b/>
      <u/>
      <sz val="11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sz val="12"/>
      <color indexed="10"/>
      <name val="Arial"/>
      <family val="2"/>
    </font>
    <font>
      <b/>
      <sz val="12"/>
      <color rgb="FFFF0000"/>
      <name val="Arial"/>
      <family val="2"/>
      <scheme val="minor"/>
    </font>
    <font>
      <sz val="10"/>
      <name val="Arial"/>
      <family val="2"/>
      <scheme val="minor"/>
    </font>
    <font>
      <sz val="11"/>
      <color indexed="18"/>
      <name val="Arial"/>
      <family val="2"/>
      <scheme val="minor"/>
    </font>
    <font>
      <sz val="8"/>
      <color indexed="62"/>
      <name val="Franklin Gothic Book"/>
      <family val="2"/>
      <scheme val="major"/>
    </font>
    <font>
      <b/>
      <sz val="10"/>
      <color indexed="10"/>
      <name val="Arial"/>
      <family val="2"/>
    </font>
    <font>
      <sz val="9"/>
      <name val="Arial"/>
      <family val="2"/>
      <scheme val="minor"/>
    </font>
    <font>
      <sz val="10"/>
      <color rgb="FF002060"/>
      <name val="Arial"/>
      <family val="2"/>
      <scheme val="minor"/>
    </font>
    <font>
      <b/>
      <sz val="11"/>
      <color indexed="18"/>
      <name val="Franklin Gothic Book"/>
      <family val="2"/>
      <scheme val="major"/>
    </font>
    <font>
      <b/>
      <sz val="20"/>
      <color theme="0"/>
      <name val="Arial"/>
      <family val="2"/>
      <scheme val="minor"/>
    </font>
    <font>
      <sz val="9"/>
      <color rgb="FFFF0000"/>
      <name val="Arial"/>
      <family val="2"/>
      <scheme val="minor"/>
    </font>
    <font>
      <b/>
      <sz val="9"/>
      <color indexed="18"/>
      <name val="Franklin Gothic Book"/>
      <family val="2"/>
      <scheme val="major"/>
    </font>
    <font>
      <sz val="11"/>
      <color theme="5" tint="0.39997558519241921"/>
      <name val="Arial"/>
      <family val="2"/>
      <scheme val="minor"/>
    </font>
    <font>
      <u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0" fillId="0" borderId="0"/>
  </cellStyleXfs>
  <cellXfs count="27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8" xfId="0" applyBorder="1"/>
    <xf numFmtId="2" fontId="0" fillId="0" borderId="9" xfId="0" applyNumberFormat="1" applyBorder="1"/>
    <xf numFmtId="0" fontId="0" fillId="0" borderId="10" xfId="0" applyBorder="1"/>
    <xf numFmtId="0" fontId="0" fillId="0" borderId="11" xfId="0" applyBorder="1"/>
    <xf numFmtId="2" fontId="0" fillId="0" borderId="12" xfId="0" applyNumberFormat="1" applyBorder="1"/>
    <xf numFmtId="2" fontId="0" fillId="0" borderId="9" xfId="0" applyNumberFormat="1" applyFill="1" applyBorder="1"/>
    <xf numFmtId="2" fontId="0" fillId="0" borderId="12" xfId="0" applyNumberFormat="1" applyFill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5" fillId="0" borderId="0" xfId="0" applyFont="1" applyFill="1" applyBorder="1" applyAlignment="1" applyProtection="1">
      <protection hidden="1"/>
    </xf>
    <xf numFmtId="0" fontId="7" fillId="0" borderId="0" xfId="0" applyFont="1"/>
    <xf numFmtId="0" fontId="9" fillId="0" borderId="0" xfId="0" applyFont="1"/>
    <xf numFmtId="0" fontId="10" fillId="0" borderId="0" xfId="0" applyFont="1"/>
    <xf numFmtId="166" fontId="10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 applyProtection="1">
      <protection hidden="1"/>
    </xf>
    <xf numFmtId="0" fontId="4" fillId="0" borderId="1" xfId="0" applyFont="1" applyFill="1" applyBorder="1" applyProtection="1">
      <protection hidden="1"/>
    </xf>
    <xf numFmtId="0" fontId="4" fillId="7" borderId="1" xfId="0" applyFont="1" applyFill="1" applyBorder="1" applyProtection="1">
      <protection hidden="1"/>
    </xf>
    <xf numFmtId="0" fontId="11" fillId="3" borderId="0" xfId="0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Protection="1">
      <protection hidden="1"/>
    </xf>
    <xf numFmtId="0" fontId="12" fillId="2" borderId="1" xfId="0" applyFont="1" applyFill="1" applyBorder="1" applyAlignment="1" applyProtection="1">
      <alignment horizontal="center"/>
      <protection hidden="1"/>
    </xf>
    <xf numFmtId="164" fontId="12" fillId="2" borderId="1" xfId="0" applyNumberFormat="1" applyFont="1" applyFill="1" applyBorder="1" applyAlignment="1" applyProtection="1">
      <alignment horizontal="center"/>
      <protection hidden="1"/>
    </xf>
    <xf numFmtId="1" fontId="12" fillId="2" borderId="1" xfId="0" applyNumberFormat="1" applyFont="1" applyFill="1" applyBorder="1" applyAlignment="1" applyProtection="1">
      <alignment horizontal="center"/>
      <protection hidden="1"/>
    </xf>
    <xf numFmtId="1" fontId="13" fillId="0" borderId="20" xfId="0" applyNumberFormat="1" applyFont="1" applyFill="1" applyBorder="1" applyAlignment="1" applyProtection="1">
      <alignment horizontal="center"/>
      <protection hidden="1"/>
    </xf>
    <xf numFmtId="0" fontId="13" fillId="0" borderId="20" xfId="0" applyFont="1" applyFill="1" applyBorder="1" applyProtection="1">
      <protection hidden="1"/>
    </xf>
    <xf numFmtId="164" fontId="13" fillId="0" borderId="20" xfId="0" applyNumberFormat="1" applyFont="1" applyFill="1" applyBorder="1" applyAlignment="1" applyProtection="1">
      <alignment horizontal="center"/>
      <protection hidden="1"/>
    </xf>
    <xf numFmtId="0" fontId="11" fillId="0" borderId="20" xfId="0" applyFont="1" applyFill="1" applyBorder="1" applyAlignment="1" applyProtection="1">
      <alignment horizontal="left"/>
      <protection hidden="1"/>
    </xf>
    <xf numFmtId="0" fontId="13" fillId="0" borderId="20" xfId="0" applyFont="1" applyFill="1" applyBorder="1" applyAlignment="1" applyProtection="1">
      <alignment horizontal="center"/>
      <protection hidden="1"/>
    </xf>
    <xf numFmtId="0" fontId="13" fillId="0" borderId="1" xfId="0" applyFont="1" applyFill="1" applyBorder="1" applyProtection="1">
      <protection hidden="1"/>
    </xf>
    <xf numFmtId="164" fontId="13" fillId="0" borderId="1" xfId="0" applyNumberFormat="1" applyFont="1" applyFill="1" applyBorder="1" applyAlignment="1" applyProtection="1">
      <alignment horizontal="center"/>
      <protection hidden="1"/>
    </xf>
    <xf numFmtId="0" fontId="11" fillId="0" borderId="1" xfId="0" applyFont="1" applyFill="1" applyBorder="1" applyAlignment="1" applyProtection="1">
      <alignment horizontal="left"/>
      <protection hidden="1"/>
    </xf>
    <xf numFmtId="0" fontId="13" fillId="7" borderId="1" xfId="0" applyFont="1" applyFill="1" applyBorder="1" applyProtection="1">
      <protection hidden="1"/>
    </xf>
    <xf numFmtId="164" fontId="13" fillId="7" borderId="1" xfId="0" applyNumberFormat="1" applyFont="1" applyFill="1" applyBorder="1" applyAlignment="1" applyProtection="1">
      <alignment horizontal="center"/>
      <protection hidden="1"/>
    </xf>
    <xf numFmtId="0" fontId="11" fillId="7" borderId="1" xfId="0" applyFont="1" applyFill="1" applyBorder="1" applyAlignment="1" applyProtection="1">
      <alignment horizontal="left"/>
      <protection hidden="1"/>
    </xf>
    <xf numFmtId="0" fontId="13" fillId="7" borderId="1" xfId="0" applyFont="1" applyFill="1" applyBorder="1" applyAlignment="1" applyProtection="1">
      <alignment horizontal="center"/>
      <protection hidden="1"/>
    </xf>
    <xf numFmtId="0" fontId="13" fillId="0" borderId="1" xfId="0" applyFont="1" applyFill="1" applyBorder="1" applyAlignment="1" applyProtection="1">
      <alignment horizontal="center"/>
      <protection hidden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164" fontId="11" fillId="3" borderId="1" xfId="0" applyNumberFormat="1" applyFont="1" applyFill="1" applyBorder="1" applyAlignment="1" applyProtection="1">
      <alignment horizontal="center" vertical="center" wrapText="1"/>
      <protection hidden="1"/>
    </xf>
    <xf numFmtId="1" fontId="11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1" fontId="13" fillId="9" borderId="20" xfId="0" applyNumberFormat="1" applyFont="1" applyFill="1" applyBorder="1" applyAlignment="1" applyProtection="1">
      <alignment horizontal="center"/>
      <protection hidden="1"/>
    </xf>
    <xf numFmtId="0" fontId="13" fillId="9" borderId="1" xfId="0" applyFont="1" applyFill="1" applyBorder="1" applyProtection="1">
      <protection hidden="1"/>
    </xf>
    <xf numFmtId="164" fontId="13" fillId="9" borderId="1" xfId="0" applyNumberFormat="1" applyFont="1" applyFill="1" applyBorder="1" applyAlignment="1" applyProtection="1">
      <alignment horizontal="center"/>
      <protection hidden="1"/>
    </xf>
    <xf numFmtId="0" fontId="11" fillId="9" borderId="1" xfId="0" applyFont="1" applyFill="1" applyBorder="1" applyAlignment="1" applyProtection="1">
      <alignment horizontal="left"/>
      <protection hidden="1"/>
    </xf>
    <xf numFmtId="0" fontId="13" fillId="9" borderId="20" xfId="0" applyFont="1" applyFill="1" applyBorder="1" applyAlignment="1" applyProtection="1">
      <alignment horizontal="center"/>
      <protection hidden="1"/>
    </xf>
    <xf numFmtId="0" fontId="9" fillId="9" borderId="0" xfId="0" applyFont="1" applyFill="1"/>
    <xf numFmtId="10" fontId="9" fillId="0" borderId="0" xfId="0" applyNumberFormat="1" applyFont="1"/>
    <xf numFmtId="10" fontId="12" fillId="2" borderId="1" xfId="0" applyNumberFormat="1" applyFont="1" applyFill="1" applyBorder="1" applyAlignment="1" applyProtection="1">
      <alignment horizontal="center"/>
      <protection hidden="1"/>
    </xf>
    <xf numFmtId="10" fontId="9" fillId="9" borderId="1" xfId="0" applyNumberFormat="1" applyFont="1" applyFill="1" applyBorder="1"/>
    <xf numFmtId="10" fontId="9" fillId="0" borderId="1" xfId="0" applyNumberFormat="1" applyFont="1" applyBorder="1"/>
    <xf numFmtId="10" fontId="0" fillId="0" borderId="1" xfId="0" applyNumberFormat="1" applyBorder="1" applyAlignment="1">
      <alignment horizontal="center"/>
    </xf>
    <xf numFmtId="0" fontId="0" fillId="0" borderId="29" xfId="0" applyBorder="1"/>
    <xf numFmtId="0" fontId="0" fillId="0" borderId="30" xfId="0" applyBorder="1"/>
    <xf numFmtId="0" fontId="9" fillId="0" borderId="29" xfId="0" applyFont="1" applyBorder="1"/>
    <xf numFmtId="0" fontId="9" fillId="0" borderId="30" xfId="0" applyFont="1" applyBorder="1"/>
    <xf numFmtId="0" fontId="8" fillId="0" borderId="0" xfId="0" applyFont="1" applyAlignment="1">
      <alignment horizontal="right"/>
    </xf>
    <xf numFmtId="169" fontId="16" fillId="0" borderId="0" xfId="0" applyNumberFormat="1" applyFont="1"/>
    <xf numFmtId="167" fontId="10" fillId="0" borderId="1" xfId="0" applyNumberFormat="1" applyFont="1" applyBorder="1" applyAlignment="1">
      <alignment horizontal="center"/>
    </xf>
    <xf numFmtId="168" fontId="10" fillId="0" borderId="1" xfId="0" applyNumberFormat="1" applyFont="1" applyBorder="1" applyAlignment="1">
      <alignment horizontal="center"/>
    </xf>
    <xf numFmtId="168" fontId="1" fillId="5" borderId="1" xfId="0" applyNumberFormat="1" applyFont="1" applyFill="1" applyBorder="1" applyAlignment="1">
      <alignment horizontal="center"/>
    </xf>
    <xf numFmtId="168" fontId="0" fillId="0" borderId="1" xfId="0" applyNumberFormat="1" applyBorder="1"/>
    <xf numFmtId="0" fontId="13" fillId="9" borderId="20" xfId="0" applyFont="1" applyFill="1" applyBorder="1" applyProtection="1">
      <protection hidden="1"/>
    </xf>
    <xf numFmtId="164" fontId="13" fillId="9" borderId="20" xfId="0" applyNumberFormat="1" applyFont="1" applyFill="1" applyBorder="1" applyAlignment="1" applyProtection="1">
      <alignment horizontal="center"/>
      <protection hidden="1"/>
    </xf>
    <xf numFmtId="0" fontId="11" fillId="9" borderId="20" xfId="0" applyFont="1" applyFill="1" applyBorder="1" applyAlignment="1" applyProtection="1">
      <alignment horizontal="left"/>
      <protection hidden="1"/>
    </xf>
    <xf numFmtId="0" fontId="0" fillId="0" borderId="0" xfId="0" applyBorder="1" applyAlignment="1"/>
    <xf numFmtId="165" fontId="19" fillId="4" borderId="1" xfId="0" applyNumberFormat="1" applyFont="1" applyFill="1" applyBorder="1" applyAlignment="1">
      <alignment horizontal="center"/>
    </xf>
    <xf numFmtId="171" fontId="1" fillId="0" borderId="0" xfId="0" applyNumberFormat="1" applyFont="1" applyAlignment="1">
      <alignment horizontal="center"/>
    </xf>
    <xf numFmtId="175" fontId="18" fillId="0" borderId="0" xfId="0" applyNumberFormat="1" applyFont="1" applyFill="1" applyBorder="1" applyAlignment="1" applyProtection="1">
      <alignment horizontal="center"/>
      <protection hidden="1"/>
    </xf>
    <xf numFmtId="172" fontId="18" fillId="0" borderId="0" xfId="0" applyNumberFormat="1" applyFont="1" applyFill="1" applyBorder="1" applyAlignment="1" applyProtection="1">
      <alignment horizontal="center"/>
      <protection hidden="1"/>
    </xf>
    <xf numFmtId="173" fontId="18" fillId="0" borderId="0" xfId="0" applyNumberFormat="1" applyFont="1" applyFill="1" applyBorder="1" applyAlignment="1" applyProtection="1">
      <alignment horizontal="center"/>
      <protection hidden="1"/>
    </xf>
    <xf numFmtId="174" fontId="18" fillId="0" borderId="0" xfId="0" applyNumberFormat="1" applyFont="1" applyFill="1" applyBorder="1" applyAlignment="1" applyProtection="1">
      <alignment horizontal="center"/>
      <protection hidden="1"/>
    </xf>
    <xf numFmtId="0" fontId="0" fillId="0" borderId="29" xfId="0" applyBorder="1" applyAlignment="1"/>
    <xf numFmtId="0" fontId="0" fillId="0" borderId="30" xfId="0" applyBorder="1" applyAlignment="1"/>
    <xf numFmtId="0" fontId="15" fillId="0" borderId="29" xfId="0" applyFont="1" applyBorder="1"/>
    <xf numFmtId="0" fontId="10" fillId="0" borderId="29" xfId="0" applyFont="1" applyBorder="1"/>
    <xf numFmtId="0" fontId="10" fillId="0" borderId="30" xfId="0" applyFont="1" applyBorder="1"/>
    <xf numFmtId="175" fontId="22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Border="1"/>
    <xf numFmtId="0" fontId="20" fillId="0" borderId="0" xfId="0" applyFont="1" applyFill="1" applyBorder="1" applyAlignment="1" applyProtection="1">
      <protection hidden="1"/>
    </xf>
    <xf numFmtId="0" fontId="10" fillId="0" borderId="0" xfId="0" applyFont="1" applyBorder="1"/>
    <xf numFmtId="179" fontId="18" fillId="0" borderId="0" xfId="0" applyNumberFormat="1" applyFont="1" applyFill="1" applyBorder="1" applyAlignment="1" applyProtection="1">
      <alignment horizontal="left"/>
      <protection hidden="1"/>
    </xf>
    <xf numFmtId="186" fontId="1" fillId="0" borderId="0" xfId="0" applyNumberFormat="1" applyFont="1" applyAlignment="1">
      <alignment horizontal="center"/>
    </xf>
    <xf numFmtId="182" fontId="22" fillId="0" borderId="0" xfId="0" applyNumberFormat="1" applyFont="1" applyFill="1" applyBorder="1" applyAlignment="1" applyProtection="1">
      <alignment horizontal="center"/>
      <protection hidden="1"/>
    </xf>
    <xf numFmtId="181" fontId="18" fillId="0" borderId="0" xfId="0" applyNumberFormat="1" applyFont="1" applyFill="1" applyBorder="1" applyAlignment="1" applyProtection="1">
      <alignment horizontal="left"/>
      <protection hidden="1"/>
    </xf>
    <xf numFmtId="180" fontId="18" fillId="0" borderId="0" xfId="0" applyNumberFormat="1" applyFont="1" applyFill="1" applyBorder="1" applyAlignment="1" applyProtection="1">
      <alignment horizontal="left"/>
      <protection hidden="1"/>
    </xf>
    <xf numFmtId="184" fontId="18" fillId="0" borderId="0" xfId="0" applyNumberFormat="1" applyFont="1" applyFill="1" applyBorder="1" applyAlignment="1" applyProtection="1">
      <alignment horizontal="center"/>
      <protection hidden="1"/>
    </xf>
    <xf numFmtId="183" fontId="22" fillId="0" borderId="0" xfId="0" applyNumberFormat="1" applyFont="1" applyFill="1" applyBorder="1" applyProtection="1">
      <protection hidden="1"/>
    </xf>
    <xf numFmtId="185" fontId="18" fillId="0" borderId="0" xfId="0" applyNumberFormat="1" applyFont="1" applyFill="1" applyBorder="1" applyAlignment="1" applyProtection="1">
      <alignment horizontal="left"/>
      <protection hidden="1"/>
    </xf>
    <xf numFmtId="180" fontId="26" fillId="0" borderId="0" xfId="0" applyNumberFormat="1" applyFont="1" applyFill="1" applyBorder="1" applyAlignment="1" applyProtection="1">
      <alignment horizontal="left"/>
      <protection hidden="1"/>
    </xf>
    <xf numFmtId="2" fontId="17" fillId="0" borderId="1" xfId="0" applyNumberFormat="1" applyFont="1" applyFill="1" applyBorder="1" applyAlignment="1" applyProtection="1">
      <alignment horizontal="center"/>
      <protection hidden="1"/>
    </xf>
    <xf numFmtId="2" fontId="12" fillId="2" borderId="34" xfId="0" applyNumberFormat="1" applyFont="1" applyFill="1" applyBorder="1" applyAlignment="1" applyProtection="1">
      <alignment horizontal="center"/>
      <protection hidden="1"/>
    </xf>
    <xf numFmtId="2" fontId="12" fillId="2" borderId="35" xfId="0" applyNumberFormat="1" applyFont="1" applyFill="1" applyBorder="1" applyAlignment="1" applyProtection="1">
      <alignment horizontal="center"/>
      <protection hidden="1"/>
    </xf>
    <xf numFmtId="2" fontId="12" fillId="2" borderId="36" xfId="0" applyNumberFormat="1" applyFont="1" applyFill="1" applyBorder="1" applyAlignment="1" applyProtection="1">
      <alignment horizontal="center"/>
      <protection hidden="1"/>
    </xf>
    <xf numFmtId="0" fontId="0" fillId="0" borderId="13" xfId="0" applyBorder="1" applyAlignment="1">
      <alignment horizontal="center"/>
    </xf>
    <xf numFmtId="2" fontId="28" fillId="0" borderId="14" xfId="0" applyNumberFormat="1" applyFont="1" applyFill="1" applyBorder="1" applyAlignment="1" applyProtection="1">
      <alignment horizontal="center"/>
      <protection hidden="1"/>
    </xf>
    <xf numFmtId="2" fontId="28" fillId="0" borderId="15" xfId="0" applyNumberFormat="1" applyFont="1" applyFill="1" applyBorder="1" applyAlignment="1" applyProtection="1">
      <alignment horizontal="center"/>
      <protection hidden="1"/>
    </xf>
    <xf numFmtId="0" fontId="0" fillId="0" borderId="10" xfId="0" applyBorder="1" applyAlignment="1">
      <alignment horizontal="center"/>
    </xf>
    <xf numFmtId="2" fontId="28" fillId="0" borderId="11" xfId="0" applyNumberFormat="1" applyFont="1" applyFill="1" applyBorder="1" applyAlignment="1" applyProtection="1">
      <alignment horizontal="center"/>
      <protection hidden="1"/>
    </xf>
    <xf numFmtId="2" fontId="28" fillId="0" borderId="12" xfId="0" applyNumberFormat="1" applyFont="1" applyFill="1" applyBorder="1" applyAlignment="1" applyProtection="1">
      <alignment horizontal="center"/>
      <protection hidden="1"/>
    </xf>
    <xf numFmtId="0" fontId="0" fillId="0" borderId="8" xfId="0" applyBorder="1" applyAlignment="1">
      <alignment horizontal="center"/>
    </xf>
    <xf numFmtId="2" fontId="28" fillId="0" borderId="1" xfId="0" applyNumberFormat="1" applyFont="1" applyFill="1" applyBorder="1" applyAlignment="1" applyProtection="1">
      <alignment horizontal="center"/>
      <protection hidden="1"/>
    </xf>
    <xf numFmtId="2" fontId="28" fillId="0" borderId="9" xfId="0" applyNumberFormat="1" applyFont="1" applyFill="1" applyBorder="1" applyAlignment="1" applyProtection="1">
      <alignment horizontal="center"/>
      <protection hidden="1"/>
    </xf>
    <xf numFmtId="2" fontId="12" fillId="4" borderId="1" xfId="0" applyNumberFormat="1" applyFont="1" applyFill="1" applyBorder="1" applyAlignment="1" applyProtection="1">
      <alignment horizontal="center"/>
      <protection hidden="1"/>
    </xf>
    <xf numFmtId="183" fontId="21" fillId="0" borderId="0" xfId="0" applyNumberFormat="1" applyFont="1" applyFill="1" applyBorder="1" applyAlignment="1" applyProtection="1">
      <alignment horizontal="center"/>
      <protection hidden="1"/>
    </xf>
    <xf numFmtId="170" fontId="1" fillId="5" borderId="20" xfId="0" applyNumberFormat="1" applyFont="1" applyFill="1" applyBorder="1"/>
    <xf numFmtId="170" fontId="1" fillId="5" borderId="1" xfId="0" applyNumberFormat="1" applyFont="1" applyFill="1" applyBorder="1"/>
    <xf numFmtId="190" fontId="22" fillId="0" borderId="0" xfId="0" applyNumberFormat="1" applyFont="1" applyFill="1" applyBorder="1" applyAlignment="1" applyProtection="1">
      <alignment horizontal="center"/>
      <protection hidden="1"/>
    </xf>
    <xf numFmtId="189" fontId="2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/>
    <xf numFmtId="0" fontId="1" fillId="12" borderId="0" xfId="0" applyFont="1" applyFill="1"/>
    <xf numFmtId="0" fontId="0" fillId="12" borderId="0" xfId="0" applyFill="1"/>
    <xf numFmtId="191" fontId="22" fillId="0" borderId="0" xfId="0" applyNumberFormat="1" applyFont="1" applyFill="1" applyBorder="1" applyAlignment="1" applyProtection="1">
      <alignment horizontal="center"/>
      <protection hidden="1"/>
    </xf>
    <xf numFmtId="192" fontId="1" fillId="0" borderId="0" xfId="0" applyNumberFormat="1" applyFont="1" applyAlignment="1">
      <alignment horizontal="center"/>
    </xf>
    <xf numFmtId="193" fontId="22" fillId="0" borderId="0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Border="1"/>
    <xf numFmtId="0" fontId="0" fillId="0" borderId="0" xfId="0" applyFill="1" applyBorder="1"/>
    <xf numFmtId="0" fontId="4" fillId="3" borderId="1" xfId="0" applyFont="1" applyFill="1" applyBorder="1" applyProtection="1">
      <protection hidden="1"/>
    </xf>
    <xf numFmtId="49" fontId="4" fillId="3" borderId="1" xfId="0" applyNumberFormat="1" applyFont="1" applyFill="1" applyBorder="1" applyProtection="1">
      <protection hidden="1"/>
    </xf>
    <xf numFmtId="49" fontId="4" fillId="7" borderId="1" xfId="0" applyNumberFormat="1" applyFont="1" applyFill="1" applyBorder="1" applyProtection="1">
      <protection hidden="1"/>
    </xf>
    <xf numFmtId="194" fontId="9" fillId="0" borderId="0" xfId="0" applyNumberFormat="1" applyFont="1" applyAlignment="1">
      <alignment horizontal="center"/>
    </xf>
    <xf numFmtId="171" fontId="31" fillId="0" borderId="0" xfId="0" applyNumberFormat="1" applyFont="1" applyFill="1" applyBorder="1" applyAlignment="1" applyProtection="1">
      <alignment horizontal="center"/>
      <protection hidden="1"/>
    </xf>
    <xf numFmtId="186" fontId="32" fillId="0" borderId="0" xfId="0" applyNumberFormat="1" applyFont="1" applyAlignment="1">
      <alignment horizontal="center"/>
    </xf>
    <xf numFmtId="167" fontId="1" fillId="5" borderId="4" xfId="0" applyNumberFormat="1" applyFont="1" applyFill="1" applyBorder="1"/>
    <xf numFmtId="0" fontId="0" fillId="8" borderId="0" xfId="0" applyFill="1"/>
    <xf numFmtId="0" fontId="29" fillId="8" borderId="0" xfId="0" applyFont="1" applyFill="1"/>
    <xf numFmtId="0" fontId="9" fillId="8" borderId="0" xfId="0" applyFont="1" applyFill="1" applyAlignment="1">
      <alignment horizontal="center"/>
    </xf>
    <xf numFmtId="170" fontId="9" fillId="8" borderId="0" xfId="0" applyNumberFormat="1" applyFont="1" applyFill="1" applyAlignment="1">
      <alignment horizontal="center"/>
    </xf>
    <xf numFmtId="0" fontId="0" fillId="0" borderId="0" xfId="0" applyFont="1" applyFill="1"/>
    <xf numFmtId="170" fontId="32" fillId="0" borderId="0" xfId="0" applyNumberFormat="1" applyFont="1" applyFill="1" applyAlignment="1">
      <alignment horizontal="center"/>
    </xf>
    <xf numFmtId="10" fontId="30" fillId="0" borderId="0" xfId="0" applyNumberFormat="1" applyFont="1" applyFill="1" applyBorder="1" applyAlignment="1">
      <alignment vertical="center"/>
    </xf>
    <xf numFmtId="10" fontId="30" fillId="1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 applyProtection="1">
      <alignment horizontal="right"/>
      <protection hidden="1"/>
    </xf>
    <xf numFmtId="2" fontId="34" fillId="0" borderId="0" xfId="0" applyNumberFormat="1" applyFont="1" applyFill="1" applyBorder="1" applyAlignment="1" applyProtection="1">
      <alignment horizontal="center"/>
      <protection hidden="1"/>
    </xf>
    <xf numFmtId="185" fontId="22" fillId="0" borderId="0" xfId="0" applyNumberFormat="1" applyFont="1" applyFill="1" applyBorder="1" applyAlignment="1" applyProtection="1">
      <alignment horizontal="center"/>
      <protection hidden="1"/>
    </xf>
    <xf numFmtId="0" fontId="35" fillId="0" borderId="0" xfId="0" applyFont="1" applyFill="1" applyBorder="1" applyAlignment="1"/>
    <xf numFmtId="0" fontId="33" fillId="0" borderId="0" xfId="0" applyFont="1" applyFill="1" applyBorder="1" applyAlignment="1" applyProtection="1">
      <alignment horizontal="left"/>
      <protection hidden="1"/>
    </xf>
    <xf numFmtId="178" fontId="31" fillId="0" borderId="0" xfId="0" applyNumberFormat="1" applyFont="1" applyFill="1" applyBorder="1" applyAlignment="1" applyProtection="1">
      <alignment horizontal="center"/>
      <protection hidden="1"/>
    </xf>
    <xf numFmtId="0" fontId="36" fillId="0" borderId="0" xfId="0" applyFont="1" applyFill="1" applyBorder="1" applyProtection="1">
      <protection hidden="1"/>
    </xf>
    <xf numFmtId="0" fontId="37" fillId="0" borderId="0" xfId="0" applyFont="1" applyFill="1" applyBorder="1" applyAlignment="1" applyProtection="1">
      <alignment horizontal="left"/>
      <protection hidden="1"/>
    </xf>
    <xf numFmtId="195" fontId="22" fillId="0" borderId="0" xfId="0" applyNumberFormat="1" applyFont="1" applyFill="1" applyBorder="1" applyAlignment="1" applyProtection="1">
      <alignment horizontal="center"/>
      <protection hidden="1"/>
    </xf>
    <xf numFmtId="170" fontId="38" fillId="0" borderId="0" xfId="0" applyNumberFormat="1" applyFont="1"/>
    <xf numFmtId="175" fontId="38" fillId="0" borderId="0" xfId="0" applyNumberFormat="1" applyFont="1"/>
    <xf numFmtId="182" fontId="39" fillId="0" borderId="0" xfId="0" applyNumberFormat="1" applyFont="1" applyFill="1" applyBorder="1" applyAlignment="1" applyProtection="1">
      <alignment horizontal="center"/>
      <protection hidden="1"/>
    </xf>
    <xf numFmtId="10" fontId="30" fillId="0" borderId="0" xfId="0" applyNumberFormat="1" applyFont="1" applyFill="1" applyBorder="1" applyAlignment="1">
      <alignment horizontal="center" vertical="center"/>
    </xf>
    <xf numFmtId="10" fontId="24" fillId="0" borderId="1" xfId="0" applyNumberFormat="1" applyFont="1" applyBorder="1" applyAlignment="1">
      <alignment horizontal="center"/>
    </xf>
    <xf numFmtId="186" fontId="1" fillId="0" borderId="1" xfId="0" applyNumberFormat="1" applyFont="1" applyBorder="1" applyAlignment="1">
      <alignment horizontal="center"/>
    </xf>
    <xf numFmtId="177" fontId="23" fillId="11" borderId="2" xfId="0" applyNumberFormat="1" applyFont="1" applyFill="1" applyBorder="1" applyAlignment="1" applyProtection="1">
      <alignment horizontal="center"/>
      <protection locked="0"/>
    </xf>
    <xf numFmtId="187" fontId="23" fillId="11" borderId="2" xfId="0" applyNumberFormat="1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171" fontId="41" fillId="16" borderId="1" xfId="0" applyNumberFormat="1" applyFont="1" applyFill="1" applyBorder="1" applyAlignment="1">
      <alignment horizontal="center"/>
    </xf>
    <xf numFmtId="170" fontId="41" fillId="16" borderId="1" xfId="0" applyNumberFormat="1" applyFont="1" applyFill="1" applyBorder="1" applyAlignment="1">
      <alignment horizontal="center"/>
    </xf>
    <xf numFmtId="178" fontId="41" fillId="16" borderId="1" xfId="0" applyNumberFormat="1" applyFont="1" applyFill="1" applyBorder="1" applyAlignment="1">
      <alignment horizontal="center"/>
    </xf>
    <xf numFmtId="197" fontId="41" fillId="16" borderId="1" xfId="0" applyNumberFormat="1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 vertical="center"/>
    </xf>
    <xf numFmtId="183" fontId="42" fillId="0" borderId="1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0" fontId="14" fillId="15" borderId="1" xfId="0" applyFon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11" fillId="9" borderId="1" xfId="0" applyFont="1" applyFill="1" applyBorder="1" applyAlignment="1" applyProtection="1">
      <alignment horizontal="center"/>
      <protection hidden="1"/>
    </xf>
    <xf numFmtId="0" fontId="13" fillId="9" borderId="1" xfId="0" applyFont="1" applyFill="1" applyBorder="1" applyAlignment="1" applyProtection="1">
      <alignment horizontal="center"/>
      <protection hidden="1"/>
    </xf>
    <xf numFmtId="0" fontId="44" fillId="0" borderId="0" xfId="0" applyFont="1"/>
    <xf numFmtId="198" fontId="4" fillId="7" borderId="1" xfId="0" applyNumberFormat="1" applyFont="1" applyFill="1" applyBorder="1" applyProtection="1">
      <protection hidden="1"/>
    </xf>
    <xf numFmtId="0" fontId="4" fillId="0" borderId="23" xfId="0" applyFont="1" applyFill="1" applyBorder="1" applyProtection="1">
      <protection hidden="1"/>
    </xf>
    <xf numFmtId="0" fontId="4" fillId="3" borderId="38" xfId="0" applyFont="1" applyFill="1" applyBorder="1" applyAlignment="1" applyProtection="1">
      <alignment horizontal="center"/>
      <protection hidden="1"/>
    </xf>
    <xf numFmtId="49" fontId="4" fillId="3" borderId="9" xfId="0" applyNumberFormat="1" applyFont="1" applyFill="1" applyBorder="1" applyProtection="1">
      <protection hidden="1"/>
    </xf>
    <xf numFmtId="49" fontId="4" fillId="3" borderId="9" xfId="0" applyNumberFormat="1" applyFont="1" applyFill="1" applyBorder="1" applyAlignment="1" applyProtection="1">
      <alignment horizontal="left"/>
      <protection hidden="1"/>
    </xf>
    <xf numFmtId="49" fontId="4" fillId="0" borderId="9" xfId="0" applyNumberFormat="1" applyFont="1" applyFill="1" applyBorder="1" applyProtection="1">
      <protection hidden="1"/>
    </xf>
    <xf numFmtId="49" fontId="4" fillId="7" borderId="9" xfId="0" applyNumberFormat="1" applyFont="1" applyFill="1" applyBorder="1" applyProtection="1">
      <protection hidden="1"/>
    </xf>
    <xf numFmtId="0" fontId="4" fillId="0" borderId="9" xfId="0" applyFont="1" applyFill="1" applyBorder="1" applyProtection="1">
      <protection hidden="1"/>
    </xf>
    <xf numFmtId="0" fontId="4" fillId="3" borderId="9" xfId="0" applyFont="1" applyFill="1" applyBorder="1" applyProtection="1">
      <protection hidden="1"/>
    </xf>
    <xf numFmtId="0" fontId="4" fillId="3" borderId="11" xfId="0" applyFont="1" applyFill="1" applyBorder="1" applyProtection="1">
      <protection hidden="1"/>
    </xf>
    <xf numFmtId="49" fontId="4" fillId="3" borderId="12" xfId="0" applyNumberFormat="1" applyFont="1" applyFill="1" applyBorder="1" applyProtection="1">
      <protection hidden="1"/>
    </xf>
    <xf numFmtId="199" fontId="0" fillId="0" borderId="1" xfId="0" applyNumberFormat="1" applyBorder="1"/>
    <xf numFmtId="166" fontId="0" fillId="0" borderId="4" xfId="0" applyNumberFormat="1" applyBorder="1"/>
    <xf numFmtId="166" fontId="0" fillId="0" borderId="42" xfId="0" applyNumberFormat="1" applyBorder="1"/>
    <xf numFmtId="0" fontId="0" fillId="0" borderId="13" xfId="0" applyBorder="1"/>
    <xf numFmtId="199" fontId="0" fillId="0" borderId="14" xfId="0" applyNumberFormat="1" applyBorder="1"/>
    <xf numFmtId="0" fontId="0" fillId="0" borderId="15" xfId="0" applyBorder="1"/>
    <xf numFmtId="0" fontId="0" fillId="0" borderId="9" xfId="0" applyBorder="1"/>
    <xf numFmtId="199" fontId="0" fillId="0" borderId="11" xfId="0" applyNumberFormat="1" applyBorder="1"/>
    <xf numFmtId="0" fontId="0" fillId="0" borderId="12" xfId="0" applyBorder="1"/>
    <xf numFmtId="0" fontId="1" fillId="17" borderId="31" xfId="0" applyFont="1" applyFill="1" applyBorder="1" applyAlignment="1">
      <alignment horizontal="center"/>
    </xf>
    <xf numFmtId="0" fontId="1" fillId="17" borderId="32" xfId="0" applyFont="1" applyFill="1" applyBorder="1" applyAlignment="1">
      <alignment horizontal="center"/>
    </xf>
    <xf numFmtId="2" fontId="0" fillId="0" borderId="1" xfId="0" applyNumberFormat="1" applyBorder="1"/>
    <xf numFmtId="200" fontId="1" fillId="0" borderId="1" xfId="0" applyNumberFormat="1" applyFont="1" applyBorder="1" applyAlignment="1">
      <alignment horizontal="center"/>
    </xf>
    <xf numFmtId="0" fontId="0" fillId="0" borderId="0" xfId="0" applyProtection="1">
      <protection locked="0"/>
    </xf>
    <xf numFmtId="0" fontId="4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3" xfId="0" applyFont="1" applyFill="1" applyBorder="1" applyAlignment="1" applyProtection="1">
      <protection locked="0"/>
    </xf>
    <xf numFmtId="0" fontId="13" fillId="0" borderId="28" xfId="0" applyFont="1" applyFill="1" applyBorder="1" applyAlignment="1" applyProtection="1">
      <protection locked="0"/>
    </xf>
    <xf numFmtId="1" fontId="27" fillId="0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71" fontId="1" fillId="0" borderId="0" xfId="0" applyNumberFormat="1" applyFont="1" applyAlignment="1" applyProtection="1">
      <alignment horizontal="center"/>
      <protection locked="0"/>
    </xf>
    <xf numFmtId="0" fontId="45" fillId="0" borderId="0" xfId="0" applyFont="1" applyAlignment="1">
      <alignment horizontal="center"/>
    </xf>
    <xf numFmtId="0" fontId="13" fillId="18" borderId="20" xfId="0" applyFont="1" applyFill="1" applyBorder="1" applyProtection="1">
      <protection hidden="1"/>
    </xf>
    <xf numFmtId="164" fontId="13" fillId="18" borderId="20" xfId="0" applyNumberFormat="1" applyFont="1" applyFill="1" applyBorder="1" applyAlignment="1" applyProtection="1">
      <alignment horizontal="center"/>
      <protection hidden="1"/>
    </xf>
    <xf numFmtId="0" fontId="11" fillId="18" borderId="20" xfId="0" applyFont="1" applyFill="1" applyBorder="1" applyAlignment="1" applyProtection="1">
      <alignment horizontal="left"/>
      <protection hidden="1"/>
    </xf>
    <xf numFmtId="0" fontId="13" fillId="18" borderId="20" xfId="0" applyFont="1" applyFill="1" applyBorder="1" applyAlignment="1" applyProtection="1">
      <alignment horizontal="center"/>
      <protection hidden="1"/>
    </xf>
    <xf numFmtId="10" fontId="9" fillId="18" borderId="1" xfId="0" applyNumberFormat="1" applyFont="1" applyFill="1" applyBorder="1"/>
    <xf numFmtId="164" fontId="13" fillId="11" borderId="20" xfId="0" applyNumberFormat="1" applyFont="1" applyFill="1" applyBorder="1" applyAlignment="1" applyProtection="1">
      <alignment horizontal="center"/>
      <protection hidden="1"/>
    </xf>
    <xf numFmtId="165" fontId="13" fillId="0" borderId="1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3" fontId="22" fillId="0" borderId="0" xfId="0" applyNumberFormat="1" applyFont="1" applyFill="1" applyBorder="1" applyAlignment="1" applyProtection="1">
      <alignment horizontal="center"/>
      <protection hidden="1"/>
    </xf>
    <xf numFmtId="174" fontId="22" fillId="0" borderId="0" xfId="0" applyNumberFormat="1" applyFont="1" applyFill="1" applyBorder="1" applyAlignment="1" applyProtection="1">
      <alignment horizontal="center"/>
      <protection hidden="1"/>
    </xf>
    <xf numFmtId="188" fontId="23" fillId="11" borderId="18" xfId="0" applyNumberFormat="1" applyFont="1" applyFill="1" applyBorder="1" applyAlignment="1" applyProtection="1">
      <alignment horizontal="center"/>
      <protection locked="0"/>
    </xf>
    <xf numFmtId="188" fontId="23" fillId="11" borderId="19" xfId="0" applyNumberFormat="1" applyFont="1" applyFill="1" applyBorder="1" applyAlignment="1" applyProtection="1">
      <alignment horizontal="center"/>
      <protection locked="0"/>
    </xf>
    <xf numFmtId="175" fontId="22" fillId="0" borderId="0" xfId="0" applyNumberFormat="1" applyFont="1" applyFill="1" applyBorder="1" applyAlignment="1" applyProtection="1">
      <alignment horizontal="center"/>
      <protection hidden="1"/>
    </xf>
    <xf numFmtId="196" fontId="23" fillId="11" borderId="18" xfId="0" applyNumberFormat="1" applyFont="1" applyFill="1" applyBorder="1" applyAlignment="1" applyProtection="1">
      <alignment horizontal="center"/>
      <protection locked="0"/>
    </xf>
    <xf numFmtId="196" fontId="23" fillId="11" borderId="33" xfId="0" applyNumberFormat="1" applyFont="1" applyFill="1" applyBorder="1" applyAlignment="1" applyProtection="1">
      <alignment horizontal="center"/>
      <protection locked="0"/>
    </xf>
    <xf numFmtId="196" fontId="23" fillId="11" borderId="19" xfId="0" applyNumberFormat="1" applyFont="1" applyFill="1" applyBorder="1" applyAlignment="1" applyProtection="1">
      <alignment horizontal="center"/>
      <protection locked="0"/>
    </xf>
    <xf numFmtId="10" fontId="40" fillId="10" borderId="0" xfId="0" applyNumberFormat="1" applyFont="1" applyFill="1" applyBorder="1" applyAlignment="1">
      <alignment horizontal="center" vertical="center"/>
    </xf>
    <xf numFmtId="175" fontId="21" fillId="0" borderId="0" xfId="0" applyNumberFormat="1" applyFont="1" applyFill="1" applyBorder="1" applyAlignment="1" applyProtection="1">
      <alignment horizontal="center"/>
      <protection hidden="1"/>
    </xf>
    <xf numFmtId="176" fontId="23" fillId="11" borderId="18" xfId="0" applyNumberFormat="1" applyFont="1" applyFill="1" applyBorder="1" applyAlignment="1" applyProtection="1">
      <alignment horizontal="center"/>
      <protection locked="0"/>
    </xf>
    <xf numFmtId="176" fontId="23" fillId="11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1" fillId="4" borderId="4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5" fontId="1" fillId="6" borderId="1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13" borderId="1" xfId="0" applyFill="1" applyBorder="1" applyAlignment="1" applyProtection="1">
      <alignment horizontal="center"/>
    </xf>
    <xf numFmtId="0" fontId="19" fillId="0" borderId="1" xfId="0" applyFont="1" applyBorder="1" applyAlignment="1">
      <alignment horizontal="center"/>
    </xf>
    <xf numFmtId="172" fontId="22" fillId="0" borderId="0" xfId="0" applyNumberFormat="1" applyFont="1" applyFill="1" applyBorder="1" applyAlignment="1" applyProtection="1">
      <alignment horizontal="center"/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0" fontId="4" fillId="3" borderId="9" xfId="0" applyFont="1" applyFill="1" applyBorder="1" applyAlignment="1" applyProtection="1">
      <alignment horizontal="center"/>
      <protection hidden="1"/>
    </xf>
    <xf numFmtId="0" fontId="4" fillId="0" borderId="39" xfId="0" applyFont="1" applyFill="1" applyBorder="1" applyAlignment="1" applyProtection="1">
      <alignment horizontal="center" vertical="center"/>
      <protection hidden="1"/>
    </xf>
    <xf numFmtId="0" fontId="4" fillId="0" borderId="40" xfId="0" applyFont="1" applyFill="1" applyBorder="1" applyAlignment="1" applyProtection="1">
      <alignment horizontal="center" vertical="center"/>
      <protection hidden="1"/>
    </xf>
    <xf numFmtId="0" fontId="4" fillId="0" borderId="41" xfId="0" applyFont="1" applyFill="1" applyBorder="1" applyAlignment="1" applyProtection="1">
      <alignment horizontal="center" vertical="center"/>
      <protection hidden="1"/>
    </xf>
    <xf numFmtId="0" fontId="4" fillId="0" borderId="8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25" fillId="2" borderId="18" xfId="0" applyFont="1" applyFill="1" applyBorder="1" applyAlignment="1">
      <alignment horizontal="center"/>
    </xf>
    <xf numFmtId="0" fontId="25" fillId="2" borderId="33" xfId="0" applyFont="1" applyFill="1" applyBorder="1" applyAlignment="1">
      <alignment horizontal="center"/>
    </xf>
    <xf numFmtId="0" fontId="25" fillId="2" borderId="19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$A$7" fmlaRange="'Tabelas de Cálculo'!$B$2:$B$7" sel="2" val="0"/>
</file>

<file path=xl/ctrlProps/ctrlProp10.xml><?xml version="1.0" encoding="utf-8"?>
<formControlPr xmlns="http://schemas.microsoft.com/office/spreadsheetml/2009/9/main" objectType="Radio" lockText="1"/>
</file>

<file path=xl/ctrlProps/ctrlProp11.xml><?xml version="1.0" encoding="utf-8"?>
<formControlPr xmlns="http://schemas.microsoft.com/office/spreadsheetml/2009/9/main" objectType="Drop" dropStyle="combo" dx="16" fmlaLink="$D$195" fmlaRange="'Tabelas de Cálculo'!$F$2:$F$11" sel="7" val="2"/>
</file>

<file path=xl/ctrlProps/ctrlProp12.xml><?xml version="1.0" encoding="utf-8"?>
<formControlPr xmlns="http://schemas.microsoft.com/office/spreadsheetml/2009/9/main" objectType="Drop" dropStyle="combo" dx="16" fmlaLink="$G$206" fmlaRange="'Tabelas de Cálculo'!$L$3:$L$10" sel="3" val="0"/>
</file>

<file path=xl/ctrlProps/ctrlProp13.xml><?xml version="1.0" encoding="utf-8"?>
<formControlPr xmlns="http://schemas.microsoft.com/office/spreadsheetml/2009/9/main" objectType="Spin" dx="16" fmlaLink="$G$74" max="60" page="10" val="15"/>
</file>

<file path=xl/ctrlProps/ctrlProp14.xml><?xml version="1.0" encoding="utf-8"?>
<formControlPr xmlns="http://schemas.microsoft.com/office/spreadsheetml/2009/9/main" objectType="Spin" dx="16" fmlaLink="$G$86" max="30" page="10" val="12"/>
</file>

<file path=xl/ctrlProps/ctrlProp15.xml><?xml version="1.0" encoding="utf-8"?>
<formControlPr xmlns="http://schemas.microsoft.com/office/spreadsheetml/2009/9/main" objectType="Spin" dx="16" fmlaLink="$G$87" max="200" page="10" val="12"/>
</file>

<file path=xl/ctrlProps/ctrlProp16.xml><?xml version="1.0" encoding="utf-8"?>
<formControlPr xmlns="http://schemas.microsoft.com/office/spreadsheetml/2009/9/main" objectType="Spin" dx="16" fmlaLink="$E$97" max="30" page="10" val="22"/>
</file>

<file path=xl/ctrlProps/ctrlProp17.xml><?xml version="1.0" encoding="utf-8"?>
<formControlPr xmlns="http://schemas.microsoft.com/office/spreadsheetml/2009/9/main" objectType="Spin" dx="16" fmlaLink="$E$98" max="200" page="10" val="24"/>
</file>

<file path=xl/ctrlProps/ctrlProp18.xml><?xml version="1.0" encoding="utf-8"?>
<formControlPr xmlns="http://schemas.microsoft.com/office/spreadsheetml/2009/9/main" objectType="Spin" dx="16" fmlaLink="$G$97" max="30000" page="10" val="22"/>
</file>

<file path=xl/ctrlProps/ctrlProp19.xml><?xml version="1.0" encoding="utf-8"?>
<formControlPr xmlns="http://schemas.microsoft.com/office/spreadsheetml/2009/9/main" objectType="Spin" dx="16" fmlaLink="$G$98" max="30000" page="10" val="22"/>
</file>

<file path=xl/ctrlProps/ctrlProp2.xml><?xml version="1.0" encoding="utf-8"?>
<formControlPr xmlns="http://schemas.microsoft.com/office/spreadsheetml/2009/9/main" objectType="Drop" dropStyle="combo" dx="16" fmlaLink="$E$7" fmlaRange="'Tabelas de Cálculo'!$B$17:$B$22" val="0"/>
</file>

<file path=xl/ctrlProps/ctrlProp20.xml><?xml version="1.0" encoding="utf-8"?>
<formControlPr xmlns="http://schemas.microsoft.com/office/spreadsheetml/2009/9/main" objectType="Scroll" dx="16" fmlaLink="$F$183" max="1000" page="10" val="0"/>
</file>

<file path=xl/ctrlProps/ctrlProp21.xml><?xml version="1.0" encoding="utf-8"?>
<formControlPr xmlns="http://schemas.microsoft.com/office/spreadsheetml/2009/9/main" objectType="Scroll" dx="16" fmlaLink="$C$192" max="1000" page="10" val="200"/>
</file>

<file path=xl/ctrlProps/ctrlProp22.xml><?xml version="1.0" encoding="utf-8"?>
<formControlPr xmlns="http://schemas.microsoft.com/office/spreadsheetml/2009/9/main" objectType="Spin" dx="16" fmlaLink="$E$113" max="30" page="10" val="6"/>
</file>

<file path=xl/ctrlProps/ctrlProp23.xml><?xml version="1.0" encoding="utf-8"?>
<formControlPr xmlns="http://schemas.microsoft.com/office/spreadsheetml/2009/9/main" objectType="Spin" dx="16" fmlaLink="$E$114" max="200" page="10" val="12"/>
</file>

<file path=xl/ctrlProps/ctrlProp24.xml><?xml version="1.0" encoding="utf-8"?>
<formControlPr xmlns="http://schemas.microsoft.com/office/spreadsheetml/2009/9/main" objectType="Spin" dx="16" fmlaLink="$G$113" max="30000" page="10" val="22"/>
</file>

<file path=xl/ctrlProps/ctrlProp25.xml><?xml version="1.0" encoding="utf-8"?>
<formControlPr xmlns="http://schemas.microsoft.com/office/spreadsheetml/2009/9/main" objectType="Spin" dx="16" fmlaLink="$G$114" max="30000" page="10" val="6"/>
</file>

<file path=xl/ctrlProps/ctrlProp26.xml><?xml version="1.0" encoding="utf-8"?>
<formControlPr xmlns="http://schemas.microsoft.com/office/spreadsheetml/2009/9/main" objectType="Spin" dx="16" fmlaLink="$E$128" max="30" page="10" val="6"/>
</file>

<file path=xl/ctrlProps/ctrlProp27.xml><?xml version="1.0" encoding="utf-8"?>
<formControlPr xmlns="http://schemas.microsoft.com/office/spreadsheetml/2009/9/main" objectType="Spin" dx="16" fmlaLink="$E$129" max="200" page="10" val="12"/>
</file>

<file path=xl/ctrlProps/ctrlProp28.xml><?xml version="1.0" encoding="utf-8"?>
<formControlPr xmlns="http://schemas.microsoft.com/office/spreadsheetml/2009/9/main" objectType="Spin" dx="16" fmlaLink="$G$128" max="30000" page="10" val="3"/>
</file>

<file path=xl/ctrlProps/ctrlProp29.xml><?xml version="1.0" encoding="utf-8"?>
<formControlPr xmlns="http://schemas.microsoft.com/office/spreadsheetml/2009/9/main" objectType="Spin" dx="16" fmlaLink="$G$129" max="30000" page="10" val="20"/>
</file>

<file path=xl/ctrlProps/ctrlProp3.xml><?xml version="1.0" encoding="utf-8"?>
<formControlPr xmlns="http://schemas.microsoft.com/office/spreadsheetml/2009/9/main" objectType="Drop" dropStyle="combo" dx="16" fmlaLink="$C$7" fmlaRange="'Tabelas de Cálculo'!$B$10:$B$14" sel="3" val="0"/>
</file>

<file path=xl/ctrlProps/ctrlProp30.xml><?xml version="1.0" encoding="utf-8"?>
<formControlPr xmlns="http://schemas.microsoft.com/office/spreadsheetml/2009/9/main" objectType="Drop" dropStyle="combo" dx="16" fmlaLink="$A$35" fmlaRange="MADEIRAS!$B$3:$B$65" sel="23" val="42"/>
</file>

<file path=xl/ctrlProps/ctrlProp31.xml><?xml version="1.0" encoding="utf-8"?>
<formControlPr xmlns="http://schemas.microsoft.com/office/spreadsheetml/2009/9/main" objectType="Spin" dx="16" fmlaLink="$D$200" max="10000" page="10" val="155"/>
</file>

<file path=xl/ctrlProps/ctrlProp32.xml><?xml version="1.0" encoding="utf-8"?>
<formControlPr xmlns="http://schemas.microsoft.com/office/spreadsheetml/2009/9/main" objectType="Spin" dx="16" fmlaLink="$D$201" max="200" page="10" val="20"/>
</file>

<file path=xl/ctrlProps/ctrlProp4.xml><?xml version="1.0" encoding="utf-8"?>
<formControlPr xmlns="http://schemas.microsoft.com/office/spreadsheetml/2009/9/main" objectType="Drop" dropStyle="combo" dx="16" fmlaLink="$A$35" fmlaRange="MADEIRAS!$B$3:$B$65" sel="23" val="13"/>
</file>

<file path=xl/ctrlProps/ctrlProp5.xml><?xml version="1.0" encoding="utf-8"?>
<formControlPr xmlns="http://schemas.microsoft.com/office/spreadsheetml/2009/9/main" objectType="Radio" checked="Checked" firstButton="1" fmlaLink="$E$72" lockText="1"/>
</file>

<file path=xl/ctrlProps/ctrlProp6.xml><?xml version="1.0" encoding="utf-8"?>
<formControlPr xmlns="http://schemas.microsoft.com/office/spreadsheetml/2009/9/main" objectType="Radio" lockText="1"/>
</file>

<file path=xl/ctrlProps/ctrlProp7.xml><?xml version="1.0" encoding="utf-8"?>
<formControlPr xmlns="http://schemas.microsoft.com/office/spreadsheetml/2009/9/main" objectType="Radio" lockText="1"/>
</file>

<file path=xl/ctrlProps/ctrlProp8.xml><?xml version="1.0" encoding="utf-8"?>
<formControlPr xmlns="http://schemas.microsoft.com/office/spreadsheetml/2009/9/main" objectType="Radio" lockText="1"/>
</file>

<file path=xl/ctrlProps/ctrlProp9.xml><?xml version="1.0" encoding="utf-8"?>
<formControlPr xmlns="http://schemas.microsoft.com/office/spreadsheetml/2009/9/main" objectType="Radio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7" Type="http://schemas.openxmlformats.org/officeDocument/2006/relationships/image" Target="../media/image14.emf"/><Relationship Id="rId2" Type="http://schemas.openxmlformats.org/officeDocument/2006/relationships/image" Target="../media/image9.emf"/><Relationship Id="rId1" Type="http://schemas.openxmlformats.org/officeDocument/2006/relationships/image" Target="../media/image8.emf"/><Relationship Id="rId6" Type="http://schemas.openxmlformats.org/officeDocument/2006/relationships/image" Target="../media/image13.emf"/><Relationship Id="rId5" Type="http://schemas.openxmlformats.org/officeDocument/2006/relationships/image" Target="../media/image12.emf"/><Relationship Id="rId4" Type="http://schemas.openxmlformats.org/officeDocument/2006/relationships/image" Target="../media/image11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183</xdr:row>
      <xdr:rowOff>47625</xdr:rowOff>
    </xdr:from>
    <xdr:to>
      <xdr:col>6</xdr:col>
      <xdr:colOff>228600</xdr:colOff>
      <xdr:row>190</xdr:row>
      <xdr:rowOff>180976</xdr:rowOff>
    </xdr:to>
    <xdr:pic>
      <xdr:nvPicPr>
        <xdr:cNvPr id="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33689925"/>
          <a:ext cx="5124450" cy="1400176"/>
        </a:xfrm>
        <a:prstGeom prst="rect">
          <a:avLst/>
        </a:prstGeom>
        <a:noFill/>
      </xdr:spPr>
    </xdr:pic>
    <xdr:clientData/>
  </xdr:twoCellAnchor>
  <xdr:twoCellAnchor>
    <xdr:from>
      <xdr:col>6</xdr:col>
      <xdr:colOff>704687</xdr:colOff>
      <xdr:row>185</xdr:row>
      <xdr:rowOff>61981</xdr:rowOff>
    </xdr:from>
    <xdr:to>
      <xdr:col>6</xdr:col>
      <xdr:colOff>952337</xdr:colOff>
      <xdr:row>191</xdr:row>
      <xdr:rowOff>46181</xdr:rowOff>
    </xdr:to>
    <xdr:sp macro="" textlink="">
      <xdr:nvSpPr>
        <xdr:cNvPr id="44" name="CaixaDeTexto 43"/>
        <xdr:cNvSpPr txBox="1"/>
      </xdr:nvSpPr>
      <xdr:spPr>
        <a:xfrm rot="18133211">
          <a:off x="5527474" y="24233294"/>
          <a:ext cx="10795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/>
            <a:t>espaçamento</a:t>
          </a:r>
        </a:p>
      </xdr:txBody>
    </xdr:sp>
    <xdr:clientData/>
  </xdr:twoCellAnchor>
  <xdr:twoCellAnchor>
    <xdr:from>
      <xdr:col>0</xdr:col>
      <xdr:colOff>57150</xdr:colOff>
      <xdr:row>72</xdr:row>
      <xdr:rowOff>104775</xdr:rowOff>
    </xdr:from>
    <xdr:to>
      <xdr:col>6</xdr:col>
      <xdr:colOff>1143000</xdr:colOff>
      <xdr:row>83</xdr:row>
      <xdr:rowOff>123825</xdr:rowOff>
    </xdr:to>
    <xdr:sp macro="" textlink="">
      <xdr:nvSpPr>
        <xdr:cNvPr id="9" name="Retângulo 8"/>
        <xdr:cNvSpPr/>
      </xdr:nvSpPr>
      <xdr:spPr>
        <a:xfrm>
          <a:off x="57150" y="13315950"/>
          <a:ext cx="6086475" cy="1876425"/>
        </a:xfrm>
        <a:prstGeom prst="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5</xdr:col>
      <xdr:colOff>804861</xdr:colOff>
      <xdr:row>66</xdr:row>
      <xdr:rowOff>14288</xdr:rowOff>
    </xdr:from>
    <xdr:to>
      <xdr:col>6</xdr:col>
      <xdr:colOff>328611</xdr:colOff>
      <xdr:row>68</xdr:row>
      <xdr:rowOff>176213</xdr:rowOff>
    </xdr:to>
    <xdr:sp macro="" textlink="">
      <xdr:nvSpPr>
        <xdr:cNvPr id="6" name="Seta para a direita 5"/>
        <xdr:cNvSpPr/>
      </xdr:nvSpPr>
      <xdr:spPr>
        <a:xfrm rot="18054109">
          <a:off x="4895849" y="12230100"/>
          <a:ext cx="533400" cy="3333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0</xdr:col>
      <xdr:colOff>290496</xdr:colOff>
      <xdr:row>74</xdr:row>
      <xdr:rowOff>123825</xdr:rowOff>
    </xdr:from>
    <xdr:to>
      <xdr:col>2</xdr:col>
      <xdr:colOff>419100</xdr:colOff>
      <xdr:row>81</xdr:row>
      <xdr:rowOff>95085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0496" y="13811250"/>
          <a:ext cx="1566879" cy="123808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57150</xdr:colOff>
      <xdr:row>84</xdr:row>
      <xdr:rowOff>28574</xdr:rowOff>
    </xdr:from>
    <xdr:to>
      <xdr:col>6</xdr:col>
      <xdr:colOff>1143000</xdr:colOff>
      <xdr:row>95</xdr:row>
      <xdr:rowOff>104774</xdr:rowOff>
    </xdr:to>
    <xdr:sp macro="" textlink="">
      <xdr:nvSpPr>
        <xdr:cNvPr id="10" name="Retângulo 9"/>
        <xdr:cNvSpPr/>
      </xdr:nvSpPr>
      <xdr:spPr>
        <a:xfrm>
          <a:off x="57150" y="15344774"/>
          <a:ext cx="6419850" cy="2152650"/>
        </a:xfrm>
        <a:prstGeom prst="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0</xdr:col>
      <xdr:colOff>361950</xdr:colOff>
      <xdr:row>85</xdr:row>
      <xdr:rowOff>142875</xdr:rowOff>
    </xdr:from>
    <xdr:to>
      <xdr:col>2</xdr:col>
      <xdr:colOff>355353</xdr:colOff>
      <xdr:row>95</xdr:row>
      <xdr:rowOff>57150</xdr:rowOff>
    </xdr:to>
    <xdr:pic>
      <xdr:nvPicPr>
        <xdr:cNvPr id="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1950" y="15640050"/>
          <a:ext cx="1431678" cy="174307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714375</xdr:colOff>
      <xdr:row>183</xdr:row>
      <xdr:rowOff>57150</xdr:rowOff>
    </xdr:from>
    <xdr:to>
      <xdr:col>3</xdr:col>
      <xdr:colOff>238125</xdr:colOff>
      <xdr:row>185</xdr:row>
      <xdr:rowOff>76200</xdr:rowOff>
    </xdr:to>
    <xdr:cxnSp macro="">
      <xdr:nvCxnSpPr>
        <xdr:cNvPr id="14" name="Conector de seta reta 13"/>
        <xdr:cNvCxnSpPr/>
      </xdr:nvCxnSpPr>
      <xdr:spPr>
        <a:xfrm rot="10800000" flipV="1">
          <a:off x="2152650" y="23488650"/>
          <a:ext cx="400050" cy="381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183</xdr:row>
      <xdr:rowOff>28575</xdr:rowOff>
    </xdr:from>
    <xdr:to>
      <xdr:col>1</xdr:col>
      <xdr:colOff>609600</xdr:colOff>
      <xdr:row>184</xdr:row>
      <xdr:rowOff>38100</xdr:rowOff>
    </xdr:to>
    <xdr:cxnSp macro="">
      <xdr:nvCxnSpPr>
        <xdr:cNvPr id="16" name="Conector de seta reta 15"/>
        <xdr:cNvCxnSpPr/>
      </xdr:nvCxnSpPr>
      <xdr:spPr>
        <a:xfrm>
          <a:off x="895350" y="23460075"/>
          <a:ext cx="400050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200025</xdr:colOff>
      <xdr:row>190</xdr:row>
      <xdr:rowOff>28575</xdr:rowOff>
    </xdr:from>
    <xdr:to>
      <xdr:col>1</xdr:col>
      <xdr:colOff>200025</xdr:colOff>
      <xdr:row>193</xdr:row>
      <xdr:rowOff>9525</xdr:rowOff>
    </xdr:to>
    <xdr:cxnSp macro="">
      <xdr:nvCxnSpPr>
        <xdr:cNvPr id="18" name="Conector reto 17"/>
        <xdr:cNvCxnSpPr/>
      </xdr:nvCxnSpPr>
      <xdr:spPr>
        <a:xfrm rot="5400000">
          <a:off x="619125" y="24993600"/>
          <a:ext cx="533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771525</xdr:colOff>
      <xdr:row>190</xdr:row>
      <xdr:rowOff>38100</xdr:rowOff>
    </xdr:from>
    <xdr:to>
      <xdr:col>5</xdr:col>
      <xdr:colOff>771525</xdr:colOff>
      <xdr:row>193</xdr:row>
      <xdr:rowOff>0</xdr:rowOff>
    </xdr:to>
    <xdr:cxnSp macro="">
      <xdr:nvCxnSpPr>
        <xdr:cNvPr id="22" name="Conector reto 21"/>
        <xdr:cNvCxnSpPr/>
      </xdr:nvCxnSpPr>
      <xdr:spPr>
        <a:xfrm rot="5400000">
          <a:off x="4705350" y="24993600"/>
          <a:ext cx="514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133350</xdr:colOff>
      <xdr:row>192</xdr:row>
      <xdr:rowOff>57150</xdr:rowOff>
    </xdr:from>
    <xdr:to>
      <xdr:col>6</xdr:col>
      <xdr:colOff>95250</xdr:colOff>
      <xdr:row>192</xdr:row>
      <xdr:rowOff>57150</xdr:rowOff>
    </xdr:to>
    <xdr:cxnSp macro="">
      <xdr:nvCxnSpPr>
        <xdr:cNvPr id="29" name="Conector reto 28"/>
        <xdr:cNvCxnSpPr/>
      </xdr:nvCxnSpPr>
      <xdr:spPr>
        <a:xfrm>
          <a:off x="822081" y="25327708"/>
          <a:ext cx="428478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790575</xdr:colOff>
      <xdr:row>188</xdr:row>
      <xdr:rowOff>66675</xdr:rowOff>
    </xdr:from>
    <xdr:to>
      <xdr:col>6</xdr:col>
      <xdr:colOff>638175</xdr:colOff>
      <xdr:row>189</xdr:row>
      <xdr:rowOff>19050</xdr:rowOff>
    </xdr:to>
    <xdr:cxnSp macro="">
      <xdr:nvCxnSpPr>
        <xdr:cNvPr id="35" name="Conector reto 34"/>
        <xdr:cNvCxnSpPr/>
      </xdr:nvCxnSpPr>
      <xdr:spPr>
        <a:xfrm>
          <a:off x="5038725" y="24422100"/>
          <a:ext cx="657225" cy="1428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180975</xdr:colOff>
      <xdr:row>186</xdr:row>
      <xdr:rowOff>104775</xdr:rowOff>
    </xdr:from>
    <xdr:to>
      <xdr:col>6</xdr:col>
      <xdr:colOff>847725</xdr:colOff>
      <xdr:row>187</xdr:row>
      <xdr:rowOff>66675</xdr:rowOff>
    </xdr:to>
    <xdr:cxnSp macro="">
      <xdr:nvCxnSpPr>
        <xdr:cNvPr id="36" name="Conector reto 35"/>
        <xdr:cNvCxnSpPr/>
      </xdr:nvCxnSpPr>
      <xdr:spPr>
        <a:xfrm>
          <a:off x="5238750" y="24098250"/>
          <a:ext cx="666750" cy="1428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390525</xdr:colOff>
      <xdr:row>186</xdr:row>
      <xdr:rowOff>76201</xdr:rowOff>
    </xdr:from>
    <xdr:to>
      <xdr:col>6</xdr:col>
      <xdr:colOff>800100</xdr:colOff>
      <xdr:row>189</xdr:row>
      <xdr:rowOff>133351</xdr:rowOff>
    </xdr:to>
    <xdr:cxnSp macro="">
      <xdr:nvCxnSpPr>
        <xdr:cNvPr id="38" name="Conector reto 37"/>
        <xdr:cNvCxnSpPr/>
      </xdr:nvCxnSpPr>
      <xdr:spPr>
        <a:xfrm rot="5400000" flipH="1" flipV="1">
          <a:off x="5348288" y="24169688"/>
          <a:ext cx="609600" cy="409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219076</xdr:colOff>
      <xdr:row>183</xdr:row>
      <xdr:rowOff>66674</xdr:rowOff>
    </xdr:from>
    <xdr:to>
      <xdr:col>6</xdr:col>
      <xdr:colOff>466728</xdr:colOff>
      <xdr:row>187</xdr:row>
      <xdr:rowOff>142878</xdr:rowOff>
    </xdr:to>
    <xdr:cxnSp macro="">
      <xdr:nvCxnSpPr>
        <xdr:cNvPr id="41" name="Conector de seta reta 40"/>
        <xdr:cNvCxnSpPr/>
      </xdr:nvCxnSpPr>
      <xdr:spPr>
        <a:xfrm rot="16200000" flipH="1">
          <a:off x="5000625" y="23793450"/>
          <a:ext cx="800104" cy="24765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904874</xdr:colOff>
      <xdr:row>198</xdr:row>
      <xdr:rowOff>142874</xdr:rowOff>
    </xdr:from>
    <xdr:to>
      <xdr:col>5</xdr:col>
      <xdr:colOff>257174</xdr:colOff>
      <xdr:row>203</xdr:row>
      <xdr:rowOff>57149</xdr:rowOff>
    </xdr:to>
    <xdr:sp macro="" textlink="">
      <xdr:nvSpPr>
        <xdr:cNvPr id="46" name="Chave direita 45"/>
        <xdr:cNvSpPr/>
      </xdr:nvSpPr>
      <xdr:spPr>
        <a:xfrm>
          <a:off x="4324349" y="26279474"/>
          <a:ext cx="295275" cy="8667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5</xdr:col>
      <xdr:colOff>285750</xdr:colOff>
      <xdr:row>200</xdr:row>
      <xdr:rowOff>47626</xdr:rowOff>
    </xdr:from>
    <xdr:to>
      <xdr:col>6</xdr:col>
      <xdr:colOff>1000125</xdr:colOff>
      <xdr:row>201</xdr:row>
      <xdr:rowOff>104776</xdr:rowOff>
    </xdr:to>
    <xdr:sp macro="" textlink="">
      <xdr:nvSpPr>
        <xdr:cNvPr id="47" name="CaixaDeTexto 46"/>
        <xdr:cNvSpPr txBox="1"/>
      </xdr:nvSpPr>
      <xdr:spPr>
        <a:xfrm>
          <a:off x="4533900" y="26365201"/>
          <a:ext cx="15240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/>
            <a:t>Cargas Solicitantes</a:t>
          </a:r>
        </a:p>
      </xdr:txBody>
    </xdr:sp>
    <xdr:clientData/>
  </xdr:twoCellAnchor>
  <xdr:twoCellAnchor>
    <xdr:from>
      <xdr:col>0</xdr:col>
      <xdr:colOff>57150</xdr:colOff>
      <xdr:row>95</xdr:row>
      <xdr:rowOff>152399</xdr:rowOff>
    </xdr:from>
    <xdr:to>
      <xdr:col>6</xdr:col>
      <xdr:colOff>1143000</xdr:colOff>
      <xdr:row>109</xdr:row>
      <xdr:rowOff>142875</xdr:rowOff>
    </xdr:to>
    <xdr:sp macro="" textlink="">
      <xdr:nvSpPr>
        <xdr:cNvPr id="48" name="Retângulo 47"/>
        <xdr:cNvSpPr/>
      </xdr:nvSpPr>
      <xdr:spPr>
        <a:xfrm>
          <a:off x="57150" y="17545049"/>
          <a:ext cx="6419850" cy="2571751"/>
        </a:xfrm>
        <a:prstGeom prst="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0</xdr:col>
      <xdr:colOff>209550</xdr:colOff>
      <xdr:row>97</xdr:row>
      <xdr:rowOff>38100</xdr:rowOff>
    </xdr:from>
    <xdr:to>
      <xdr:col>2</xdr:col>
      <xdr:colOff>628650</xdr:colOff>
      <xdr:row>109</xdr:row>
      <xdr:rowOff>9525</xdr:rowOff>
    </xdr:to>
    <xdr:pic>
      <xdr:nvPicPr>
        <xdr:cNvPr id="4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550" y="17945100"/>
          <a:ext cx="1857375" cy="21526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57150</xdr:colOff>
      <xdr:row>111</xdr:row>
      <xdr:rowOff>85724</xdr:rowOff>
    </xdr:from>
    <xdr:to>
      <xdr:col>6</xdr:col>
      <xdr:colOff>1143000</xdr:colOff>
      <xdr:row>125</xdr:row>
      <xdr:rowOff>123825</xdr:rowOff>
    </xdr:to>
    <xdr:sp macro="" textlink="">
      <xdr:nvSpPr>
        <xdr:cNvPr id="50" name="Retângulo 49"/>
        <xdr:cNvSpPr/>
      </xdr:nvSpPr>
      <xdr:spPr>
        <a:xfrm>
          <a:off x="57150" y="20326349"/>
          <a:ext cx="6419850" cy="2752726"/>
        </a:xfrm>
        <a:prstGeom prst="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0</xdr:col>
      <xdr:colOff>152400</xdr:colOff>
      <xdr:row>113</xdr:row>
      <xdr:rowOff>95249</xdr:rowOff>
    </xdr:from>
    <xdr:to>
      <xdr:col>2</xdr:col>
      <xdr:colOff>787727</xdr:colOff>
      <xdr:row>125</xdr:row>
      <xdr:rowOff>114299</xdr:rowOff>
    </xdr:to>
    <xdr:pic>
      <xdr:nvPicPr>
        <xdr:cNvPr id="5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20707349"/>
          <a:ext cx="2073602" cy="22002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47625</xdr:colOff>
      <xdr:row>126</xdr:row>
      <xdr:rowOff>47624</xdr:rowOff>
    </xdr:from>
    <xdr:to>
      <xdr:col>6</xdr:col>
      <xdr:colOff>1133475</xdr:colOff>
      <xdr:row>141</xdr:row>
      <xdr:rowOff>104775</xdr:rowOff>
    </xdr:to>
    <xdr:sp macro="" textlink="">
      <xdr:nvSpPr>
        <xdr:cNvPr id="52" name="Retângulo 51"/>
        <xdr:cNvSpPr/>
      </xdr:nvSpPr>
      <xdr:spPr>
        <a:xfrm>
          <a:off x="47625" y="23202899"/>
          <a:ext cx="6419850" cy="2771776"/>
        </a:xfrm>
        <a:prstGeom prst="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0</xdr:col>
      <xdr:colOff>142875</xdr:colOff>
      <xdr:row>128</xdr:row>
      <xdr:rowOff>114300</xdr:rowOff>
    </xdr:from>
    <xdr:to>
      <xdr:col>2</xdr:col>
      <xdr:colOff>868200</xdr:colOff>
      <xdr:row>140</xdr:row>
      <xdr:rowOff>28575</xdr:rowOff>
    </xdr:to>
    <xdr:pic>
      <xdr:nvPicPr>
        <xdr:cNvPr id="5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42875" y="23631525"/>
          <a:ext cx="2163600" cy="2095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47625</xdr:colOff>
      <xdr:row>142</xdr:row>
      <xdr:rowOff>47624</xdr:rowOff>
    </xdr:from>
    <xdr:to>
      <xdr:col>6</xdr:col>
      <xdr:colOff>1133475</xdr:colOff>
      <xdr:row>157</xdr:row>
      <xdr:rowOff>123825</xdr:rowOff>
    </xdr:to>
    <xdr:sp macro="" textlink="">
      <xdr:nvSpPr>
        <xdr:cNvPr id="54" name="Retângulo 53"/>
        <xdr:cNvSpPr/>
      </xdr:nvSpPr>
      <xdr:spPr>
        <a:xfrm>
          <a:off x="47625" y="26117549"/>
          <a:ext cx="6419850" cy="2790826"/>
        </a:xfrm>
        <a:prstGeom prst="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0</xdr:col>
      <xdr:colOff>76199</xdr:colOff>
      <xdr:row>145</xdr:row>
      <xdr:rowOff>9525</xdr:rowOff>
    </xdr:from>
    <xdr:to>
      <xdr:col>2</xdr:col>
      <xdr:colOff>860991</xdr:colOff>
      <xdr:row>156</xdr:row>
      <xdr:rowOff>76200</xdr:rowOff>
    </xdr:to>
    <xdr:pic>
      <xdr:nvPicPr>
        <xdr:cNvPr id="5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6199" y="26641425"/>
          <a:ext cx="2223067" cy="20574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6</xdr:row>
          <xdr:rowOff>19050</xdr:rowOff>
        </xdr:from>
        <xdr:to>
          <xdr:col>1</xdr:col>
          <xdr:colOff>685800</xdr:colOff>
          <xdr:row>6</xdr:row>
          <xdr:rowOff>219075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6</xdr:row>
          <xdr:rowOff>19050</xdr:rowOff>
        </xdr:from>
        <xdr:to>
          <xdr:col>5</xdr:col>
          <xdr:colOff>647700</xdr:colOff>
          <xdr:row>6</xdr:row>
          <xdr:rowOff>219075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6</xdr:row>
          <xdr:rowOff>19050</xdr:rowOff>
        </xdr:from>
        <xdr:to>
          <xdr:col>3</xdr:col>
          <xdr:colOff>771525</xdr:colOff>
          <xdr:row>6</xdr:row>
          <xdr:rowOff>219075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33</xdr:row>
          <xdr:rowOff>171450</xdr:rowOff>
        </xdr:from>
        <xdr:to>
          <xdr:col>1</xdr:col>
          <xdr:colOff>733425</xdr:colOff>
          <xdr:row>35</xdr:row>
          <xdr:rowOff>19050</xdr:rowOff>
        </xdr:to>
        <xdr:sp macro="" textlink="">
          <xdr:nvSpPr>
            <xdr:cNvPr id="3076" name="Drop Dow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72</xdr:row>
          <xdr:rowOff>171450</xdr:rowOff>
        </xdr:from>
        <xdr:to>
          <xdr:col>1</xdr:col>
          <xdr:colOff>657225</xdr:colOff>
          <xdr:row>74</xdr:row>
          <xdr:rowOff>19050</xdr:rowOff>
        </xdr:to>
        <xdr:sp macro="" textlink="">
          <xdr:nvSpPr>
            <xdr:cNvPr id="3077" name="Option Button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Circular</a:t>
              </a:r>
              <a:endParaRPr lang="pt-B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84</xdr:row>
          <xdr:rowOff>66675</xdr:rowOff>
        </xdr:from>
        <xdr:to>
          <xdr:col>1</xdr:col>
          <xdr:colOff>628650</xdr:colOff>
          <xdr:row>85</xdr:row>
          <xdr:rowOff>104775</xdr:rowOff>
        </xdr:to>
        <xdr:sp macro="" textlink="">
          <xdr:nvSpPr>
            <xdr:cNvPr id="3078" name="Option Button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Retangular</a:t>
              </a:r>
              <a:endParaRPr lang="pt-B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96</xdr:row>
          <xdr:rowOff>28575</xdr:rowOff>
        </xdr:from>
        <xdr:to>
          <xdr:col>1</xdr:col>
          <xdr:colOff>581025</xdr:colOff>
          <xdr:row>97</xdr:row>
          <xdr:rowOff>57150</xdr:rowOff>
        </xdr:to>
        <xdr:sp macro="" textlink="">
          <xdr:nvSpPr>
            <xdr:cNvPr id="3079" name="Option Button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Seção "T"</a:t>
              </a:r>
              <a:endParaRPr lang="pt-B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111</xdr:row>
          <xdr:rowOff>133350</xdr:rowOff>
        </xdr:from>
        <xdr:to>
          <xdr:col>1</xdr:col>
          <xdr:colOff>581025</xdr:colOff>
          <xdr:row>112</xdr:row>
          <xdr:rowOff>171450</xdr:rowOff>
        </xdr:to>
        <xdr:sp macro="" textlink="">
          <xdr:nvSpPr>
            <xdr:cNvPr id="3080" name="Option Button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Seção "I"</a:t>
              </a:r>
              <a:endParaRPr lang="pt-B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126</xdr:row>
          <xdr:rowOff>114300</xdr:rowOff>
        </xdr:from>
        <xdr:to>
          <xdr:col>1</xdr:col>
          <xdr:colOff>552450</xdr:colOff>
          <xdr:row>127</xdr:row>
          <xdr:rowOff>152400</xdr:rowOff>
        </xdr:to>
        <xdr:sp macro="" textlink="">
          <xdr:nvSpPr>
            <xdr:cNvPr id="3081" name="Option Button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Seção "PI"</a:t>
              </a:r>
              <a:endParaRPr lang="pt-B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142</xdr:row>
          <xdr:rowOff>104775</xdr:rowOff>
        </xdr:from>
        <xdr:to>
          <xdr:col>1</xdr:col>
          <xdr:colOff>542925</xdr:colOff>
          <xdr:row>143</xdr:row>
          <xdr:rowOff>142875</xdr:rowOff>
        </xdr:to>
        <xdr:sp macro="" textlink="">
          <xdr:nvSpPr>
            <xdr:cNvPr id="3082" name="Option Button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Seção Dupla</a:t>
              </a:r>
              <a:endParaRPr lang="pt-B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194</xdr:row>
          <xdr:rowOff>9525</xdr:rowOff>
        </xdr:from>
        <xdr:to>
          <xdr:col>3</xdr:col>
          <xdr:colOff>1066800</xdr:colOff>
          <xdr:row>195</xdr:row>
          <xdr:rowOff>28575</xdr:rowOff>
        </xdr:to>
        <xdr:sp macro="" textlink="">
          <xdr:nvSpPr>
            <xdr:cNvPr id="3086" name="Drop Down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205</xdr:row>
          <xdr:rowOff>0</xdr:rowOff>
        </xdr:from>
        <xdr:to>
          <xdr:col>6</xdr:col>
          <xdr:colOff>1162050</xdr:colOff>
          <xdr:row>206</xdr:row>
          <xdr:rowOff>0</xdr:rowOff>
        </xdr:to>
        <xdr:sp macro="" textlink="">
          <xdr:nvSpPr>
            <xdr:cNvPr id="3087" name="Drop Down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223</xdr:row>
          <xdr:rowOff>19050</xdr:rowOff>
        </xdr:from>
        <xdr:to>
          <xdr:col>2</xdr:col>
          <xdr:colOff>247650</xdr:colOff>
          <xdr:row>225</xdr:row>
          <xdr:rowOff>171450</xdr:rowOff>
        </xdr:to>
        <xdr:sp macro="" textlink="">
          <xdr:nvSpPr>
            <xdr:cNvPr id="3088" name="Object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227</xdr:row>
          <xdr:rowOff>28575</xdr:rowOff>
        </xdr:from>
        <xdr:to>
          <xdr:col>1</xdr:col>
          <xdr:colOff>695325</xdr:colOff>
          <xdr:row>229</xdr:row>
          <xdr:rowOff>171450</xdr:rowOff>
        </xdr:to>
        <xdr:sp macro="" textlink="">
          <xdr:nvSpPr>
            <xdr:cNvPr id="3089" name="Object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233</xdr:row>
          <xdr:rowOff>76200</xdr:rowOff>
        </xdr:from>
        <xdr:to>
          <xdr:col>3</xdr:col>
          <xdr:colOff>990600</xdr:colOff>
          <xdr:row>236</xdr:row>
          <xdr:rowOff>95250</xdr:rowOff>
        </xdr:to>
        <xdr:sp macro="" textlink="">
          <xdr:nvSpPr>
            <xdr:cNvPr id="3090" name="Object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239</xdr:row>
          <xdr:rowOff>76200</xdr:rowOff>
        </xdr:from>
        <xdr:to>
          <xdr:col>3</xdr:col>
          <xdr:colOff>1000125</xdr:colOff>
          <xdr:row>242</xdr:row>
          <xdr:rowOff>142875</xdr:rowOff>
        </xdr:to>
        <xdr:sp macro="" textlink="">
          <xdr:nvSpPr>
            <xdr:cNvPr id="3091" name="Object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246</xdr:row>
          <xdr:rowOff>19050</xdr:rowOff>
        </xdr:from>
        <xdr:to>
          <xdr:col>2</xdr:col>
          <xdr:colOff>247650</xdr:colOff>
          <xdr:row>248</xdr:row>
          <xdr:rowOff>171450</xdr:rowOff>
        </xdr:to>
        <xdr:sp macro="" textlink="">
          <xdr:nvSpPr>
            <xdr:cNvPr id="3092" name="Object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250</xdr:row>
          <xdr:rowOff>28575</xdr:rowOff>
        </xdr:from>
        <xdr:to>
          <xdr:col>1</xdr:col>
          <xdr:colOff>695325</xdr:colOff>
          <xdr:row>252</xdr:row>
          <xdr:rowOff>171450</xdr:rowOff>
        </xdr:to>
        <xdr:sp macro="" textlink="">
          <xdr:nvSpPr>
            <xdr:cNvPr id="3093" name="Object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533400</xdr:colOff>
          <xdr:row>263</xdr:row>
          <xdr:rowOff>66675</xdr:rowOff>
        </xdr:from>
        <xdr:to>
          <xdr:col>4</xdr:col>
          <xdr:colOff>685800</xdr:colOff>
          <xdr:row>266</xdr:row>
          <xdr:rowOff>123825</xdr:rowOff>
        </xdr:to>
        <xdr:sp macro="" textlink="">
          <xdr:nvSpPr>
            <xdr:cNvPr id="3094" name="Object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523875</xdr:colOff>
          <xdr:row>268</xdr:row>
          <xdr:rowOff>66675</xdr:rowOff>
        </xdr:from>
        <xdr:to>
          <xdr:col>4</xdr:col>
          <xdr:colOff>704850</xdr:colOff>
          <xdr:row>271</xdr:row>
          <xdr:rowOff>133350</xdr:rowOff>
        </xdr:to>
        <xdr:sp macro="" textlink="">
          <xdr:nvSpPr>
            <xdr:cNvPr id="3095" name="Object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104775</xdr:colOff>
          <xdr:row>73</xdr:row>
          <xdr:rowOff>47625</xdr:rowOff>
        </xdr:from>
        <xdr:to>
          <xdr:col>7</xdr:col>
          <xdr:colOff>704850</xdr:colOff>
          <xdr:row>75</xdr:row>
          <xdr:rowOff>114300</xdr:rowOff>
        </xdr:to>
        <xdr:sp macro="" textlink="">
          <xdr:nvSpPr>
            <xdr:cNvPr id="3096" name="Spinner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142875</xdr:colOff>
          <xdr:row>85</xdr:row>
          <xdr:rowOff>19050</xdr:rowOff>
        </xdr:from>
        <xdr:to>
          <xdr:col>7</xdr:col>
          <xdr:colOff>676275</xdr:colOff>
          <xdr:row>87</xdr:row>
          <xdr:rowOff>133350</xdr:rowOff>
        </xdr:to>
        <xdr:sp macro="" textlink="">
          <xdr:nvSpPr>
            <xdr:cNvPr id="3097" name="Spinner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85</xdr:row>
          <xdr:rowOff>28575</xdr:rowOff>
        </xdr:from>
        <xdr:to>
          <xdr:col>8</xdr:col>
          <xdr:colOff>590550</xdr:colOff>
          <xdr:row>87</xdr:row>
          <xdr:rowOff>142875</xdr:rowOff>
        </xdr:to>
        <xdr:sp macro="" textlink="">
          <xdr:nvSpPr>
            <xdr:cNvPr id="3101" name="Spinner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114300</xdr:colOff>
          <xdr:row>97</xdr:row>
          <xdr:rowOff>28575</xdr:rowOff>
        </xdr:from>
        <xdr:to>
          <xdr:col>7</xdr:col>
          <xdr:colOff>647700</xdr:colOff>
          <xdr:row>99</xdr:row>
          <xdr:rowOff>142875</xdr:rowOff>
        </xdr:to>
        <xdr:sp macro="" textlink="">
          <xdr:nvSpPr>
            <xdr:cNvPr id="3102" name="Spinner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76200</xdr:colOff>
          <xdr:row>97</xdr:row>
          <xdr:rowOff>28575</xdr:rowOff>
        </xdr:from>
        <xdr:to>
          <xdr:col>8</xdr:col>
          <xdr:colOff>609600</xdr:colOff>
          <xdr:row>99</xdr:row>
          <xdr:rowOff>142875</xdr:rowOff>
        </xdr:to>
        <xdr:sp macro="" textlink="">
          <xdr:nvSpPr>
            <xdr:cNvPr id="3103" name="Spinner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95250</xdr:colOff>
          <xdr:row>101</xdr:row>
          <xdr:rowOff>28575</xdr:rowOff>
        </xdr:from>
        <xdr:to>
          <xdr:col>7</xdr:col>
          <xdr:colOff>628650</xdr:colOff>
          <xdr:row>103</xdr:row>
          <xdr:rowOff>161925</xdr:rowOff>
        </xdr:to>
        <xdr:sp macro="" textlink="">
          <xdr:nvSpPr>
            <xdr:cNvPr id="3104" name="Spinner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101</xdr:row>
          <xdr:rowOff>28575</xdr:rowOff>
        </xdr:from>
        <xdr:to>
          <xdr:col>8</xdr:col>
          <xdr:colOff>600075</xdr:colOff>
          <xdr:row>103</xdr:row>
          <xdr:rowOff>161925</xdr:rowOff>
        </xdr:to>
        <xdr:sp macro="" textlink="">
          <xdr:nvSpPr>
            <xdr:cNvPr id="3105" name="Spinner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183</xdr:row>
          <xdr:rowOff>57150</xdr:rowOff>
        </xdr:from>
        <xdr:to>
          <xdr:col>7</xdr:col>
          <xdr:colOff>485775</xdr:colOff>
          <xdr:row>193</xdr:row>
          <xdr:rowOff>85725</xdr:rowOff>
        </xdr:to>
        <xdr:sp macro="" textlink="">
          <xdr:nvSpPr>
            <xdr:cNvPr id="3107" name="Scroll Bar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183</xdr:row>
          <xdr:rowOff>28575</xdr:rowOff>
        </xdr:from>
        <xdr:to>
          <xdr:col>8</xdr:col>
          <xdr:colOff>476250</xdr:colOff>
          <xdr:row>193</xdr:row>
          <xdr:rowOff>57150</xdr:rowOff>
        </xdr:to>
        <xdr:sp macro="" textlink="">
          <xdr:nvSpPr>
            <xdr:cNvPr id="3108" name="Scroll Bar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258</xdr:row>
          <xdr:rowOff>66675</xdr:rowOff>
        </xdr:from>
        <xdr:to>
          <xdr:col>2</xdr:col>
          <xdr:colOff>152400</xdr:colOff>
          <xdr:row>261</xdr:row>
          <xdr:rowOff>104775</xdr:rowOff>
        </xdr:to>
        <xdr:sp macro="" textlink="">
          <xdr:nvSpPr>
            <xdr:cNvPr id="3111" name="Object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114300</xdr:colOff>
          <xdr:row>112</xdr:row>
          <xdr:rowOff>28575</xdr:rowOff>
        </xdr:from>
        <xdr:to>
          <xdr:col>7</xdr:col>
          <xdr:colOff>647700</xdr:colOff>
          <xdr:row>114</xdr:row>
          <xdr:rowOff>142875</xdr:rowOff>
        </xdr:to>
        <xdr:sp macro="" textlink="">
          <xdr:nvSpPr>
            <xdr:cNvPr id="3116" name="Spinner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76200</xdr:colOff>
          <xdr:row>112</xdr:row>
          <xdr:rowOff>28575</xdr:rowOff>
        </xdr:from>
        <xdr:to>
          <xdr:col>8</xdr:col>
          <xdr:colOff>609600</xdr:colOff>
          <xdr:row>114</xdr:row>
          <xdr:rowOff>142875</xdr:rowOff>
        </xdr:to>
        <xdr:sp macro="" textlink="">
          <xdr:nvSpPr>
            <xdr:cNvPr id="3117" name="Spinner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95250</xdr:colOff>
          <xdr:row>116</xdr:row>
          <xdr:rowOff>28575</xdr:rowOff>
        </xdr:from>
        <xdr:to>
          <xdr:col>7</xdr:col>
          <xdr:colOff>628650</xdr:colOff>
          <xdr:row>118</xdr:row>
          <xdr:rowOff>161925</xdr:rowOff>
        </xdr:to>
        <xdr:sp macro="" textlink="">
          <xdr:nvSpPr>
            <xdr:cNvPr id="3118" name="Spinner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116</xdr:row>
          <xdr:rowOff>28575</xdr:rowOff>
        </xdr:from>
        <xdr:to>
          <xdr:col>8</xdr:col>
          <xdr:colOff>600075</xdr:colOff>
          <xdr:row>118</xdr:row>
          <xdr:rowOff>161925</xdr:rowOff>
        </xdr:to>
        <xdr:sp macro="" textlink="">
          <xdr:nvSpPr>
            <xdr:cNvPr id="3119" name="Spinner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114300</xdr:colOff>
          <xdr:row>127</xdr:row>
          <xdr:rowOff>28575</xdr:rowOff>
        </xdr:from>
        <xdr:to>
          <xdr:col>7</xdr:col>
          <xdr:colOff>647700</xdr:colOff>
          <xdr:row>129</xdr:row>
          <xdr:rowOff>142875</xdr:rowOff>
        </xdr:to>
        <xdr:sp macro="" textlink="">
          <xdr:nvSpPr>
            <xdr:cNvPr id="3120" name="Spinner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76200</xdr:colOff>
          <xdr:row>127</xdr:row>
          <xdr:rowOff>28575</xdr:rowOff>
        </xdr:from>
        <xdr:to>
          <xdr:col>8</xdr:col>
          <xdr:colOff>609600</xdr:colOff>
          <xdr:row>129</xdr:row>
          <xdr:rowOff>142875</xdr:rowOff>
        </xdr:to>
        <xdr:sp macro="" textlink="">
          <xdr:nvSpPr>
            <xdr:cNvPr id="3121" name="Spinner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95250</xdr:colOff>
          <xdr:row>131</xdr:row>
          <xdr:rowOff>28575</xdr:rowOff>
        </xdr:from>
        <xdr:to>
          <xdr:col>7</xdr:col>
          <xdr:colOff>628650</xdr:colOff>
          <xdr:row>133</xdr:row>
          <xdr:rowOff>161925</xdr:rowOff>
        </xdr:to>
        <xdr:sp macro="" textlink="">
          <xdr:nvSpPr>
            <xdr:cNvPr id="3122" name="Spinner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131</xdr:row>
          <xdr:rowOff>28575</xdr:rowOff>
        </xdr:from>
        <xdr:to>
          <xdr:col>8</xdr:col>
          <xdr:colOff>600075</xdr:colOff>
          <xdr:row>133</xdr:row>
          <xdr:rowOff>161925</xdr:rowOff>
        </xdr:to>
        <xdr:sp macro="" textlink="">
          <xdr:nvSpPr>
            <xdr:cNvPr id="3123" name="Spinner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6</xdr:row>
          <xdr:rowOff>19050</xdr:rowOff>
        </xdr:from>
        <xdr:to>
          <xdr:col>12</xdr:col>
          <xdr:colOff>504825</xdr:colOff>
          <xdr:row>6</xdr:row>
          <xdr:rowOff>228600</xdr:rowOff>
        </xdr:to>
        <xdr:sp macro="" textlink="">
          <xdr:nvSpPr>
            <xdr:cNvPr id="3124" name="Drop Down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114300</xdr:colOff>
          <xdr:row>199</xdr:row>
          <xdr:rowOff>28575</xdr:rowOff>
        </xdr:from>
        <xdr:to>
          <xdr:col>7</xdr:col>
          <xdr:colOff>647700</xdr:colOff>
          <xdr:row>201</xdr:row>
          <xdr:rowOff>142875</xdr:rowOff>
        </xdr:to>
        <xdr:sp macro="" textlink="">
          <xdr:nvSpPr>
            <xdr:cNvPr id="3191" name="Spinner 119" hidden="1">
              <a:extLst>
                <a:ext uri="{63B3BB69-23CF-44E3-9099-C40C66FF867C}">
                  <a14:compatExt spid="_x0000_s3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76200</xdr:colOff>
          <xdr:row>199</xdr:row>
          <xdr:rowOff>28575</xdr:rowOff>
        </xdr:from>
        <xdr:to>
          <xdr:col>8</xdr:col>
          <xdr:colOff>609600</xdr:colOff>
          <xdr:row>201</xdr:row>
          <xdr:rowOff>142875</xdr:rowOff>
        </xdr:to>
        <xdr:sp macro="" textlink="">
          <xdr:nvSpPr>
            <xdr:cNvPr id="3192" name="Spinner 120" hidden="1">
              <a:extLst>
                <a:ext uri="{63B3BB69-23CF-44E3-9099-C40C66FF867C}">
                  <a14:compatExt spid="_x0000_s3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écnica">
  <a:themeElements>
    <a:clrScheme name="Técnica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C8C3"/>
      </a:hlink>
      <a:folHlink>
        <a:srgbClr val="A116E0"/>
      </a:folHlink>
    </a:clrScheme>
    <a:fontScheme name="Técnica">
      <a:majorFont>
        <a:latin typeface="Franklin Gothic Book"/>
        <a:ea typeface=""/>
        <a:cs typeface=""/>
        <a:font script="Jpan" typeface="ＭＳ Ｐゴシック"/>
        <a:font script="Hang" typeface="HY견고딕"/>
        <a:font script="Hans" typeface="宋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HGｺﾞｼｯｸM"/>
        <a:font script="Hang" typeface="HY중고딕"/>
        <a:font script="Hans" typeface="黑体"/>
        <a:font script="Hant" typeface="微軟正黑體"/>
        <a:font script="Arab" typeface="Tahoma"/>
        <a:font script="Hebr" typeface="Levenim MT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Técnica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3000"/>
                <a:satMod val="150000"/>
              </a:schemeClr>
            </a:gs>
            <a:gs pos="25000">
              <a:schemeClr val="phClr">
                <a:tint val="96000"/>
                <a:shade val="80000"/>
                <a:satMod val="105000"/>
              </a:schemeClr>
            </a:gs>
            <a:gs pos="38000">
              <a:schemeClr val="phClr">
                <a:tint val="96000"/>
                <a:shade val="59000"/>
                <a:satMod val="120000"/>
              </a:schemeClr>
            </a:gs>
            <a:gs pos="55000">
              <a:schemeClr val="phClr">
                <a:shade val="57000"/>
                <a:satMod val="120000"/>
              </a:schemeClr>
            </a:gs>
            <a:gs pos="80000">
              <a:schemeClr val="phClr">
                <a:shade val="56000"/>
                <a:satMod val="145000"/>
              </a:schemeClr>
            </a:gs>
            <a:gs pos="88000">
              <a:schemeClr val="phClr">
                <a:shade val="63000"/>
                <a:satMod val="160000"/>
              </a:schemeClr>
            </a:gs>
            <a:gs pos="100000">
              <a:schemeClr val="phClr">
                <a:tint val="99555"/>
                <a:satMod val="155000"/>
              </a:schemeClr>
            </a:gs>
          </a:gsLst>
          <a:lin ang="5400000" scaled="1"/>
        </a:gradFill>
      </a:fillStyleLst>
      <a:lnStyleLst>
        <a:ln w="952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60000" t="50000" r="4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oleObject" Target="../embeddings/oleObject6.bin"/><Relationship Id="rId18" Type="http://schemas.openxmlformats.org/officeDocument/2006/relationships/oleObject" Target="../embeddings/oleObject9.bin"/><Relationship Id="rId26" Type="http://schemas.openxmlformats.org/officeDocument/2006/relationships/ctrlProp" Target="../ctrlProps/ctrlProp7.xml"/><Relationship Id="rId39" Type="http://schemas.openxmlformats.org/officeDocument/2006/relationships/ctrlProp" Target="../ctrlProps/ctrlProp20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2.xml"/><Relationship Id="rId34" Type="http://schemas.openxmlformats.org/officeDocument/2006/relationships/ctrlProp" Target="../ctrlProps/ctrlProp15.xml"/><Relationship Id="rId42" Type="http://schemas.openxmlformats.org/officeDocument/2006/relationships/ctrlProp" Target="../ctrlProps/ctrlProp23.xml"/><Relationship Id="rId47" Type="http://schemas.openxmlformats.org/officeDocument/2006/relationships/ctrlProp" Target="../ctrlProps/ctrlProp28.xml"/><Relationship Id="rId50" Type="http://schemas.openxmlformats.org/officeDocument/2006/relationships/ctrlProp" Target="../ctrlProps/ctrlProp31.x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6.emf"/><Relationship Id="rId25" Type="http://schemas.openxmlformats.org/officeDocument/2006/relationships/ctrlProp" Target="../ctrlProps/ctrlProp6.xml"/><Relationship Id="rId33" Type="http://schemas.openxmlformats.org/officeDocument/2006/relationships/ctrlProp" Target="../ctrlProps/ctrlProp14.xml"/><Relationship Id="rId38" Type="http://schemas.openxmlformats.org/officeDocument/2006/relationships/ctrlProp" Target="../ctrlProps/ctrlProp19.xml"/><Relationship Id="rId46" Type="http://schemas.openxmlformats.org/officeDocument/2006/relationships/ctrlProp" Target="../ctrlProps/ctrlProp27.xml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8.bin"/><Relationship Id="rId20" Type="http://schemas.openxmlformats.org/officeDocument/2006/relationships/ctrlProp" Target="../ctrlProps/ctrlProp1.xml"/><Relationship Id="rId29" Type="http://schemas.openxmlformats.org/officeDocument/2006/relationships/ctrlProp" Target="../ctrlProps/ctrlProp10.xml"/><Relationship Id="rId41" Type="http://schemas.openxmlformats.org/officeDocument/2006/relationships/ctrlProp" Target="../ctrlProps/ctrlProp22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24" Type="http://schemas.openxmlformats.org/officeDocument/2006/relationships/ctrlProp" Target="../ctrlProps/ctrlProp5.xml"/><Relationship Id="rId32" Type="http://schemas.openxmlformats.org/officeDocument/2006/relationships/ctrlProp" Target="../ctrlProps/ctrlProp13.xml"/><Relationship Id="rId37" Type="http://schemas.openxmlformats.org/officeDocument/2006/relationships/ctrlProp" Target="../ctrlProps/ctrlProp18.xml"/><Relationship Id="rId40" Type="http://schemas.openxmlformats.org/officeDocument/2006/relationships/ctrlProp" Target="../ctrlProps/ctrlProp21.xml"/><Relationship Id="rId45" Type="http://schemas.openxmlformats.org/officeDocument/2006/relationships/ctrlProp" Target="../ctrlProps/ctrlProp26.xml"/><Relationship Id="rId5" Type="http://schemas.openxmlformats.org/officeDocument/2006/relationships/image" Target="../media/image1.emf"/><Relationship Id="rId15" Type="http://schemas.openxmlformats.org/officeDocument/2006/relationships/image" Target="../media/image5.emf"/><Relationship Id="rId23" Type="http://schemas.openxmlformats.org/officeDocument/2006/relationships/ctrlProp" Target="../ctrlProps/ctrlProp4.xml"/><Relationship Id="rId28" Type="http://schemas.openxmlformats.org/officeDocument/2006/relationships/ctrlProp" Target="../ctrlProps/ctrlProp9.xml"/><Relationship Id="rId36" Type="http://schemas.openxmlformats.org/officeDocument/2006/relationships/ctrlProp" Target="../ctrlProps/ctrlProp17.xml"/><Relationship Id="rId49" Type="http://schemas.openxmlformats.org/officeDocument/2006/relationships/ctrlProp" Target="../ctrlProps/ctrlProp30.xml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7.emf"/><Relationship Id="rId31" Type="http://schemas.openxmlformats.org/officeDocument/2006/relationships/ctrlProp" Target="../ctrlProps/ctrlProp12.xml"/><Relationship Id="rId44" Type="http://schemas.openxmlformats.org/officeDocument/2006/relationships/ctrlProp" Target="../ctrlProps/ctrlProp25.xml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7.bin"/><Relationship Id="rId22" Type="http://schemas.openxmlformats.org/officeDocument/2006/relationships/ctrlProp" Target="../ctrlProps/ctrlProp3.xml"/><Relationship Id="rId27" Type="http://schemas.openxmlformats.org/officeDocument/2006/relationships/ctrlProp" Target="../ctrlProps/ctrlProp8.xml"/><Relationship Id="rId30" Type="http://schemas.openxmlformats.org/officeDocument/2006/relationships/ctrlProp" Target="../ctrlProps/ctrlProp11.xml"/><Relationship Id="rId35" Type="http://schemas.openxmlformats.org/officeDocument/2006/relationships/ctrlProp" Target="../ctrlProps/ctrlProp16.xml"/><Relationship Id="rId43" Type="http://schemas.openxmlformats.org/officeDocument/2006/relationships/ctrlProp" Target="../ctrlProps/ctrlProp24.xml"/><Relationship Id="rId48" Type="http://schemas.openxmlformats.org/officeDocument/2006/relationships/ctrlProp" Target="../ctrlProps/ctrlProp29.xml"/><Relationship Id="rId8" Type="http://schemas.openxmlformats.org/officeDocument/2006/relationships/oleObject" Target="../embeddings/oleObject3.bin"/><Relationship Id="rId51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>
    <tabColor theme="5" tint="-0.499984740745262"/>
  </sheetPr>
  <dimension ref="A1:M293"/>
  <sheetViews>
    <sheetView tabSelected="1" workbookViewId="0">
      <pane ySplit="9" topLeftCell="A67" activePane="bottomLeft" state="frozen"/>
      <selection pane="bottomLeft" activeCell="C8" sqref="C8:D8"/>
    </sheetView>
  </sheetViews>
  <sheetFormatPr defaultRowHeight="14.25" x14ac:dyDescent="0.2"/>
  <cols>
    <col min="2" max="2" width="9.875" customWidth="1"/>
    <col min="3" max="3" width="12.25" customWidth="1"/>
    <col min="4" max="4" width="15.625" customWidth="1"/>
    <col min="5" max="5" width="12.375" customWidth="1"/>
    <col min="6" max="6" width="11.875" customWidth="1"/>
    <col min="7" max="7" width="16.75" customWidth="1"/>
    <col min="8" max="8" width="10.375" bestFit="1" customWidth="1"/>
    <col min="9" max="9" width="8.875" bestFit="1" customWidth="1"/>
    <col min="10" max="10" width="10.875" bestFit="1" customWidth="1"/>
    <col min="11" max="11" width="11.75" bestFit="1" customWidth="1"/>
    <col min="12" max="12" width="11.25" bestFit="1" customWidth="1"/>
    <col min="13" max="13" width="12.25" bestFit="1" customWidth="1"/>
  </cols>
  <sheetData>
    <row r="1" spans="1:13" ht="26.25" x14ac:dyDescent="0.25">
      <c r="A1" s="232" t="s">
        <v>23</v>
      </c>
      <c r="B1" s="232"/>
      <c r="C1" s="232"/>
      <c r="D1" s="232"/>
      <c r="E1" s="232"/>
      <c r="F1" s="232"/>
      <c r="G1" s="232"/>
      <c r="H1" s="211" t="s">
        <v>416</v>
      </c>
      <c r="I1" s="167" t="s">
        <v>359</v>
      </c>
      <c r="J1" s="167" t="s">
        <v>383</v>
      </c>
      <c r="K1" s="167" t="s">
        <v>361</v>
      </c>
      <c r="L1" s="167" t="s">
        <v>360</v>
      </c>
      <c r="M1" s="167" t="s">
        <v>373</v>
      </c>
    </row>
    <row r="2" spans="1:13" ht="15" x14ac:dyDescent="0.25">
      <c r="E2" s="219" t="s">
        <v>415</v>
      </c>
      <c r="F2" s="219"/>
      <c r="G2" s="219"/>
      <c r="I2" s="163">
        <f>D239</f>
        <v>0.01</v>
      </c>
      <c r="J2" s="164">
        <f>D258</f>
        <v>0.14523600000000003</v>
      </c>
      <c r="K2" s="164">
        <f>D268</f>
        <v>-2.4656029135887487</v>
      </c>
      <c r="L2" s="164">
        <f>D273</f>
        <v>2.4656029135887487</v>
      </c>
      <c r="M2" s="165">
        <f>D280</f>
        <v>15.434177089858274</v>
      </c>
    </row>
    <row r="3" spans="1:13" ht="15" x14ac:dyDescent="0.25">
      <c r="A3" s="22" t="s">
        <v>33</v>
      </c>
      <c r="I3" s="157">
        <f>F239</f>
        <v>1.7500000000000002E-2</v>
      </c>
      <c r="J3" s="157">
        <f>F258</f>
        <v>5.7538602061222499E-3</v>
      </c>
      <c r="K3" s="157">
        <f>F268</f>
        <v>1.2476128928674505E-2</v>
      </c>
      <c r="L3" s="157">
        <f>F273</f>
        <v>6.9095841831383811E-3</v>
      </c>
      <c r="M3" s="157">
        <f>F280</f>
        <v>0.12958254841550254</v>
      </c>
    </row>
    <row r="4" spans="1:13" ht="15" x14ac:dyDescent="0.25">
      <c r="I4" s="157" t="str">
        <f>G239</f>
        <v>OK</v>
      </c>
      <c r="J4" s="157" t="str">
        <f>G258</f>
        <v>OK</v>
      </c>
      <c r="K4" s="157" t="str">
        <f>G268</f>
        <v>OK</v>
      </c>
      <c r="L4" s="157" t="str">
        <f>G273</f>
        <v>OK</v>
      </c>
      <c r="M4" s="157" t="str">
        <f>G280</f>
        <v>OK</v>
      </c>
    </row>
    <row r="5" spans="1:13" ht="15" x14ac:dyDescent="0.25">
      <c r="A5" s="242" t="s">
        <v>25</v>
      </c>
      <c r="B5" s="242"/>
      <c r="C5" s="242" t="s">
        <v>26</v>
      </c>
      <c r="D5" s="242"/>
      <c r="E5" s="242" t="s">
        <v>9</v>
      </c>
      <c r="F5" s="242"/>
      <c r="I5" s="166">
        <f>D196</f>
        <v>0.5714285714285714</v>
      </c>
    </row>
    <row r="6" spans="1:13" ht="15" x14ac:dyDescent="0.25">
      <c r="A6" s="220" t="s">
        <v>8</v>
      </c>
      <c r="B6" s="220"/>
      <c r="C6" s="220" t="s">
        <v>0</v>
      </c>
      <c r="D6" s="220"/>
      <c r="E6" s="220" t="s">
        <v>1</v>
      </c>
      <c r="F6" s="220"/>
      <c r="I6" s="15" t="s">
        <v>370</v>
      </c>
      <c r="J6" s="158">
        <f>C192/100</f>
        <v>2</v>
      </c>
      <c r="K6" s="247" t="s">
        <v>380</v>
      </c>
      <c r="L6" s="248"/>
      <c r="M6" s="248"/>
    </row>
    <row r="7" spans="1:13" ht="18.75" customHeight="1" x14ac:dyDescent="0.25">
      <c r="A7" s="199">
        <v>2</v>
      </c>
      <c r="B7" s="199"/>
      <c r="C7" s="199">
        <v>3</v>
      </c>
      <c r="D7" s="199"/>
      <c r="E7" s="199">
        <v>1</v>
      </c>
      <c r="F7" s="199"/>
      <c r="I7" s="15" t="s">
        <v>369</v>
      </c>
      <c r="J7" s="158">
        <f>F183/100</f>
        <v>0</v>
      </c>
      <c r="K7" s="250"/>
      <c r="L7" s="250"/>
      <c r="M7" s="250"/>
    </row>
    <row r="8" spans="1:13" ht="15" x14ac:dyDescent="0.25">
      <c r="A8" s="221">
        <f>LOOKUP(A7,'Tabelas de Cálculo'!A2:A7,'Tabelas de Cálculo'!C2:C7)</f>
        <v>0.7</v>
      </c>
      <c r="B8" s="221"/>
      <c r="C8" s="221">
        <f>LOOKUP(C7,'Tabelas de Cálculo'!A10:A14,'Tabelas de Cálculo'!C10:C14)</f>
        <v>0.8</v>
      </c>
      <c r="D8" s="221"/>
      <c r="E8" s="222">
        <f>LOOKUP(E7,'Tabelas de Cálculo'!A17:A22,'Tabelas de Cálculo'!C17:C22)</f>
        <v>1</v>
      </c>
      <c r="F8" s="222"/>
      <c r="I8" s="2" t="s">
        <v>414</v>
      </c>
      <c r="J8" s="198">
        <f>J6*J7</f>
        <v>0</v>
      </c>
    </row>
    <row r="9" spans="1:13" ht="15" x14ac:dyDescent="0.25">
      <c r="A9" s="246" t="s">
        <v>24</v>
      </c>
      <c r="B9" s="246"/>
      <c r="C9" s="246"/>
      <c r="D9" s="246"/>
      <c r="E9" s="245">
        <f>A8*C8*E8</f>
        <v>0.55999999999999994</v>
      </c>
      <c r="F9" s="245"/>
      <c r="I9" s="15" t="s">
        <v>384</v>
      </c>
      <c r="J9" s="168" t="e">
        <f>D217/F183*1000*100</f>
        <v>#DIV/0!</v>
      </c>
    </row>
    <row r="10" spans="1:13" ht="8.25" customHeight="1" x14ac:dyDescent="0.2"/>
    <row r="11" spans="1:13" x14ac:dyDescent="0.2">
      <c r="A11" s="24" t="s">
        <v>27</v>
      </c>
      <c r="B11" s="24"/>
      <c r="C11" s="24"/>
      <c r="D11" s="24"/>
    </row>
    <row r="12" spans="1:13" x14ac:dyDescent="0.2">
      <c r="A12" s="24" t="s">
        <v>28</v>
      </c>
      <c r="B12" s="24"/>
      <c r="C12" s="24"/>
      <c r="D12" s="25">
        <v>0</v>
      </c>
    </row>
    <row r="13" spans="1:13" x14ac:dyDescent="0.2">
      <c r="A13" s="24" t="s">
        <v>29</v>
      </c>
      <c r="B13" s="24"/>
      <c r="C13" s="24"/>
      <c r="D13" s="25">
        <v>0</v>
      </c>
    </row>
    <row r="14" spans="1:13" ht="9" customHeight="1" x14ac:dyDescent="0.2"/>
    <row r="15" spans="1:13" x14ac:dyDescent="0.2">
      <c r="A15" s="22" t="s">
        <v>34</v>
      </c>
    </row>
    <row r="16" spans="1:13" ht="6.75" customHeight="1" x14ac:dyDescent="0.2"/>
    <row r="17" spans="1:7" ht="15" x14ac:dyDescent="0.25">
      <c r="A17" t="s">
        <v>30</v>
      </c>
      <c r="D17" s="243" t="str">
        <f>LOOKUP(C7,'Tabelas de Cálculo'!A10:A14,'Tabelas de Cálculo'!B10:B14)</f>
        <v>III = 18%</v>
      </c>
      <c r="E17" s="243"/>
    </row>
    <row r="18" spans="1:7" ht="15" x14ac:dyDescent="0.25">
      <c r="A18" t="s">
        <v>31</v>
      </c>
      <c r="D18" s="244" t="str">
        <f>LOOKUP(A7,'Tabelas de Cálculo'!A2:A7,'Tabelas de Cálculo'!B2:B7)</f>
        <v>Longa Duração</v>
      </c>
      <c r="E18" s="244"/>
    </row>
    <row r="19" spans="1:7" ht="15" x14ac:dyDescent="0.25">
      <c r="A19" t="s">
        <v>32</v>
      </c>
      <c r="D19" s="243">
        <f>IF(C8=1,IF(A8=0.6,0.8,IF(A8=0.7,0.8,IF(A8=0.8,0.3,IF(A8=0.9,0.1,IF(A8=1.1,0.1,IF(A8=1,0.8,2)))))),IF(C8=0.8,IF(A8=0.6,2,IF(A8=0.7,2,IF(A8=0.8,1,IF(A8=0.9,0.5,IF(A8=1.1,0.5,IF(A8=1,2,2)))))),2))</f>
        <v>2</v>
      </c>
      <c r="E19" s="243"/>
    </row>
    <row r="21" spans="1:7" x14ac:dyDescent="0.2">
      <c r="A21" s="22" t="s">
        <v>46</v>
      </c>
    </row>
    <row r="23" spans="1:7" ht="15" x14ac:dyDescent="0.25">
      <c r="A23" s="242" t="s">
        <v>35</v>
      </c>
      <c r="B23" s="242"/>
      <c r="C23" s="18" t="s">
        <v>36</v>
      </c>
      <c r="D23" s="18" t="s">
        <v>37</v>
      </c>
      <c r="E23" s="18" t="s">
        <v>38</v>
      </c>
    </row>
    <row r="24" spans="1:7" ht="15" x14ac:dyDescent="0.25">
      <c r="A24" s="2" t="s">
        <v>40</v>
      </c>
      <c r="B24" s="2"/>
      <c r="C24" s="16">
        <v>0.7</v>
      </c>
      <c r="D24" s="16">
        <v>1.4</v>
      </c>
      <c r="E24" s="17">
        <f>C24/D24</f>
        <v>0.5</v>
      </c>
    </row>
    <row r="25" spans="1:7" ht="15" x14ac:dyDescent="0.25">
      <c r="A25" s="2" t="s">
        <v>42</v>
      </c>
      <c r="B25" s="2"/>
      <c r="C25" s="16">
        <v>0.7</v>
      </c>
      <c r="D25" s="16">
        <v>1.8</v>
      </c>
      <c r="E25" s="17">
        <f>C25/D25</f>
        <v>0.38888888888888884</v>
      </c>
    </row>
    <row r="26" spans="1:7" ht="15" x14ac:dyDescent="0.25">
      <c r="A26" s="2" t="s">
        <v>44</v>
      </c>
      <c r="B26" s="2"/>
      <c r="C26" s="16">
        <v>0.54</v>
      </c>
      <c r="D26" s="16">
        <v>1.8</v>
      </c>
      <c r="E26" s="17">
        <f>C26/D26</f>
        <v>0.3</v>
      </c>
    </row>
    <row r="27" spans="1:7" ht="6.75" customHeight="1" x14ac:dyDescent="0.2">
      <c r="A27" s="20"/>
      <c r="B27" s="20"/>
      <c r="C27" s="20"/>
      <c r="D27" s="20"/>
      <c r="E27" s="20"/>
      <c r="F27" s="20"/>
      <c r="G27" s="20"/>
    </row>
    <row r="28" spans="1:7" x14ac:dyDescent="0.2">
      <c r="A28" s="26" t="s">
        <v>39</v>
      </c>
      <c r="B28" s="21"/>
      <c r="C28" s="21"/>
      <c r="D28" s="21"/>
      <c r="E28" s="51"/>
      <c r="F28" s="20"/>
      <c r="G28" s="20"/>
    </row>
    <row r="29" spans="1:7" x14ac:dyDescent="0.2">
      <c r="A29" s="26" t="s">
        <v>41</v>
      </c>
      <c r="B29" s="21"/>
      <c r="C29" s="21"/>
      <c r="D29" s="21"/>
      <c r="E29" s="51"/>
      <c r="F29" s="20"/>
      <c r="G29" s="20"/>
    </row>
    <row r="30" spans="1:7" x14ac:dyDescent="0.2">
      <c r="A30" s="26" t="s">
        <v>43</v>
      </c>
      <c r="B30" s="21"/>
      <c r="C30" s="21"/>
      <c r="D30" s="21"/>
      <c r="E30" s="51"/>
      <c r="F30" s="20"/>
      <c r="G30" s="20"/>
    </row>
    <row r="31" spans="1:7" x14ac:dyDescent="0.2">
      <c r="A31" s="26" t="s">
        <v>45</v>
      </c>
      <c r="B31" s="21"/>
      <c r="C31" s="21"/>
      <c r="D31" s="21"/>
      <c r="E31" s="51"/>
      <c r="F31" s="20"/>
      <c r="G31" s="20"/>
    </row>
    <row r="32" spans="1:7" x14ac:dyDescent="0.2">
      <c r="A32" s="20"/>
      <c r="B32" s="20"/>
      <c r="C32" s="20"/>
      <c r="D32" s="20"/>
      <c r="E32" s="20"/>
      <c r="F32" s="20"/>
      <c r="G32" s="20"/>
    </row>
    <row r="33" spans="1:7" x14ac:dyDescent="0.2">
      <c r="A33" s="22" t="s">
        <v>47</v>
      </c>
    </row>
    <row r="35" spans="1:7" x14ac:dyDescent="0.2">
      <c r="A35" s="199">
        <v>23</v>
      </c>
      <c r="B35" s="199"/>
      <c r="C35" s="236" t="s">
        <v>140</v>
      </c>
      <c r="D35" s="236"/>
      <c r="E35" s="205">
        <f>LOOKUP(A35,MADEIRAS!A3:A65,MADEIRAS!J3:J65)</f>
        <v>0</v>
      </c>
    </row>
    <row r="37" spans="1:7" ht="15" x14ac:dyDescent="0.25">
      <c r="D37" s="237" t="s">
        <v>164</v>
      </c>
      <c r="E37" s="238"/>
      <c r="F37" s="69">
        <f>E9</f>
        <v>0.55999999999999994</v>
      </c>
    </row>
    <row r="38" spans="1:7" ht="15" x14ac:dyDescent="0.25">
      <c r="A38" s="66" t="s">
        <v>141</v>
      </c>
      <c r="B38" s="64"/>
      <c r="C38" s="64"/>
      <c r="D38" s="50" t="s">
        <v>157</v>
      </c>
      <c r="E38" s="70">
        <f>IF(OR(E35="C20",E35="C30",E35="C40",E35="C50",E35="C60"),LOOKUP(A35,MADEIRAS!A3:A65,MADEIRAS!E3:E65),((LOOKUP(A35,MADEIRAS!A3:A65,MADEIRAS!E3:E65)-LOOKUP(A35,MADEIRAS!A3:A65,MADEIRAS!F3:F65))/15*12)+LOOKUP(A35,MADEIRAS!A3:A65,MADEIRAS!F3:F65))</f>
        <v>744.80000000000007</v>
      </c>
      <c r="G38" s="78" t="s">
        <v>176</v>
      </c>
    </row>
    <row r="39" spans="1:7" ht="15" x14ac:dyDescent="0.25">
      <c r="A39" s="67" t="s">
        <v>142</v>
      </c>
      <c r="B39" s="65"/>
      <c r="C39" s="65"/>
      <c r="D39" s="15" t="s">
        <v>156</v>
      </c>
      <c r="E39" s="71">
        <f>IF(OR(E35="C20",E35="C30",E35="C40",E35="C50",E35="C60"),LOOKUP(A35,MADEIRAS!A3:A65,MADEIRAS!D3:D65),LOOKUP(A35,MADEIRAS!A3:A65,MADEIRAS!D3:D65)*(1+(2*(25-12))/100))</f>
        <v>22804.74</v>
      </c>
      <c r="F39" s="169" t="s">
        <v>177</v>
      </c>
      <c r="G39" s="72">
        <f>E39*F37</f>
        <v>12770.654399999999</v>
      </c>
    </row>
    <row r="40" spans="1:7" ht="15" x14ac:dyDescent="0.25">
      <c r="A40" s="67" t="s">
        <v>143</v>
      </c>
      <c r="B40" s="65"/>
      <c r="C40" s="65"/>
      <c r="D40" s="15" t="s">
        <v>155</v>
      </c>
      <c r="E40" s="71">
        <f>IF(OR(E35="C20",E35="C30",E35="C40",E35="C50",E35="C60"),LOOKUP(A35,MADEIRAS!A3:A65,MADEIRAS!C3:C65),LOOKUP(A35,MADEIRAS!A3:A65,MADEIRAS!C3:C65)*(1+(3*(15-12))/100))</f>
        <v>69.215000000000003</v>
      </c>
      <c r="F40" s="169" t="str">
        <f>IF(OR(E35="C20",E35="C30",E35="C40",E35="C50",E35="C60"),"x Kmod/1,40=","xKmodx0,70/1,40=")</f>
        <v>xKmodx0,70/1,40=</v>
      </c>
      <c r="G40" s="72">
        <f>IF(OR(E35="C20",E35="C30",E35="C40",E35="C50",E35="C60"),E40*F37/D24,E40*F37*E24)</f>
        <v>19.380199999999999</v>
      </c>
    </row>
    <row r="41" spans="1:7" ht="15" x14ac:dyDescent="0.25">
      <c r="A41" s="67" t="s">
        <v>144</v>
      </c>
      <c r="B41" s="65"/>
      <c r="C41" s="65"/>
      <c r="D41" s="15" t="s">
        <v>154</v>
      </c>
      <c r="E41" s="71">
        <f>IF(OR(E35="C20",E35="C30",E35="C40",E35="C50",E35="C60"),LOOKUP(A35,MADEIRAS!A3:A65,MADEIRAS!H3:H65),IF(LOOKUP(A35,MADEIRAS!A3:A65,MADEIRAS!H3:H65)="-",E40/0.77,LOOKUP(A35,MADEIRAS!A3:A65,MADEIRAS!H3:H65)*(1+(3*(25-12))/100)))</f>
        <v>160.684</v>
      </c>
      <c r="F41" s="169" t="str">
        <f>IF(OR(E35="C20",E35="C30",E35="C40",E35="C50",E35="C60"),"x Kmod/1,80=","xKmodx0,70/1,80=")</f>
        <v>xKmodx0,70/1,80=</v>
      </c>
      <c r="G41" s="72">
        <f>IF(OR(E35="C20",E35="C30",E35="C40",E35="C50",E35="C60"),E41*F37/D25,E41*F37*E25)</f>
        <v>34.993404444444437</v>
      </c>
    </row>
    <row r="42" spans="1:7" ht="15" x14ac:dyDescent="0.25">
      <c r="A42" s="67" t="s">
        <v>145</v>
      </c>
      <c r="B42" s="65"/>
      <c r="C42" s="65"/>
      <c r="D42" s="15" t="s">
        <v>166</v>
      </c>
      <c r="E42" s="71">
        <f>IF(OR(E35="C20",E35="C30",E35="C40",E35="C50",E35="C60"),LOOKUP(A35,MADEIRAS!A3:A65,MADEIRAS!G3:G65),LOOKUP(A35,MADEIRAS!A3:A65,MADEIRAS!G3:G65)*(1+(3*(25-12))/100))</f>
        <v>14.734</v>
      </c>
      <c r="F42" s="169" t="str">
        <f>IF(OR(E35="C20",E35="C30",E35="C40",E35="C50",E35="C60"),"x Kmod/1,80=","xKmodx0,54/1,80=")</f>
        <v>xKmodx0,54/1,80=</v>
      </c>
      <c r="G42" s="72">
        <f>IF(OR(E35="C20",E35="C30",E35="C40",E35="C50",E35="C60"),E42*F37/D26,E42*F37*E26)</f>
        <v>2.4753119999999997</v>
      </c>
    </row>
    <row r="43" spans="1:7" ht="15" x14ac:dyDescent="0.25">
      <c r="A43" s="67" t="s">
        <v>146</v>
      </c>
      <c r="B43" s="65"/>
      <c r="C43" s="65"/>
      <c r="D43" s="15" t="s">
        <v>153</v>
      </c>
      <c r="E43" s="71">
        <f>IF(OR(E35="C20",E35="C30",E35="C40",E35="C50",E35="C60"),LOOKUP(A35,MADEIRAS!A3:A65,MADEIRAS!I3:I65),LOOKUP(A35,MADEIRAS!A3:A65,MADEIRAS!I3:I65)*(1+(3*(25-12))/100))</f>
        <v>5.6989999999999998</v>
      </c>
      <c r="F43" s="169" t="s">
        <v>178</v>
      </c>
      <c r="G43" s="72">
        <f>E43*0</f>
        <v>0</v>
      </c>
    </row>
    <row r="44" spans="1:7" ht="15" x14ac:dyDescent="0.25">
      <c r="A44" s="67" t="s">
        <v>147</v>
      </c>
      <c r="B44" s="65"/>
      <c r="C44" s="65"/>
      <c r="D44" s="15" t="s">
        <v>152</v>
      </c>
      <c r="E44" s="71">
        <f>0.25*E40</f>
        <v>17.303750000000001</v>
      </c>
      <c r="F44" s="68"/>
      <c r="G44" s="72">
        <f>0.25*G40</f>
        <v>4.8450499999999996</v>
      </c>
    </row>
    <row r="45" spans="1:7" ht="15" x14ac:dyDescent="0.25">
      <c r="A45" s="67" t="s">
        <v>148</v>
      </c>
      <c r="B45" s="65"/>
      <c r="C45" s="65"/>
      <c r="D45" s="15" t="s">
        <v>150</v>
      </c>
      <c r="E45" s="71">
        <f>E40</f>
        <v>69.215000000000003</v>
      </c>
      <c r="F45" s="68"/>
      <c r="G45" s="72">
        <f>G40</f>
        <v>19.380199999999999</v>
      </c>
    </row>
    <row r="46" spans="1:7" ht="15" x14ac:dyDescent="0.25">
      <c r="A46" s="67" t="s">
        <v>149</v>
      </c>
      <c r="B46" s="65"/>
      <c r="C46" s="65"/>
      <c r="D46" s="15" t="s">
        <v>151</v>
      </c>
      <c r="E46" s="71">
        <f>0.25*E40</f>
        <v>17.303750000000001</v>
      </c>
      <c r="F46" s="68"/>
      <c r="G46" s="72">
        <f>0.25*G40</f>
        <v>4.8450499999999996</v>
      </c>
    </row>
    <row r="47" spans="1:7" ht="15" x14ac:dyDescent="0.25">
      <c r="A47" s="67" t="s">
        <v>165</v>
      </c>
      <c r="B47" s="65"/>
      <c r="C47" s="65"/>
      <c r="D47" s="52" t="str">
        <f>IF(E40&lt;20,"C10",IF(AND((E40&gt;=20),(E40&lt;25)),"C20",IF(AND((E40&gt;=25),(E40&lt;30)),"C25",IF(AND((E40&gt;=30),(E40&lt;40)),"C30",IF(AND((E40&gt;=40),(E40&lt;60)),"C40",IF(E40&gt;=60,"C60","ERRO"))))))</f>
        <v>C60</v>
      </c>
    </row>
    <row r="48" spans="1:7" x14ac:dyDescent="0.2">
      <c r="A48" s="67" t="s">
        <v>168</v>
      </c>
      <c r="B48" s="65"/>
      <c r="C48" s="65"/>
      <c r="D48" s="63">
        <f>LOOKUP(A35,MADEIRAS!A3:A65,MADEIRAS!L3:L65)</f>
        <v>0</v>
      </c>
    </row>
    <row r="49" spans="1:7" x14ac:dyDescent="0.2">
      <c r="A49" s="67" t="s">
        <v>169</v>
      </c>
      <c r="B49" s="65"/>
      <c r="C49" s="65"/>
      <c r="D49" s="63">
        <f>LOOKUP(A35,MADEIRAS!A3:A65,MADEIRAS!M3:M65)</f>
        <v>0</v>
      </c>
    </row>
    <row r="50" spans="1:7" x14ac:dyDescent="0.2">
      <c r="A50" s="67" t="s">
        <v>170</v>
      </c>
      <c r="B50" s="65"/>
      <c r="C50" s="65"/>
      <c r="D50" s="63">
        <f>LOOKUP(A35,MADEIRAS!A3:A65,MADEIRAS!N3:N65)</f>
        <v>0</v>
      </c>
    </row>
    <row r="56" spans="1:7" x14ac:dyDescent="0.2">
      <c r="A56" s="22" t="s">
        <v>179</v>
      </c>
    </row>
    <row r="57" spans="1:7" ht="15" thickBot="1" x14ac:dyDescent="0.25"/>
    <row r="58" spans="1:7" ht="15.75" thickBot="1" x14ac:dyDescent="0.3">
      <c r="A58" s="66" t="s">
        <v>141</v>
      </c>
      <c r="B58" s="64"/>
      <c r="C58" s="64"/>
      <c r="D58" s="170" t="s">
        <v>157</v>
      </c>
      <c r="E58" s="135">
        <f>E38</f>
        <v>744.80000000000007</v>
      </c>
      <c r="F58" s="239" t="str">
        <f>LOOKUP(A35,MADEIRAS!A3:A65,MADEIRAS!B3:B65)</f>
        <v>Eucalyptus maculata</v>
      </c>
      <c r="G58" s="240"/>
    </row>
    <row r="59" spans="1:7" ht="15" x14ac:dyDescent="0.25">
      <c r="A59" s="67" t="s">
        <v>142</v>
      </c>
      <c r="B59" s="65"/>
      <c r="C59" s="65"/>
      <c r="D59" s="171" t="s">
        <v>156</v>
      </c>
      <c r="E59" s="73">
        <f t="shared" ref="E59:E66" si="0">G39</f>
        <v>12770.654399999999</v>
      </c>
      <c r="F59" s="169" t="s">
        <v>180</v>
      </c>
      <c r="G59" s="117">
        <f>E59*10.197296</f>
        <v>130226.1430305024</v>
      </c>
    </row>
    <row r="60" spans="1:7" ht="15" x14ac:dyDescent="0.25">
      <c r="A60" s="67" t="s">
        <v>143</v>
      </c>
      <c r="B60" s="65"/>
      <c r="C60" s="65"/>
      <c r="D60" s="171" t="s">
        <v>155</v>
      </c>
      <c r="E60" s="73">
        <f t="shared" si="0"/>
        <v>19.380199999999999</v>
      </c>
      <c r="F60" s="169" t="s">
        <v>180</v>
      </c>
      <c r="G60" s="118">
        <f t="shared" ref="G60:G66" si="1">E60*10.197296</f>
        <v>197.62563593919998</v>
      </c>
    </row>
    <row r="61" spans="1:7" ht="15" x14ac:dyDescent="0.25">
      <c r="A61" s="67" t="s">
        <v>144</v>
      </c>
      <c r="B61" s="65"/>
      <c r="C61" s="65"/>
      <c r="D61" s="171" t="s">
        <v>154</v>
      </c>
      <c r="E61" s="73">
        <f t="shared" si="0"/>
        <v>34.993404444444437</v>
      </c>
      <c r="F61" s="169" t="s">
        <v>180</v>
      </c>
      <c r="G61" s="118">
        <f t="shared" si="1"/>
        <v>356.83810316771547</v>
      </c>
    </row>
    <row r="62" spans="1:7" ht="15" x14ac:dyDescent="0.25">
      <c r="A62" s="67" t="s">
        <v>145</v>
      </c>
      <c r="B62" s="65"/>
      <c r="C62" s="65"/>
      <c r="D62" s="171" t="s">
        <v>166</v>
      </c>
      <c r="E62" s="73">
        <f t="shared" si="0"/>
        <v>2.4753119999999997</v>
      </c>
      <c r="F62" s="169" t="s">
        <v>180</v>
      </c>
      <c r="G62" s="118">
        <f t="shared" si="1"/>
        <v>25.241489156351996</v>
      </c>
    </row>
    <row r="63" spans="1:7" ht="15" x14ac:dyDescent="0.25">
      <c r="A63" s="67" t="s">
        <v>146</v>
      </c>
      <c r="B63" s="65"/>
      <c r="C63" s="65"/>
      <c r="D63" s="171" t="s">
        <v>153</v>
      </c>
      <c r="E63" s="73">
        <f t="shared" si="0"/>
        <v>0</v>
      </c>
      <c r="F63" s="169" t="s">
        <v>180</v>
      </c>
      <c r="G63" s="118">
        <f t="shared" si="1"/>
        <v>0</v>
      </c>
    </row>
    <row r="64" spans="1:7" ht="15" x14ac:dyDescent="0.25">
      <c r="A64" s="67" t="s">
        <v>147</v>
      </c>
      <c r="B64" s="65"/>
      <c r="C64" s="65"/>
      <c r="D64" s="171" t="s">
        <v>152</v>
      </c>
      <c r="E64" s="73">
        <f t="shared" si="0"/>
        <v>4.8450499999999996</v>
      </c>
      <c r="F64" s="169" t="s">
        <v>180</v>
      </c>
      <c r="G64" s="118">
        <f t="shared" si="1"/>
        <v>49.406408984799995</v>
      </c>
    </row>
    <row r="65" spans="1:10" ht="15" x14ac:dyDescent="0.25">
      <c r="A65" s="67" t="s">
        <v>148</v>
      </c>
      <c r="B65" s="65"/>
      <c r="C65" s="65"/>
      <c r="D65" s="171" t="s">
        <v>150</v>
      </c>
      <c r="E65" s="73">
        <f t="shared" si="0"/>
        <v>19.380199999999999</v>
      </c>
      <c r="F65" s="169" t="s">
        <v>180</v>
      </c>
      <c r="G65" s="118">
        <f>E65*10.197296</f>
        <v>197.62563593919998</v>
      </c>
    </row>
    <row r="66" spans="1:10" ht="15" x14ac:dyDescent="0.25">
      <c r="A66" s="67" t="s">
        <v>149</v>
      </c>
      <c r="B66" s="65"/>
      <c r="C66" s="65"/>
      <c r="D66" s="171" t="s">
        <v>151</v>
      </c>
      <c r="E66" s="73">
        <f t="shared" si="0"/>
        <v>4.8450499999999996</v>
      </c>
      <c r="F66" s="169" t="s">
        <v>180</v>
      </c>
      <c r="G66" s="118">
        <f t="shared" si="1"/>
        <v>49.406408984799995</v>
      </c>
    </row>
    <row r="67" spans="1:10" ht="15" x14ac:dyDescent="0.25">
      <c r="A67" s="67" t="s">
        <v>165</v>
      </c>
      <c r="B67" s="65"/>
      <c r="C67" s="65"/>
      <c r="D67" s="52" t="str">
        <f>D47</f>
        <v>C60</v>
      </c>
    </row>
    <row r="68" spans="1:10" x14ac:dyDescent="0.2">
      <c r="A68" s="67" t="s">
        <v>168</v>
      </c>
      <c r="B68" s="65"/>
      <c r="C68" s="65"/>
      <c r="D68" s="63">
        <f>D48</f>
        <v>0</v>
      </c>
    </row>
    <row r="69" spans="1:10" x14ac:dyDescent="0.2">
      <c r="A69" s="67" t="s">
        <v>169</v>
      </c>
      <c r="B69" s="65"/>
      <c r="C69" s="65"/>
      <c r="D69" s="63">
        <f>D49</f>
        <v>0</v>
      </c>
    </row>
    <row r="70" spans="1:10" x14ac:dyDescent="0.2">
      <c r="A70" s="67" t="s">
        <v>170</v>
      </c>
      <c r="B70" s="65"/>
      <c r="C70" s="65"/>
      <c r="D70" s="63">
        <f>D50</f>
        <v>0</v>
      </c>
      <c r="E70" s="241" t="s">
        <v>181</v>
      </c>
      <c r="F70" s="223"/>
      <c r="G70" s="223"/>
    </row>
    <row r="72" spans="1:10" x14ac:dyDescent="0.2">
      <c r="A72" s="90" t="s">
        <v>183</v>
      </c>
      <c r="E72" s="200">
        <v>1</v>
      </c>
      <c r="H72" s="206"/>
      <c r="I72" s="206"/>
      <c r="J72" s="206"/>
    </row>
    <row r="73" spans="1:10" x14ac:dyDescent="0.2">
      <c r="H73" s="207" t="s">
        <v>364</v>
      </c>
      <c r="I73" s="206"/>
      <c r="J73" s="206"/>
    </row>
    <row r="74" spans="1:10" ht="15" x14ac:dyDescent="0.25">
      <c r="C74" s="1"/>
      <c r="D74" s="86" t="s">
        <v>184</v>
      </c>
      <c r="E74" s="84"/>
      <c r="F74" s="64"/>
      <c r="G74" s="210">
        <v>15</v>
      </c>
      <c r="H74" s="206"/>
      <c r="I74" s="206"/>
      <c r="J74" s="206"/>
    </row>
    <row r="75" spans="1:10" ht="15" x14ac:dyDescent="0.25">
      <c r="C75" s="1"/>
      <c r="D75" s="67" t="s">
        <v>185</v>
      </c>
      <c r="E75" s="85"/>
      <c r="F75" s="65"/>
      <c r="G75" s="80">
        <f>IF(E72&lt;&gt;1,"-",SQRT(G76))</f>
        <v>13.29340388179137</v>
      </c>
      <c r="H75" s="206"/>
      <c r="I75" s="206"/>
      <c r="J75" s="206"/>
    </row>
    <row r="76" spans="1:10" ht="15" x14ac:dyDescent="0.25">
      <c r="C76" s="1"/>
      <c r="D76" s="67" t="s">
        <v>186</v>
      </c>
      <c r="E76" s="85"/>
      <c r="F76" s="65"/>
      <c r="G76" s="81">
        <f>IF(E72&lt;&gt;1,"-",PI()*G74^2/4)</f>
        <v>176.71458676442586</v>
      </c>
      <c r="H76" s="206"/>
      <c r="I76" s="206"/>
      <c r="J76" s="206"/>
    </row>
    <row r="77" spans="1:10" ht="15" x14ac:dyDescent="0.25">
      <c r="C77" s="1"/>
      <c r="D77" s="67" t="s">
        <v>187</v>
      </c>
      <c r="E77" s="85"/>
      <c r="F77" s="65"/>
      <c r="G77" s="82">
        <f>IF(E72&lt;&gt;1,"-",PI()*G74^4/64)</f>
        <v>2485.0488763747385</v>
      </c>
      <c r="H77" s="206"/>
      <c r="I77" s="206"/>
      <c r="J77" s="206"/>
    </row>
    <row r="78" spans="1:10" ht="15" x14ac:dyDescent="0.25">
      <c r="C78" s="1"/>
      <c r="D78" s="67" t="s">
        <v>188</v>
      </c>
      <c r="E78" s="85"/>
      <c r="F78" s="65"/>
      <c r="G78" s="82">
        <f>IF(E72&lt;&gt;1,"-",((G75)*(G75)^3)/12)</f>
        <v>2602.3370979434831</v>
      </c>
      <c r="H78" s="206"/>
      <c r="I78" s="206"/>
      <c r="J78" s="206"/>
    </row>
    <row r="79" spans="1:10" ht="15" x14ac:dyDescent="0.25">
      <c r="C79" s="1"/>
      <c r="D79" s="67" t="s">
        <v>189</v>
      </c>
      <c r="E79" s="85"/>
      <c r="F79" s="65"/>
      <c r="G79" s="83">
        <f>IF(E72&lt;&gt;1,"-",PI()*G74^3/32)</f>
        <v>331.33985018329849</v>
      </c>
      <c r="H79" s="206"/>
      <c r="I79" s="206"/>
      <c r="J79" s="206"/>
    </row>
    <row r="80" spans="1:10" ht="15" x14ac:dyDescent="0.25">
      <c r="C80" s="1"/>
      <c r="D80" s="67" t="s">
        <v>190</v>
      </c>
      <c r="E80" s="85"/>
      <c r="F80" s="65"/>
      <c r="G80" s="83">
        <f>IF(E72&lt;&gt;1,"-",((G75)*(G75)^2)/6)</f>
        <v>391.52306227722943</v>
      </c>
      <c r="H80" s="206"/>
      <c r="I80" s="206"/>
      <c r="J80" s="206"/>
    </row>
    <row r="81" spans="3:10" ht="15" x14ac:dyDescent="0.25">
      <c r="C81" s="1"/>
      <c r="D81" s="67" t="s">
        <v>374</v>
      </c>
      <c r="E81" s="85"/>
      <c r="F81" s="65"/>
      <c r="G81" s="83">
        <f>IF(E72&lt;&gt;1,"-",G74^3/12)</f>
        <v>281.25</v>
      </c>
      <c r="H81" s="206"/>
      <c r="I81" s="206"/>
      <c r="J81" s="206"/>
    </row>
    <row r="82" spans="3:10" ht="15" x14ac:dyDescent="0.25">
      <c r="C82" s="1"/>
      <c r="D82" s="67" t="s">
        <v>375</v>
      </c>
      <c r="E82" s="85"/>
      <c r="F82" s="65"/>
      <c r="G82" s="83">
        <f>IF(E72&lt;&gt;1,"-",G75^3/8)</f>
        <v>293.64229670792207</v>
      </c>
      <c r="H82" s="206"/>
      <c r="I82" s="206"/>
      <c r="J82" s="206"/>
    </row>
    <row r="83" spans="3:10" ht="15" x14ac:dyDescent="0.25">
      <c r="C83" s="1"/>
      <c r="D83" s="67" t="s">
        <v>191</v>
      </c>
      <c r="E83" s="85"/>
      <c r="F83" s="65"/>
      <c r="G83" s="80">
        <f>IF(E72&lt;&gt;1,"-",SQRT(G77/G76))</f>
        <v>3.7499999999999996</v>
      </c>
      <c r="H83" s="206"/>
      <c r="I83" s="206"/>
      <c r="J83" s="206"/>
    </row>
    <row r="84" spans="3:10" x14ac:dyDescent="0.2">
      <c r="C84" s="1"/>
      <c r="D84" s="77"/>
      <c r="E84" s="77"/>
      <c r="F84" s="1"/>
      <c r="H84" s="206"/>
      <c r="I84" s="206"/>
      <c r="J84" s="206"/>
    </row>
    <row r="85" spans="3:10" x14ac:dyDescent="0.2">
      <c r="H85" s="207" t="s">
        <v>362</v>
      </c>
      <c r="I85" s="207" t="s">
        <v>363</v>
      </c>
      <c r="J85" s="206"/>
    </row>
    <row r="86" spans="3:10" ht="15" x14ac:dyDescent="0.25">
      <c r="D86" s="86" t="s">
        <v>192</v>
      </c>
      <c r="E86" s="84"/>
      <c r="F86" s="64"/>
      <c r="G86" s="210">
        <v>12</v>
      </c>
      <c r="H86" s="206"/>
      <c r="I86" s="206"/>
      <c r="J86" s="206"/>
    </row>
    <row r="87" spans="3:10" ht="15" x14ac:dyDescent="0.25">
      <c r="D87" s="86" t="s">
        <v>193</v>
      </c>
      <c r="E87" s="84"/>
      <c r="F87" s="64"/>
      <c r="G87" s="210">
        <v>12</v>
      </c>
      <c r="H87" s="206"/>
      <c r="I87" s="206"/>
      <c r="J87" s="206"/>
    </row>
    <row r="88" spans="3:10" ht="15" x14ac:dyDescent="0.25">
      <c r="D88" s="67" t="s">
        <v>186</v>
      </c>
      <c r="E88" s="85"/>
      <c r="F88" s="65"/>
      <c r="G88" s="81" t="str">
        <f>IF(E72&lt;&gt;2,"-",(G86)*(G87))</f>
        <v>-</v>
      </c>
      <c r="H88" s="206"/>
      <c r="I88" s="206"/>
      <c r="J88" s="206"/>
    </row>
    <row r="89" spans="3:10" ht="15" x14ac:dyDescent="0.25">
      <c r="D89" s="67" t="s">
        <v>194</v>
      </c>
      <c r="E89" s="85"/>
      <c r="F89" s="65"/>
      <c r="G89" s="82" t="str">
        <f>IF(E72&lt;&gt;2,"-",((G86)*(G87)^3)/12)</f>
        <v>-</v>
      </c>
      <c r="H89" s="206"/>
      <c r="I89" s="206"/>
      <c r="J89" s="206"/>
    </row>
    <row r="90" spans="3:10" ht="15" x14ac:dyDescent="0.25">
      <c r="D90" s="67" t="s">
        <v>195</v>
      </c>
      <c r="E90" s="85"/>
      <c r="F90" s="65"/>
      <c r="G90" s="82" t="str">
        <f>IF(E72&lt;&gt;2,"-",((G87)*(G86)^3)/12)</f>
        <v>-</v>
      </c>
      <c r="H90" s="206"/>
      <c r="I90" s="206"/>
      <c r="J90" s="206"/>
    </row>
    <row r="91" spans="3:10" ht="15" x14ac:dyDescent="0.25">
      <c r="D91" s="67" t="s">
        <v>196</v>
      </c>
      <c r="E91" s="85"/>
      <c r="F91" s="65"/>
      <c r="G91" s="83" t="str">
        <f>IF(E72&lt;&gt;2,"-",((G86)*(G87)^2)/6)</f>
        <v>-</v>
      </c>
      <c r="H91" s="206"/>
      <c r="I91" s="206"/>
      <c r="J91" s="206"/>
    </row>
    <row r="92" spans="3:10" ht="15" x14ac:dyDescent="0.25">
      <c r="D92" s="67" t="s">
        <v>197</v>
      </c>
      <c r="E92" s="85"/>
      <c r="F92" s="65"/>
      <c r="G92" s="83" t="str">
        <f>IF(E72&lt;&gt;2,"-",((G87)*(G86)^2)/6)</f>
        <v>-</v>
      </c>
      <c r="H92" s="206"/>
      <c r="I92" s="206"/>
      <c r="J92" s="206"/>
    </row>
    <row r="93" spans="3:10" ht="15" x14ac:dyDescent="0.25">
      <c r="D93" s="67" t="s">
        <v>198</v>
      </c>
      <c r="E93" s="85"/>
      <c r="F93" s="65"/>
      <c r="G93" s="80" t="str">
        <f>IF(E72&lt;&gt;2,"-",SQRT(G89/G88))</f>
        <v>-</v>
      </c>
      <c r="H93" s="206"/>
      <c r="I93" s="206"/>
      <c r="J93" s="206"/>
    </row>
    <row r="94" spans="3:10" ht="15" x14ac:dyDescent="0.25">
      <c r="D94" s="67" t="s">
        <v>199</v>
      </c>
      <c r="E94" s="85"/>
      <c r="F94" s="65"/>
      <c r="G94" s="80" t="str">
        <f>IF(E72&lt;&gt;2,"-",SQRT(G90/G88))</f>
        <v>-</v>
      </c>
      <c r="H94" s="206"/>
      <c r="I94" s="206"/>
      <c r="J94" s="206"/>
    </row>
    <row r="95" spans="3:10" ht="15" x14ac:dyDescent="0.25">
      <c r="D95" s="67" t="s">
        <v>377</v>
      </c>
      <c r="E95" s="85"/>
      <c r="F95" s="65"/>
      <c r="G95" s="83" t="str">
        <f>IF(E72&lt;&gt;2,"-",G86*G87^2/8)</f>
        <v>-</v>
      </c>
      <c r="H95" s="206"/>
      <c r="I95" s="206"/>
      <c r="J95" s="206"/>
    </row>
    <row r="96" spans="3:10" x14ac:dyDescent="0.2">
      <c r="H96" s="206"/>
      <c r="I96" s="206"/>
      <c r="J96" s="206"/>
    </row>
    <row r="97" spans="4:10" ht="15" x14ac:dyDescent="0.25">
      <c r="D97" s="86" t="s">
        <v>346</v>
      </c>
      <c r="E97" s="210">
        <v>22</v>
      </c>
      <c r="F97" s="86" t="s">
        <v>348</v>
      </c>
      <c r="G97" s="210">
        <v>22</v>
      </c>
      <c r="H97" s="207" t="s">
        <v>365</v>
      </c>
      <c r="I97" s="207" t="s">
        <v>366</v>
      </c>
      <c r="J97" s="206"/>
    </row>
    <row r="98" spans="4:10" ht="15" x14ac:dyDescent="0.25">
      <c r="D98" s="86" t="s">
        <v>347</v>
      </c>
      <c r="E98" s="210">
        <v>24</v>
      </c>
      <c r="F98" s="86" t="s">
        <v>349</v>
      </c>
      <c r="G98" s="210">
        <v>22</v>
      </c>
      <c r="H98" s="206"/>
      <c r="I98" s="206"/>
      <c r="J98" s="206"/>
    </row>
    <row r="99" spans="4:10" ht="15" x14ac:dyDescent="0.25">
      <c r="D99" s="67" t="s">
        <v>186</v>
      </c>
      <c r="E99" s="85"/>
      <c r="F99" s="65"/>
      <c r="G99" s="81" t="str">
        <f>IF(E72&lt;&gt;3,"-",E97*E98+G97*G98)</f>
        <v>-</v>
      </c>
      <c r="H99" s="206"/>
      <c r="I99" s="206"/>
      <c r="J99" s="206"/>
    </row>
    <row r="100" spans="4:10" ht="15" x14ac:dyDescent="0.25">
      <c r="D100" s="67" t="s">
        <v>354</v>
      </c>
      <c r="E100" s="80" t="str">
        <f>IF(E72&lt;&gt;3,"-",((G98*G97*(G98/2))+(E97*E98*(E98/2+G98)))/(G98*G97+E97*E98))</f>
        <v>-</v>
      </c>
      <c r="F100" s="67" t="s">
        <v>355</v>
      </c>
      <c r="G100" s="80" t="str">
        <f>IF(E72&lt;&gt;3,"-",(G98+E98)-E100)</f>
        <v>-</v>
      </c>
      <c r="H100" s="206"/>
      <c r="I100" s="206"/>
      <c r="J100" s="206"/>
    </row>
    <row r="101" spans="4:10" ht="15" x14ac:dyDescent="0.25">
      <c r="D101" s="67" t="s">
        <v>194</v>
      </c>
      <c r="E101" s="84"/>
      <c r="F101" s="65"/>
      <c r="G101" s="82" t="str">
        <f>IF(E72&lt;&gt;3,"-",(G97*G98^3/12)+(E97*E98^3/12)+((G97*G98*(E100-G98/2)^2))+((E97*E98*(G100-E98/2)^2)))</f>
        <v>-</v>
      </c>
      <c r="H101" s="207" t="s">
        <v>367</v>
      </c>
      <c r="I101" s="207" t="s">
        <v>368</v>
      </c>
      <c r="J101" s="206"/>
    </row>
    <row r="102" spans="4:10" ht="15" x14ac:dyDescent="0.25">
      <c r="D102" s="67" t="s">
        <v>350</v>
      </c>
      <c r="E102" s="85"/>
      <c r="F102" s="65"/>
      <c r="G102" s="82" t="str">
        <f>IF(E72&lt;&gt;3,"-",0.95*G101)</f>
        <v>-</v>
      </c>
      <c r="H102" s="206"/>
      <c r="I102" s="206"/>
      <c r="J102" s="206"/>
    </row>
    <row r="103" spans="4:10" ht="15" x14ac:dyDescent="0.25">
      <c r="D103" s="67" t="s">
        <v>195</v>
      </c>
      <c r="E103" s="85"/>
      <c r="F103" s="65"/>
      <c r="G103" s="82" t="str">
        <f>IF(E72&lt;&gt;3,"-",G98*G97^3/12+E98*E97^3/12)</f>
        <v>-</v>
      </c>
      <c r="H103" s="206"/>
      <c r="I103" s="206"/>
      <c r="J103" s="206"/>
    </row>
    <row r="104" spans="4:10" ht="15" x14ac:dyDescent="0.25">
      <c r="D104" s="67" t="s">
        <v>351</v>
      </c>
      <c r="E104" s="85"/>
      <c r="F104" s="65"/>
      <c r="G104" s="82" t="str">
        <f>IF(E72&lt;&gt;3,"-",0.95*G103)</f>
        <v>-</v>
      </c>
      <c r="H104" s="206"/>
      <c r="I104" s="206"/>
      <c r="J104" s="206"/>
    </row>
    <row r="105" spans="4:10" ht="15" x14ac:dyDescent="0.25">
      <c r="D105" s="67" t="s">
        <v>352</v>
      </c>
      <c r="E105" s="85"/>
      <c r="F105" s="65"/>
      <c r="G105" s="83" t="str">
        <f>IF(E72&lt;&gt;3,"-",G102/E100)</f>
        <v>-</v>
      </c>
      <c r="H105" s="206"/>
      <c r="I105" s="206"/>
      <c r="J105" s="206"/>
    </row>
    <row r="106" spans="4:10" ht="15" x14ac:dyDescent="0.25">
      <c r="D106" s="67" t="s">
        <v>353</v>
      </c>
      <c r="E106" s="85"/>
      <c r="F106" s="65"/>
      <c r="G106" s="83" t="str">
        <f>IF(E72&lt;&gt;3,"-",G102/G100)</f>
        <v>-</v>
      </c>
      <c r="H106" s="206"/>
      <c r="I106" s="206"/>
      <c r="J106" s="206"/>
    </row>
    <row r="107" spans="4:10" ht="15" x14ac:dyDescent="0.25">
      <c r="D107" s="67" t="s">
        <v>198</v>
      </c>
      <c r="E107" s="85"/>
      <c r="F107" s="65"/>
      <c r="G107" s="80" t="str">
        <f>IF(E72&lt;&gt;3,"-",SQRT(G102/G99))</f>
        <v>-</v>
      </c>
      <c r="H107" s="206"/>
      <c r="I107" s="206"/>
      <c r="J107" s="206"/>
    </row>
    <row r="108" spans="4:10" ht="15" x14ac:dyDescent="0.25">
      <c r="D108" s="67" t="s">
        <v>199</v>
      </c>
      <c r="E108" s="85"/>
      <c r="F108" s="65"/>
      <c r="G108" s="80" t="str">
        <f>IF(E72&lt;&gt;3,"-",SQRT(G104/G99))</f>
        <v>-</v>
      </c>
      <c r="H108" s="206"/>
      <c r="I108" s="206"/>
      <c r="J108" s="206"/>
    </row>
    <row r="109" spans="4:10" ht="15" x14ac:dyDescent="0.25">
      <c r="D109" s="67" t="s">
        <v>377</v>
      </c>
      <c r="E109" s="85"/>
      <c r="F109" s="65"/>
      <c r="G109" s="83" t="str">
        <f>IF(E72&lt;&gt;3,"-",E97*(E98+G98)^2/8)</f>
        <v>-</v>
      </c>
      <c r="H109" s="206"/>
      <c r="I109" s="206"/>
      <c r="J109" s="206"/>
    </row>
    <row r="110" spans="4:10" x14ac:dyDescent="0.2">
      <c r="H110" s="206"/>
      <c r="I110" s="206"/>
      <c r="J110" s="206"/>
    </row>
    <row r="111" spans="4:10" x14ac:dyDescent="0.2">
      <c r="H111" s="206"/>
      <c r="I111" s="206"/>
      <c r="J111" s="206"/>
    </row>
    <row r="112" spans="4:10" x14ac:dyDescent="0.2">
      <c r="H112" s="207" t="s">
        <v>365</v>
      </c>
      <c r="I112" s="207" t="s">
        <v>366</v>
      </c>
      <c r="J112" s="206"/>
    </row>
    <row r="113" spans="4:10" ht="15" x14ac:dyDescent="0.25">
      <c r="D113" s="86" t="s">
        <v>346</v>
      </c>
      <c r="E113" s="210">
        <v>6</v>
      </c>
      <c r="F113" s="86" t="s">
        <v>348</v>
      </c>
      <c r="G113" s="210">
        <v>22</v>
      </c>
      <c r="H113" s="206"/>
      <c r="I113" s="206"/>
      <c r="J113" s="206"/>
    </row>
    <row r="114" spans="4:10" ht="15" x14ac:dyDescent="0.25">
      <c r="D114" s="86" t="s">
        <v>347</v>
      </c>
      <c r="E114" s="210">
        <v>12</v>
      </c>
      <c r="F114" s="86" t="s">
        <v>349</v>
      </c>
      <c r="G114" s="210">
        <v>6</v>
      </c>
      <c r="H114" s="206"/>
      <c r="I114" s="206"/>
      <c r="J114" s="206"/>
    </row>
    <row r="115" spans="4:10" ht="15" x14ac:dyDescent="0.25">
      <c r="D115" s="67" t="s">
        <v>186</v>
      </c>
      <c r="E115" s="85"/>
      <c r="F115" s="65"/>
      <c r="G115" s="81" t="str">
        <f>IF(E72&lt;&gt;4,"-",E113*E114+2*G113*G114)</f>
        <v>-</v>
      </c>
      <c r="H115" s="206"/>
      <c r="I115" s="206"/>
      <c r="J115" s="206"/>
    </row>
    <row r="116" spans="4:10" ht="15" x14ac:dyDescent="0.25">
      <c r="D116" s="67" t="s">
        <v>354</v>
      </c>
      <c r="E116" s="80" t="str">
        <f>IF(E72&lt;&gt;4,"-",(E114+2*G114)/2)</f>
        <v>-</v>
      </c>
      <c r="F116" s="67" t="s">
        <v>355</v>
      </c>
      <c r="G116" s="80" t="str">
        <f>IF(E72&lt;&gt;4,"-",E116)</f>
        <v>-</v>
      </c>
      <c r="H116" s="207" t="s">
        <v>367</v>
      </c>
      <c r="I116" s="207" t="s">
        <v>368</v>
      </c>
      <c r="J116" s="206"/>
    </row>
    <row r="117" spans="4:10" ht="15" x14ac:dyDescent="0.25">
      <c r="D117" s="67" t="s">
        <v>194</v>
      </c>
      <c r="E117" s="84"/>
      <c r="F117" s="65"/>
      <c r="G117" s="82" t="str">
        <f>IF(E72&lt;&gt;4,"-",(2*G113*G114^3/12)+(E113*E114^3/12)+2*G114*G113*(E116-G114/2)^2)</f>
        <v>-</v>
      </c>
      <c r="H117" s="206"/>
      <c r="I117" s="206"/>
      <c r="J117" s="206"/>
    </row>
    <row r="118" spans="4:10" ht="15" x14ac:dyDescent="0.25">
      <c r="D118" s="67" t="s">
        <v>378</v>
      </c>
      <c r="E118" s="85"/>
      <c r="F118" s="65"/>
      <c r="G118" s="82" t="str">
        <f>IF(E72&lt;&gt;4,"-",0.85*G117)</f>
        <v>-</v>
      </c>
      <c r="H118" s="206"/>
      <c r="I118" s="206"/>
      <c r="J118" s="206"/>
    </row>
    <row r="119" spans="4:10" ht="15" x14ac:dyDescent="0.25">
      <c r="D119" s="67" t="s">
        <v>195</v>
      </c>
      <c r="E119" s="85"/>
      <c r="F119" s="65"/>
      <c r="G119" s="82" t="str">
        <f>IF(E72&lt;&gt;4,"-",((G114*2*G113^3)+(E114*E113^3))/12)</f>
        <v>-</v>
      </c>
      <c r="H119" s="206"/>
      <c r="I119" s="206"/>
      <c r="J119" s="206"/>
    </row>
    <row r="120" spans="4:10" ht="15" x14ac:dyDescent="0.25">
      <c r="D120" s="67" t="s">
        <v>379</v>
      </c>
      <c r="E120" s="85"/>
      <c r="F120" s="65"/>
      <c r="G120" s="82" t="str">
        <f>IF(E72&lt;&gt;4,"-",0.85*G119)</f>
        <v>-</v>
      </c>
      <c r="H120" s="206"/>
      <c r="I120" s="206"/>
      <c r="J120" s="206"/>
    </row>
    <row r="121" spans="4:10" ht="15" x14ac:dyDescent="0.25">
      <c r="D121" s="67" t="s">
        <v>352</v>
      </c>
      <c r="E121" s="85"/>
      <c r="F121" s="65"/>
      <c r="G121" s="83" t="str">
        <f>IF(E72&lt;&gt;4,"-",G118/E116)</f>
        <v>-</v>
      </c>
      <c r="H121" s="206"/>
      <c r="I121" s="206"/>
      <c r="J121" s="206"/>
    </row>
    <row r="122" spans="4:10" ht="15" x14ac:dyDescent="0.25">
      <c r="D122" s="67" t="s">
        <v>353</v>
      </c>
      <c r="E122" s="85"/>
      <c r="F122" s="65"/>
      <c r="G122" s="83" t="str">
        <f>IF(E72&lt;&gt;4,"-",G118/G116)</f>
        <v>-</v>
      </c>
      <c r="H122" s="206"/>
      <c r="I122" s="206"/>
      <c r="J122" s="206"/>
    </row>
    <row r="123" spans="4:10" ht="15" x14ac:dyDescent="0.25">
      <c r="D123" s="67" t="s">
        <v>198</v>
      </c>
      <c r="E123" s="85"/>
      <c r="F123" s="65"/>
      <c r="G123" s="80" t="str">
        <f>IF(E72&lt;&gt;4,"-",SQRT(G118/G115))</f>
        <v>-</v>
      </c>
      <c r="H123" s="206"/>
      <c r="I123" s="206"/>
      <c r="J123" s="206"/>
    </row>
    <row r="124" spans="4:10" ht="15" x14ac:dyDescent="0.25">
      <c r="D124" s="67" t="s">
        <v>199</v>
      </c>
      <c r="E124" s="85"/>
      <c r="F124" s="65"/>
      <c r="G124" s="80" t="str">
        <f>IF(E72&lt;&gt;4,"-",SQRT(G120/G115))</f>
        <v>-</v>
      </c>
      <c r="H124" s="206"/>
      <c r="I124" s="206"/>
      <c r="J124" s="206"/>
    </row>
    <row r="125" spans="4:10" ht="15" x14ac:dyDescent="0.25">
      <c r="D125" s="67" t="s">
        <v>200</v>
      </c>
      <c r="E125" s="85"/>
      <c r="F125" s="65"/>
      <c r="G125" s="83" t="str">
        <f>IF(E72&lt;&gt;4,"-",E113*(E114+2*G114)^2/8)</f>
        <v>-</v>
      </c>
      <c r="H125" s="206"/>
      <c r="I125" s="206"/>
      <c r="J125" s="206"/>
    </row>
    <row r="126" spans="4:10" x14ac:dyDescent="0.2">
      <c r="H126" s="206"/>
      <c r="I126" s="206"/>
      <c r="J126" s="206"/>
    </row>
    <row r="127" spans="4:10" x14ac:dyDescent="0.2">
      <c r="H127" s="207" t="s">
        <v>365</v>
      </c>
      <c r="I127" s="207" t="s">
        <v>366</v>
      </c>
      <c r="J127" s="206"/>
    </row>
    <row r="128" spans="4:10" ht="15" x14ac:dyDescent="0.25">
      <c r="D128" s="86" t="s">
        <v>346</v>
      </c>
      <c r="E128" s="210">
        <v>6</v>
      </c>
      <c r="F128" s="86" t="s">
        <v>348</v>
      </c>
      <c r="G128" s="210">
        <v>3</v>
      </c>
      <c r="H128" s="206"/>
      <c r="I128" s="206"/>
      <c r="J128" s="206"/>
    </row>
    <row r="129" spans="4:10" ht="15" x14ac:dyDescent="0.25">
      <c r="D129" s="86" t="s">
        <v>347</v>
      </c>
      <c r="E129" s="210">
        <v>12</v>
      </c>
      <c r="F129" s="86" t="s">
        <v>349</v>
      </c>
      <c r="G129" s="210">
        <v>20</v>
      </c>
      <c r="H129" s="206"/>
      <c r="I129" s="206"/>
      <c r="J129" s="206"/>
    </row>
    <row r="130" spans="4:10" ht="15" x14ac:dyDescent="0.25">
      <c r="D130" s="67" t="s">
        <v>186</v>
      </c>
      <c r="E130" s="85"/>
      <c r="F130" s="65"/>
      <c r="G130" s="81" t="str">
        <f>IF(E72&lt;&gt;5,"-",2*(E128*E129)+G128*G129)</f>
        <v>-</v>
      </c>
      <c r="H130" s="206"/>
      <c r="I130" s="206"/>
      <c r="J130" s="206"/>
    </row>
    <row r="131" spans="4:10" ht="15" x14ac:dyDescent="0.25">
      <c r="D131" s="67" t="s">
        <v>354</v>
      </c>
      <c r="E131" s="80" t="str">
        <f>IF(E72&lt;&gt;5,"-",((E128*(E129+G129)*(E129+G129)/2)*2+((G128-2*E128)*G129*G129/2))/((E128*(E129+G129)*2)+((G128-2*E128)*G129)))</f>
        <v>-</v>
      </c>
      <c r="F131" s="67" t="s">
        <v>355</v>
      </c>
      <c r="G131" s="80" t="str">
        <f>IF(E72&lt;&gt;5,"-",(G129+E129)-E131)</f>
        <v>-</v>
      </c>
      <c r="H131" s="207" t="s">
        <v>367</v>
      </c>
      <c r="I131" s="207" t="s">
        <v>368</v>
      </c>
      <c r="J131" s="206"/>
    </row>
    <row r="132" spans="4:10" ht="15" x14ac:dyDescent="0.25">
      <c r="D132" s="67" t="s">
        <v>194</v>
      </c>
      <c r="E132" s="84"/>
      <c r="F132" s="65"/>
      <c r="G132" s="82" t="str">
        <f>IF(E72&lt;&gt;5,"-",(1/3*((E128*(E129+G129)^3)*2+((G128-2*E128)*G129^3)))-E131^2*G130)</f>
        <v>-</v>
      </c>
      <c r="H132" s="206"/>
      <c r="I132" s="206"/>
      <c r="J132" s="206"/>
    </row>
    <row r="133" spans="4:10" ht="15" x14ac:dyDescent="0.25">
      <c r="D133" s="67" t="s">
        <v>378</v>
      </c>
      <c r="E133" s="85"/>
      <c r="F133" s="65"/>
      <c r="G133" s="82" t="str">
        <f>IF(E72&lt;&gt;5,"-",0.85*G132)</f>
        <v>-</v>
      </c>
      <c r="H133" s="206"/>
      <c r="I133" s="206"/>
      <c r="J133" s="206"/>
    </row>
    <row r="134" spans="4:10" ht="15" x14ac:dyDescent="0.25">
      <c r="D134" s="67" t="s">
        <v>195</v>
      </c>
      <c r="E134" s="85"/>
      <c r="F134" s="65"/>
      <c r="G134" s="82" t="str">
        <f>IF(E72&lt;&gt;5,"-",(((E129+G129)*G128^3)-(E129*(G128-2*E128)^3))/12)</f>
        <v>-</v>
      </c>
      <c r="H134" s="206"/>
      <c r="I134" s="206"/>
      <c r="J134" s="206"/>
    </row>
    <row r="135" spans="4:10" ht="15" x14ac:dyDescent="0.25">
      <c r="D135" s="67" t="s">
        <v>379</v>
      </c>
      <c r="E135" s="85"/>
      <c r="F135" s="65"/>
      <c r="G135" s="82" t="str">
        <f>IF(E72&lt;&gt;5,"-",0.85*G134)</f>
        <v>-</v>
      </c>
      <c r="H135" s="206"/>
      <c r="I135" s="206"/>
      <c r="J135" s="206"/>
    </row>
    <row r="136" spans="4:10" ht="15" x14ac:dyDescent="0.25">
      <c r="D136" s="67" t="s">
        <v>352</v>
      </c>
      <c r="E136" s="85"/>
      <c r="F136" s="65"/>
      <c r="G136" s="83" t="str">
        <f>IF(E72&lt;&gt;5,"-",G133/E131)</f>
        <v>-</v>
      </c>
      <c r="H136" s="206"/>
      <c r="I136" s="206"/>
      <c r="J136" s="206"/>
    </row>
    <row r="137" spans="4:10" ht="15" x14ac:dyDescent="0.25">
      <c r="D137" s="67" t="s">
        <v>353</v>
      </c>
      <c r="E137" s="85"/>
      <c r="F137" s="65"/>
      <c r="G137" s="83" t="str">
        <f>IF(E72&lt;&gt;5,"-",G133/G131)</f>
        <v>-</v>
      </c>
      <c r="H137" s="206"/>
      <c r="I137" s="206"/>
      <c r="J137" s="206"/>
    </row>
    <row r="138" spans="4:10" ht="15" x14ac:dyDescent="0.25">
      <c r="D138" s="67" t="s">
        <v>198</v>
      </c>
      <c r="E138" s="85"/>
      <c r="F138" s="65"/>
      <c r="G138" s="80" t="str">
        <f>IF(E72&lt;&gt;5,"-",SQRT(G133/G130))</f>
        <v>-</v>
      </c>
      <c r="H138" s="206"/>
      <c r="I138" s="206"/>
      <c r="J138" s="206"/>
    </row>
    <row r="139" spans="4:10" ht="15" x14ac:dyDescent="0.25">
      <c r="D139" s="67" t="s">
        <v>199</v>
      </c>
      <c r="E139" s="85"/>
      <c r="F139" s="65"/>
      <c r="G139" s="80" t="str">
        <f>IF(E72&lt;&gt;5,"-",SQRT(G135/G130))</f>
        <v>-</v>
      </c>
      <c r="H139" s="206"/>
      <c r="I139" s="206"/>
      <c r="J139" s="206"/>
    </row>
    <row r="140" spans="4:10" ht="15" x14ac:dyDescent="0.25">
      <c r="D140" s="67" t="s">
        <v>200</v>
      </c>
      <c r="E140" s="85"/>
      <c r="F140" s="65"/>
      <c r="G140" s="83" t="str">
        <f>IF(E72&lt;&gt;5,"-",2*E128*(E129+G129)^2/8)</f>
        <v>-</v>
      </c>
      <c r="H140" s="206"/>
      <c r="I140" s="206"/>
      <c r="J140" s="206"/>
    </row>
    <row r="141" spans="4:10" x14ac:dyDescent="0.2">
      <c r="H141" s="206"/>
      <c r="I141" s="206"/>
      <c r="J141" s="206"/>
    </row>
    <row r="142" spans="4:10" x14ac:dyDescent="0.2">
      <c r="H142" s="206"/>
      <c r="I142" s="206"/>
      <c r="J142" s="206"/>
    </row>
    <row r="143" spans="4:10" x14ac:dyDescent="0.2">
      <c r="H143" s="206"/>
      <c r="I143" s="206"/>
      <c r="J143" s="206"/>
    </row>
    <row r="144" spans="4:10" ht="15" x14ac:dyDescent="0.25">
      <c r="D144" s="86" t="s">
        <v>346</v>
      </c>
      <c r="E144" s="210">
        <v>6</v>
      </c>
      <c r="F144" s="86" t="s">
        <v>382</v>
      </c>
      <c r="G144" s="210">
        <v>6</v>
      </c>
      <c r="H144" s="206"/>
      <c r="I144" s="206"/>
      <c r="J144" s="206"/>
    </row>
    <row r="145" spans="4:10" ht="15" x14ac:dyDescent="0.25">
      <c r="D145" s="86" t="s">
        <v>347</v>
      </c>
      <c r="E145" s="210">
        <v>12</v>
      </c>
      <c r="F145" s="86"/>
      <c r="G145" s="79"/>
      <c r="H145" s="206"/>
      <c r="I145" s="206"/>
      <c r="J145" s="206"/>
    </row>
    <row r="146" spans="4:10" ht="15" x14ac:dyDescent="0.25">
      <c r="D146" s="67" t="s">
        <v>186</v>
      </c>
      <c r="E146" s="85"/>
      <c r="F146" s="65"/>
      <c r="G146" s="81" t="str">
        <f>IF(E72&lt;&gt;6,"-",2*(E144*12))</f>
        <v>-</v>
      </c>
      <c r="H146" s="206"/>
      <c r="I146" s="206"/>
      <c r="J146" s="206"/>
    </row>
    <row r="147" spans="4:10" ht="15" x14ac:dyDescent="0.25">
      <c r="D147" s="67" t="s">
        <v>354</v>
      </c>
      <c r="E147" s="80" t="str">
        <f>IF(E72&lt;&gt;6,"-",E145/2)</f>
        <v>-</v>
      </c>
      <c r="F147" s="67" t="s">
        <v>355</v>
      </c>
      <c r="G147" s="80" t="str">
        <f>IF(E72&lt;&gt;6,"-",E147)</f>
        <v>-</v>
      </c>
      <c r="H147" s="206"/>
      <c r="I147" s="206"/>
      <c r="J147" s="206"/>
    </row>
    <row r="148" spans="4:10" ht="15" x14ac:dyDescent="0.25">
      <c r="D148" s="67" t="s">
        <v>194</v>
      </c>
      <c r="E148" s="84"/>
      <c r="F148" s="65"/>
      <c r="G148" s="82" t="str">
        <f>IF(E72&lt;&gt;6,"-",(E144*E145^3/12)*2)</f>
        <v>-</v>
      </c>
      <c r="H148" s="206"/>
      <c r="I148" s="206"/>
      <c r="J148" s="206"/>
    </row>
    <row r="149" spans="4:10" ht="15" x14ac:dyDescent="0.25">
      <c r="D149" s="67" t="s">
        <v>350</v>
      </c>
      <c r="E149" s="85"/>
      <c r="F149" s="65"/>
      <c r="G149" s="82" t="str">
        <f>IF(E72&lt;&gt;6,"-",0.95*G148)</f>
        <v>-</v>
      </c>
      <c r="H149" s="206"/>
      <c r="I149" s="206"/>
      <c r="J149" s="206"/>
    </row>
    <row r="150" spans="4:10" ht="15" x14ac:dyDescent="0.25">
      <c r="D150" s="67" t="s">
        <v>195</v>
      </c>
      <c r="E150" s="85"/>
      <c r="F150" s="65"/>
      <c r="G150" s="82" t="str">
        <f>IF(E72&lt;&gt;6,"-",E145*E144^3/12)</f>
        <v>-</v>
      </c>
      <c r="H150" s="206"/>
      <c r="I150" s="206"/>
      <c r="J150" s="206"/>
    </row>
    <row r="151" spans="4:10" ht="15" x14ac:dyDescent="0.25">
      <c r="D151" s="67" t="s">
        <v>351</v>
      </c>
      <c r="E151" s="85"/>
      <c r="F151" s="65"/>
      <c r="G151" s="82" t="str">
        <f>IF(E72&lt;&gt;6,"-",0.95*G150)</f>
        <v>-</v>
      </c>
      <c r="H151" s="206"/>
      <c r="I151" s="206"/>
      <c r="J151" s="206"/>
    </row>
    <row r="152" spans="4:10" ht="15" x14ac:dyDescent="0.25">
      <c r="D152" s="67" t="s">
        <v>352</v>
      </c>
      <c r="E152" s="85"/>
      <c r="F152" s="65"/>
      <c r="G152" s="83" t="str">
        <f>IF(E72&lt;&gt;6,"-",G149/E147)</f>
        <v>-</v>
      </c>
      <c r="H152" s="206"/>
      <c r="I152" s="206"/>
      <c r="J152" s="206"/>
    </row>
    <row r="153" spans="4:10" ht="15" x14ac:dyDescent="0.25">
      <c r="D153" s="67" t="s">
        <v>353</v>
      </c>
      <c r="E153" s="85"/>
      <c r="F153" s="65"/>
      <c r="G153" s="83" t="str">
        <f>IF(E72&lt;&gt;6,"-",G149/G147)</f>
        <v>-</v>
      </c>
      <c r="H153" s="206"/>
      <c r="I153" s="206"/>
      <c r="J153" s="206"/>
    </row>
    <row r="154" spans="4:10" ht="15" x14ac:dyDescent="0.25">
      <c r="D154" s="67" t="s">
        <v>198</v>
      </c>
      <c r="E154" s="85"/>
      <c r="F154" s="65"/>
      <c r="G154" s="80" t="str">
        <f>IF(E72&lt;&gt;6,"-",SQRT(G149/G146))</f>
        <v>-</v>
      </c>
      <c r="H154" s="206"/>
      <c r="I154" s="206"/>
      <c r="J154" s="206"/>
    </row>
    <row r="155" spans="4:10" ht="15" x14ac:dyDescent="0.25">
      <c r="D155" s="67" t="s">
        <v>199</v>
      </c>
      <c r="E155" s="85"/>
      <c r="F155" s="65"/>
      <c r="G155" s="80" t="str">
        <f>IF(E72&lt;&gt;6,"-",SQRT(G151/G146))</f>
        <v>-</v>
      </c>
      <c r="H155" s="206"/>
      <c r="I155" s="206"/>
      <c r="J155" s="206"/>
    </row>
    <row r="156" spans="4:10" ht="15" x14ac:dyDescent="0.25">
      <c r="D156" s="67" t="s">
        <v>200</v>
      </c>
      <c r="E156" s="85"/>
      <c r="F156" s="65"/>
      <c r="G156" s="83" t="str">
        <f>IF(E72&lt;&gt;6,"-",E144*2*E145^2/8)</f>
        <v>-</v>
      </c>
      <c r="H156" s="206"/>
      <c r="I156" s="206"/>
      <c r="J156" s="206"/>
    </row>
    <row r="157" spans="4:10" x14ac:dyDescent="0.2">
      <c r="H157" s="206"/>
      <c r="I157" s="206"/>
      <c r="J157" s="206"/>
    </row>
    <row r="158" spans="4:10" x14ac:dyDescent="0.2">
      <c r="H158" s="206"/>
      <c r="I158" s="206"/>
      <c r="J158" s="206"/>
    </row>
    <row r="159" spans="4:10" x14ac:dyDescent="0.2">
      <c r="H159" s="206"/>
      <c r="I159" s="206"/>
      <c r="J159" s="206"/>
    </row>
    <row r="160" spans="4:10" x14ac:dyDescent="0.2">
      <c r="H160" s="206"/>
      <c r="I160" s="206"/>
      <c r="J160" s="206"/>
    </row>
    <row r="161" spans="1:10" x14ac:dyDescent="0.2">
      <c r="H161" s="206"/>
      <c r="I161" s="206"/>
      <c r="J161" s="206"/>
    </row>
    <row r="162" spans="1:10" x14ac:dyDescent="0.2">
      <c r="H162" s="206"/>
      <c r="I162" s="206"/>
      <c r="J162" s="206"/>
    </row>
    <row r="163" spans="1:10" x14ac:dyDescent="0.2">
      <c r="H163" s="206"/>
      <c r="I163" s="206"/>
      <c r="J163" s="206"/>
    </row>
    <row r="164" spans="1:10" x14ac:dyDescent="0.2">
      <c r="H164" s="206"/>
      <c r="I164" s="206"/>
      <c r="J164" s="206"/>
    </row>
    <row r="165" spans="1:10" x14ac:dyDescent="0.2">
      <c r="H165" s="206"/>
      <c r="I165" s="206"/>
      <c r="J165" s="206"/>
    </row>
    <row r="166" spans="1:10" x14ac:dyDescent="0.2">
      <c r="A166" s="22" t="s">
        <v>208</v>
      </c>
      <c r="H166" s="206"/>
      <c r="I166" s="206"/>
      <c r="J166" s="206"/>
    </row>
    <row r="167" spans="1:10" x14ac:dyDescent="0.2">
      <c r="H167" s="206"/>
      <c r="I167" s="206"/>
      <c r="J167" s="206"/>
    </row>
    <row r="168" spans="1:10" ht="15" x14ac:dyDescent="0.25">
      <c r="A168" s="87" t="s">
        <v>201</v>
      </c>
      <c r="B168" s="84"/>
      <c r="C168" s="64"/>
      <c r="D168" s="233" t="str">
        <f>IF(E72=1,"Seção CIRCULAR",IF(E72=2,"Seção RETANGULAR",IF(E72=3,"Seção T",IF(E72=4,"Seção I",IF(E72=5,"Seção PI",IF(E72=6,"Seção DUPLA",IF(E72=7,"Seção TRIPLA","xxx")))))))</f>
        <v>Seção CIRCULAR</v>
      </c>
      <c r="E168" s="233"/>
      <c r="H168" s="206"/>
      <c r="I168" s="206"/>
      <c r="J168" s="206"/>
    </row>
    <row r="169" spans="1:10" ht="15" x14ac:dyDescent="0.25">
      <c r="A169" s="87" t="s">
        <v>202</v>
      </c>
      <c r="B169" s="84"/>
      <c r="C169" s="64"/>
      <c r="D169" s="251">
        <f>IF(E72=1,G76,IF(E72=2,G88,IF(E72=3,G99,IF(E72=4,G115,IF(E72=5,G130,IF(E72=6,G146,IF(E72=7,"Seção TRIPLA","xxx")))))))</f>
        <v>176.71458676442586</v>
      </c>
      <c r="E169" s="251"/>
      <c r="H169" s="206"/>
      <c r="I169" s="206"/>
      <c r="J169" s="206"/>
    </row>
    <row r="170" spans="1:10" ht="15" x14ac:dyDescent="0.25">
      <c r="A170" s="88" t="s">
        <v>203</v>
      </c>
      <c r="B170" s="85"/>
      <c r="C170" s="65"/>
      <c r="D170" s="224">
        <f>IF(E72=1,G78,IF(E72=2,G89,IF(E72=3,G102,IF(E72=4,G118,IF(E72=5,G133,IF(E72=6,G149,IF(E72=7,"Seção TRIPLA","xxx")))))))</f>
        <v>2602.3370979434831</v>
      </c>
      <c r="E170" s="224"/>
      <c r="H170" s="206"/>
      <c r="I170" s="206"/>
      <c r="J170" s="206"/>
    </row>
    <row r="171" spans="1:10" ht="15" x14ac:dyDescent="0.25">
      <c r="A171" s="88" t="str">
        <f>IF(C$179=1,"Momento de inércia da seção quadrada equiv. :","Momento de inércia (Jy) adotado :")</f>
        <v>Momento de inércia (Jy) adotado :</v>
      </c>
      <c r="B171" s="85"/>
      <c r="C171" s="65"/>
      <c r="D171" s="224">
        <f>IF(E72=1,G78,IF(E72=2,G90,IF(E72=3,G104,IF(E72=4,G120,IF(E72=5,G135,IF(E72=6,G151,IF(E72=7,"Seção TRIPLA","xxx")))))))</f>
        <v>2602.3370979434831</v>
      </c>
      <c r="E171" s="224"/>
      <c r="H171" s="206"/>
      <c r="I171" s="206"/>
      <c r="J171" s="206"/>
    </row>
    <row r="172" spans="1:10" ht="15" x14ac:dyDescent="0.25">
      <c r="A172" s="88" t="s">
        <v>356</v>
      </c>
      <c r="B172" s="85"/>
      <c r="C172" s="65"/>
      <c r="D172" s="225">
        <f>IF(E72=1,G80,IF(E72=2,G91,IF(E72=3,G105,IF(E72=4,G121,IF(E72=5,G136,IF(E72=6,G152,IF(E72=7,"Seção TRIPLA","xxx")))))))</f>
        <v>391.52306227722943</v>
      </c>
      <c r="E172" s="225"/>
      <c r="H172" s="206"/>
      <c r="I172" s="206"/>
      <c r="J172" s="206"/>
    </row>
    <row r="173" spans="1:10" ht="15" x14ac:dyDescent="0.25">
      <c r="A173" s="88" t="s">
        <v>357</v>
      </c>
      <c r="B173" s="85"/>
      <c r="C173" s="65"/>
      <c r="D173" s="225">
        <f>IF(E72=1,G80,IF(E72=2,G92,IF(E72=3,G106,IF(E72=4,G122,IF(E72=5,G137,IF(E72=6,G153,IF(E72=7,"Seção TRIPLA","xxx")))))))</f>
        <v>391.52306227722943</v>
      </c>
      <c r="E173" s="225"/>
      <c r="H173" s="206"/>
      <c r="I173" s="206"/>
      <c r="J173" s="206"/>
    </row>
    <row r="174" spans="1:10" ht="15" x14ac:dyDescent="0.25">
      <c r="A174" s="88" t="s">
        <v>204</v>
      </c>
      <c r="B174" s="85"/>
      <c r="C174" s="65"/>
      <c r="D174" s="228">
        <f>IF(E72=1,G74/2,IF(E72=2,G87/2,IF(E72=3,E100,IF(E72=4,E116,IF(E72=5,E131,IF(E72=6,E147,IF(E72=7,"Seção TRIPLA","xxx")))))))</f>
        <v>7.5</v>
      </c>
      <c r="E174" s="228"/>
      <c r="H174" s="206"/>
      <c r="I174" s="206"/>
      <c r="J174" s="206"/>
    </row>
    <row r="175" spans="1:10" ht="15" x14ac:dyDescent="0.25">
      <c r="A175" s="88" t="s">
        <v>205</v>
      </c>
      <c r="B175" s="85"/>
      <c r="C175" s="65"/>
      <c r="D175" s="228">
        <f>IF(E72=1,G74/2,IF(E72=2,G87/2,IF(E72=3,G100,IF(E72=4,G116,IF(E72=5,G131,IF(E72=6,G147,IF(E72=7,"Seção TRIPLA","xxx")))))))</f>
        <v>7.5</v>
      </c>
      <c r="E175" s="228"/>
      <c r="H175" s="206"/>
      <c r="I175" s="206"/>
      <c r="J175" s="206"/>
    </row>
    <row r="176" spans="1:10" ht="15" x14ac:dyDescent="0.25">
      <c r="A176" s="88" t="s">
        <v>206</v>
      </c>
      <c r="B176" s="85"/>
      <c r="C176" s="65"/>
      <c r="D176" s="228">
        <f>IF(E72=1,G83,IF(E72=2,G93,IF(E72=3,G107,IF(E72=4,G123,IF(E72=5,G138,IF(E72=6,G154,IF(E72=7,"Seção TRIPLA","xxx")))))))</f>
        <v>3.7499999999999996</v>
      </c>
      <c r="E176" s="228"/>
      <c r="H176" s="206"/>
      <c r="I176" s="206"/>
      <c r="J176" s="206"/>
    </row>
    <row r="177" spans="1:12" ht="15" x14ac:dyDescent="0.25">
      <c r="A177" s="88" t="s">
        <v>207</v>
      </c>
      <c r="B177" s="85"/>
      <c r="C177" s="65"/>
      <c r="D177" s="228">
        <f>IF(E72=1,G83,IF(E72=2,G94,IF(E72=3,G108,IF(E72=4,G124,IF(E72=5,G139,IF(E72=6,G155,IF(E72=7,"Seção TRIPLA","xxx")))))))</f>
        <v>3.7499999999999996</v>
      </c>
      <c r="E177" s="228"/>
      <c r="H177" s="206"/>
      <c r="I177" s="206"/>
      <c r="J177" s="206"/>
    </row>
    <row r="178" spans="1:12" ht="15" x14ac:dyDescent="0.25">
      <c r="A178" s="88" t="s">
        <v>376</v>
      </c>
      <c r="B178" s="85"/>
      <c r="C178" s="65"/>
      <c r="D178" s="225">
        <f>IF(E72=1,G82,IF(E72=2,G95,IF(E72=3,G109,IF(E72=4,G125,IF(E72=5,G140,IF(E72=6,G156,IF(E72=7,"Seção TRIPLA","xxx")))))))</f>
        <v>293.64229670792207</v>
      </c>
      <c r="E178" s="225"/>
      <c r="H178" s="206"/>
      <c r="I178" s="206"/>
      <c r="J178" s="206"/>
    </row>
    <row r="179" spans="1:12" ht="15" x14ac:dyDescent="0.25">
      <c r="A179" s="88" t="s">
        <v>381</v>
      </c>
      <c r="B179" s="85"/>
      <c r="C179" s="65"/>
      <c r="D179" s="228">
        <f>IF(E72=1,G75,IF(E72=2,G86,IF(E72=3,E97,IF(E72=4,E113,IF(E72=5,E128*2,IF(E72=6,E144*2,IF(E72=7,"Seção TRIPLA","xxx")))))))</f>
        <v>13.29340388179137</v>
      </c>
      <c r="E179" s="228"/>
      <c r="H179" s="206"/>
      <c r="I179" s="206"/>
      <c r="J179" s="206"/>
    </row>
    <row r="180" spans="1:12" x14ac:dyDescent="0.2">
      <c r="H180" s="206"/>
      <c r="I180" s="206"/>
      <c r="J180" s="206"/>
    </row>
    <row r="181" spans="1:12" x14ac:dyDescent="0.2">
      <c r="A181" s="22" t="s">
        <v>209</v>
      </c>
      <c r="H181" s="206"/>
      <c r="I181" s="206"/>
      <c r="J181" s="206"/>
    </row>
    <row r="182" spans="1:12" ht="15" thickBot="1" x14ac:dyDescent="0.25">
      <c r="H182" s="206"/>
      <c r="I182" s="206"/>
      <c r="J182" s="206"/>
    </row>
    <row r="183" spans="1:12" ht="15" thickBot="1" x14ac:dyDescent="0.25">
      <c r="A183" s="234">
        <v>0</v>
      </c>
      <c r="B183" s="235"/>
      <c r="D183" s="159">
        <v>0</v>
      </c>
      <c r="F183" s="226">
        <v>0</v>
      </c>
      <c r="G183" s="227"/>
      <c r="H183" s="208" t="s">
        <v>371</v>
      </c>
      <c r="I183" s="209" t="s">
        <v>372</v>
      </c>
      <c r="J183" s="206"/>
    </row>
    <row r="184" spans="1:12" x14ac:dyDescent="0.2">
      <c r="A184" s="1"/>
      <c r="B184" s="1"/>
      <c r="C184" s="1"/>
      <c r="D184" s="1"/>
      <c r="E184" s="1"/>
      <c r="F184" s="1"/>
      <c r="G184" s="1"/>
      <c r="H184" s="249"/>
      <c r="I184" s="249"/>
      <c r="J184" s="206"/>
    </row>
    <row r="185" spans="1:12" x14ac:dyDescent="0.2">
      <c r="A185" s="1"/>
      <c r="B185" s="1"/>
      <c r="C185" s="1"/>
      <c r="D185" s="1"/>
      <c r="E185" s="1"/>
      <c r="F185" s="1"/>
      <c r="G185" s="1"/>
      <c r="H185" s="249"/>
      <c r="I185" s="249"/>
      <c r="J185" s="206"/>
    </row>
    <row r="186" spans="1:12" x14ac:dyDescent="0.2">
      <c r="A186" s="1"/>
      <c r="B186" s="1"/>
      <c r="C186" s="1"/>
      <c r="D186" s="1"/>
      <c r="E186" s="1"/>
      <c r="F186" s="1"/>
      <c r="G186" s="1"/>
      <c r="H186" s="249"/>
      <c r="I186" s="249"/>
      <c r="J186" s="206"/>
    </row>
    <row r="187" spans="1:12" x14ac:dyDescent="0.2">
      <c r="A187" s="1"/>
      <c r="B187" s="1"/>
      <c r="C187" s="1"/>
      <c r="D187" s="1"/>
      <c r="E187" s="1"/>
      <c r="F187" s="1"/>
      <c r="G187" s="1"/>
      <c r="H187" s="249"/>
      <c r="I187" s="249"/>
      <c r="J187" s="206"/>
      <c r="L187" s="174"/>
    </row>
    <row r="188" spans="1:12" x14ac:dyDescent="0.2">
      <c r="A188" s="1"/>
      <c r="B188" s="1"/>
      <c r="C188" s="1"/>
      <c r="D188" s="1"/>
      <c r="E188" s="1"/>
      <c r="F188" s="1"/>
      <c r="G188" s="1"/>
      <c r="H188" s="249"/>
      <c r="I188" s="249"/>
      <c r="J188" s="206"/>
    </row>
    <row r="189" spans="1:12" x14ac:dyDescent="0.2">
      <c r="A189" s="1"/>
      <c r="B189" s="1"/>
      <c r="C189" s="1"/>
      <c r="D189" s="1"/>
      <c r="E189" s="1"/>
      <c r="F189" s="1"/>
      <c r="G189" s="1"/>
      <c r="H189" s="249"/>
      <c r="I189" s="249"/>
      <c r="J189" s="206"/>
    </row>
    <row r="190" spans="1:12" x14ac:dyDescent="0.2">
      <c r="A190" s="1"/>
      <c r="B190" s="1"/>
      <c r="C190" s="1"/>
      <c r="D190" s="1"/>
      <c r="E190" s="1"/>
      <c r="F190" s="1"/>
      <c r="G190" s="1"/>
      <c r="H190" s="249"/>
      <c r="I190" s="249"/>
      <c r="J190" s="206"/>
    </row>
    <row r="191" spans="1:12" ht="15" thickBot="1" x14ac:dyDescent="0.25">
      <c r="A191" s="1"/>
      <c r="B191" s="1"/>
      <c r="C191" s="1"/>
      <c r="D191" s="1"/>
      <c r="E191" s="1"/>
      <c r="F191" s="1"/>
      <c r="G191" s="1"/>
      <c r="H191" s="249"/>
      <c r="I191" s="249"/>
      <c r="J191" s="206"/>
    </row>
    <row r="192" spans="1:12" ht="15" thickBot="1" x14ac:dyDescent="0.25">
      <c r="C192" s="229">
        <v>200</v>
      </c>
      <c r="D192" s="230"/>
      <c r="E192" s="231"/>
      <c r="H192" s="249"/>
      <c r="I192" s="249"/>
      <c r="J192" s="206"/>
    </row>
    <row r="193" spans="1:10" x14ac:dyDescent="0.2">
      <c r="H193" s="249"/>
      <c r="I193" s="249"/>
      <c r="J193" s="206"/>
    </row>
    <row r="194" spans="1:10" ht="15" x14ac:dyDescent="0.25">
      <c r="A194" s="91" t="s">
        <v>210</v>
      </c>
      <c r="B194" s="92"/>
      <c r="D194" s="94">
        <f>C192/100</f>
        <v>2</v>
      </c>
      <c r="E194" s="93">
        <f>D194*100</f>
        <v>200</v>
      </c>
      <c r="H194" s="249"/>
      <c r="I194" s="249"/>
      <c r="J194" s="206"/>
    </row>
    <row r="195" spans="1:10" x14ac:dyDescent="0.2">
      <c r="A195" s="91" t="s">
        <v>211</v>
      </c>
      <c r="B195" s="92"/>
      <c r="D195" s="201">
        <v>7</v>
      </c>
      <c r="E195" s="19"/>
      <c r="H195" s="206"/>
      <c r="I195" s="206"/>
      <c r="J195" s="206"/>
    </row>
    <row r="196" spans="1:10" ht="15" x14ac:dyDescent="0.25">
      <c r="A196" s="91" t="s">
        <v>212</v>
      </c>
      <c r="B196" s="92"/>
      <c r="D196" s="89">
        <f>E194/LOOKUP(D195,'Tabelas de Cálculo'!E2:E11,'Tabelas de Cálculo'!F2:F11)</f>
        <v>0.5714285714285714</v>
      </c>
      <c r="E196" s="96">
        <f>D196*10</f>
        <v>5.7142857142857135</v>
      </c>
      <c r="H196" s="206"/>
      <c r="I196" s="206"/>
      <c r="J196" s="206"/>
    </row>
    <row r="197" spans="1:10" ht="15" x14ac:dyDescent="0.25">
      <c r="A197" s="91" t="s">
        <v>224</v>
      </c>
      <c r="B197" s="92"/>
      <c r="D197" s="95">
        <f>D169*(E58)/10000/1000</f>
        <v>1.316170242221444E-2</v>
      </c>
      <c r="E197" s="97" t="s">
        <v>213</v>
      </c>
      <c r="H197" s="206"/>
      <c r="I197" s="206"/>
      <c r="J197" s="206"/>
    </row>
    <row r="198" spans="1:10" ht="15" x14ac:dyDescent="0.25">
      <c r="A198" s="91" t="s">
        <v>249</v>
      </c>
      <c r="B198" s="92"/>
      <c r="D198" s="120">
        <f>D197*1000</f>
        <v>13.161702422214439</v>
      </c>
      <c r="E198" s="97"/>
      <c r="H198" s="206"/>
      <c r="I198" s="206"/>
      <c r="J198" s="206"/>
    </row>
    <row r="199" spans="1:10" ht="15.75" thickBot="1" x14ac:dyDescent="0.3">
      <c r="A199" s="91" t="s">
        <v>250</v>
      </c>
      <c r="B199" s="92"/>
      <c r="D199" s="119">
        <f>D198*D194</f>
        <v>26.323404844428879</v>
      </c>
      <c r="E199" s="97"/>
      <c r="H199" s="207" t="s">
        <v>396</v>
      </c>
      <c r="I199" s="207" t="s">
        <v>397</v>
      </c>
      <c r="J199" s="206"/>
    </row>
    <row r="200" spans="1:10" ht="15.75" thickBot="1" x14ac:dyDescent="0.3">
      <c r="A200" s="91" t="s">
        <v>225</v>
      </c>
      <c r="B200" s="92"/>
      <c r="D200" s="160">
        <f>175-(D201+D202+D203)</f>
        <v>155</v>
      </c>
      <c r="E200" s="98">
        <f>D200/1000</f>
        <v>0.155</v>
      </c>
      <c r="H200" s="206"/>
      <c r="I200" s="206"/>
      <c r="J200" s="206"/>
    </row>
    <row r="201" spans="1:10" ht="15.75" thickBot="1" x14ac:dyDescent="0.3">
      <c r="A201" s="91" t="s">
        <v>226</v>
      </c>
      <c r="B201" s="92"/>
      <c r="D201" s="160">
        <v>20</v>
      </c>
      <c r="E201" s="98">
        <f>D201/1000</f>
        <v>0.02</v>
      </c>
      <c r="H201" s="206"/>
      <c r="I201" s="206"/>
      <c r="J201" s="206"/>
    </row>
    <row r="202" spans="1:10" ht="15.75" thickBot="1" x14ac:dyDescent="0.3">
      <c r="A202" s="91" t="s">
        <v>227</v>
      </c>
      <c r="B202" s="92"/>
      <c r="D202" s="160">
        <v>0</v>
      </c>
      <c r="E202" s="98">
        <f>D202/1000</f>
        <v>0</v>
      </c>
      <c r="H202" s="206"/>
      <c r="I202" s="206"/>
      <c r="J202" s="206"/>
    </row>
    <row r="203" spans="1:10" ht="15.75" thickBot="1" x14ac:dyDescent="0.3">
      <c r="A203" s="91" t="s">
        <v>228</v>
      </c>
      <c r="B203" s="92"/>
      <c r="D203" s="160">
        <v>0</v>
      </c>
      <c r="E203" s="98">
        <f>D203/1000</f>
        <v>0</v>
      </c>
      <c r="H203" s="206"/>
      <c r="I203" s="206"/>
      <c r="J203" s="206"/>
    </row>
    <row r="204" spans="1:10" ht="15" x14ac:dyDescent="0.25">
      <c r="A204" s="91" t="s">
        <v>214</v>
      </c>
      <c r="B204" s="92"/>
      <c r="D204" s="116">
        <f>1.4*D200+1.4*D201+1.4*0.5*D202</f>
        <v>245</v>
      </c>
      <c r="H204" s="206"/>
      <c r="I204" s="206"/>
      <c r="J204" s="206"/>
    </row>
    <row r="205" spans="1:10" ht="15" x14ac:dyDescent="0.25">
      <c r="A205" s="101" t="s">
        <v>215</v>
      </c>
      <c r="B205" s="92"/>
      <c r="D205" s="99"/>
      <c r="E205" s="223" t="s">
        <v>247</v>
      </c>
      <c r="F205" s="223"/>
      <c r="G205" s="223"/>
      <c r="H205" s="206"/>
      <c r="I205" s="206"/>
      <c r="J205" s="206"/>
    </row>
    <row r="206" spans="1:10" ht="17.25" customHeight="1" x14ac:dyDescent="0.25">
      <c r="A206" s="91" t="s">
        <v>216</v>
      </c>
      <c r="B206" s="92"/>
      <c r="D206" s="116">
        <f>1.4*D200+0.75*1.4*D202+1.4*D201*E208</f>
        <v>228.2</v>
      </c>
      <c r="E206" s="202"/>
      <c r="F206" s="203"/>
      <c r="G206" s="204">
        <v>3</v>
      </c>
      <c r="H206" s="206"/>
      <c r="I206" s="206"/>
      <c r="J206" s="206"/>
    </row>
    <row r="207" spans="1:10" ht="15" x14ac:dyDescent="0.25">
      <c r="A207" s="101" t="s">
        <v>217</v>
      </c>
      <c r="B207" s="92"/>
      <c r="D207" s="99"/>
      <c r="E207" s="115" t="s">
        <v>235</v>
      </c>
      <c r="F207" s="115" t="s">
        <v>238</v>
      </c>
      <c r="G207" s="115" t="s">
        <v>236</v>
      </c>
      <c r="H207" s="206"/>
      <c r="I207" s="206"/>
      <c r="J207" s="206"/>
    </row>
    <row r="208" spans="1:10" ht="15" x14ac:dyDescent="0.25">
      <c r="A208" s="91" t="s">
        <v>218</v>
      </c>
      <c r="B208" s="92"/>
      <c r="D208" s="116">
        <f>0.9*D200-0.75*1.4*D203*(-1)</f>
        <v>139.5</v>
      </c>
      <c r="E208" s="102">
        <f>LOOKUP(G206,'Tabelas de Cálculo'!H3:H10,'Tabelas de Cálculo'!I3:I10)</f>
        <v>0.4</v>
      </c>
      <c r="F208" s="102">
        <f>LOOKUP(G206,'Tabelas de Cálculo'!H3:H10,'Tabelas de Cálculo'!J3:J10)</f>
        <v>0.3</v>
      </c>
      <c r="G208" s="102">
        <f>LOOKUP(G206,'Tabelas de Cálculo'!H3:H10,'Tabelas de Cálculo'!K3:K10)</f>
        <v>0.2</v>
      </c>
      <c r="H208" s="206"/>
      <c r="I208" s="206"/>
      <c r="J208" s="206"/>
    </row>
    <row r="209" spans="1:10" ht="15" x14ac:dyDescent="0.25">
      <c r="A209" s="101" t="s">
        <v>219</v>
      </c>
      <c r="B209" s="92"/>
      <c r="D209" s="99"/>
      <c r="H209" s="206"/>
      <c r="I209" s="206"/>
      <c r="J209" s="206"/>
    </row>
    <row r="210" spans="1:10" ht="15" x14ac:dyDescent="0.25">
      <c r="A210" s="91" t="s">
        <v>220</v>
      </c>
      <c r="B210" s="92"/>
      <c r="D210" s="116">
        <f>D200+G208*D201</f>
        <v>159</v>
      </c>
      <c r="H210" s="206"/>
      <c r="I210" s="206"/>
      <c r="J210" s="206"/>
    </row>
    <row r="211" spans="1:10" ht="15" x14ac:dyDescent="0.25">
      <c r="A211" s="101" t="s">
        <v>221</v>
      </c>
      <c r="B211" s="92"/>
      <c r="D211" s="99"/>
      <c r="H211" s="206"/>
      <c r="I211" s="206"/>
      <c r="J211" s="206"/>
    </row>
    <row r="212" spans="1:10" ht="15" x14ac:dyDescent="0.25">
      <c r="A212" s="91" t="s">
        <v>222</v>
      </c>
      <c r="B212" s="92"/>
      <c r="D212" s="94">
        <f>F183/100</f>
        <v>0</v>
      </c>
      <c r="E212" s="93">
        <f>D212*100</f>
        <v>0</v>
      </c>
      <c r="H212" s="206"/>
      <c r="I212" s="206"/>
      <c r="J212" s="206"/>
    </row>
    <row r="213" spans="1:10" ht="15" x14ac:dyDescent="0.25">
      <c r="A213" s="91" t="s">
        <v>229</v>
      </c>
      <c r="B213" s="92"/>
      <c r="D213" s="95">
        <f>LARGE(D204:D208,1)/1000*E212/100</f>
        <v>0</v>
      </c>
      <c r="H213" s="206"/>
      <c r="I213" s="206"/>
      <c r="J213" s="206"/>
    </row>
    <row r="214" spans="1:10" ht="15" x14ac:dyDescent="0.25">
      <c r="A214" s="91" t="s">
        <v>230</v>
      </c>
      <c r="B214" s="92"/>
      <c r="D214" s="95">
        <f>D210/1000*E212/100</f>
        <v>0</v>
      </c>
      <c r="H214" s="206"/>
      <c r="I214" s="206"/>
      <c r="J214" s="206"/>
    </row>
    <row r="215" spans="1:10" ht="15" x14ac:dyDescent="0.25">
      <c r="A215" s="91" t="s">
        <v>231</v>
      </c>
      <c r="B215" s="92"/>
      <c r="D215" s="125">
        <f>D183</f>
        <v>0</v>
      </c>
      <c r="H215" s="206"/>
      <c r="I215" s="206"/>
      <c r="J215" s="206"/>
    </row>
    <row r="216" spans="1:10" ht="15" x14ac:dyDescent="0.25">
      <c r="A216" s="91" t="s">
        <v>223</v>
      </c>
      <c r="B216" s="92"/>
      <c r="D216" s="94">
        <f>A183/100</f>
        <v>0</v>
      </c>
      <c r="E216" s="93">
        <f>D216*100</f>
        <v>0</v>
      </c>
      <c r="H216" s="206"/>
      <c r="I216" s="206"/>
      <c r="J216" s="206"/>
    </row>
    <row r="217" spans="1:10" ht="15.75" x14ac:dyDescent="0.3">
      <c r="A217" s="91" t="s">
        <v>232</v>
      </c>
      <c r="B217" s="92"/>
      <c r="D217" s="155">
        <f>1.3*D197+D213</f>
        <v>1.7110213148878773E-2</v>
      </c>
      <c r="E217" s="100" t="s">
        <v>344</v>
      </c>
      <c r="H217" s="206"/>
      <c r="I217" s="206"/>
      <c r="J217" s="206"/>
    </row>
    <row r="218" spans="1:10" ht="15.75" x14ac:dyDescent="0.3">
      <c r="A218" s="91" t="s">
        <v>233</v>
      </c>
      <c r="B218" s="92"/>
      <c r="D218" s="155">
        <f>D197+D214</f>
        <v>1.316170242221444E-2</v>
      </c>
      <c r="E218" s="100" t="s">
        <v>345</v>
      </c>
      <c r="H218" s="206"/>
      <c r="I218" s="206"/>
      <c r="J218" s="206"/>
    </row>
    <row r="219" spans="1:10" x14ac:dyDescent="0.2">
      <c r="H219" s="206"/>
      <c r="I219" s="206"/>
      <c r="J219" s="206"/>
    </row>
    <row r="220" spans="1:10" x14ac:dyDescent="0.2">
      <c r="H220" s="206"/>
      <c r="I220" s="206"/>
      <c r="J220" s="206"/>
    </row>
    <row r="221" spans="1:10" x14ac:dyDescent="0.2">
      <c r="A221" s="22" t="s">
        <v>248</v>
      </c>
      <c r="H221" s="206"/>
      <c r="I221" s="206"/>
      <c r="J221" s="206"/>
    </row>
    <row r="222" spans="1:10" x14ac:dyDescent="0.2">
      <c r="H222" s="206"/>
      <c r="I222" s="206"/>
      <c r="J222" s="206"/>
    </row>
    <row r="223" spans="1:10" ht="15" x14ac:dyDescent="0.25">
      <c r="A223" s="122" t="s">
        <v>254</v>
      </c>
      <c r="B223" s="123"/>
      <c r="C223" s="123"/>
      <c r="D223" s="123"/>
      <c r="E223" s="123"/>
      <c r="F223" s="123"/>
      <c r="G223" s="123"/>
      <c r="H223" s="206"/>
      <c r="I223" s="206"/>
      <c r="J223" s="206"/>
    </row>
    <row r="224" spans="1:10" ht="15" x14ac:dyDescent="0.25">
      <c r="A224" s="121"/>
      <c r="H224" s="206"/>
      <c r="I224" s="206"/>
      <c r="J224" s="206"/>
    </row>
    <row r="225" spans="1:10" ht="15" x14ac:dyDescent="0.25">
      <c r="A225" s="121"/>
      <c r="H225" s="206"/>
      <c r="I225" s="206"/>
      <c r="J225" s="206"/>
    </row>
    <row r="226" spans="1:10" ht="15" x14ac:dyDescent="0.25">
      <c r="A226" s="121"/>
      <c r="H226" s="206"/>
      <c r="I226" s="206"/>
      <c r="J226" s="206"/>
    </row>
    <row r="227" spans="1:10" ht="15" x14ac:dyDescent="0.25">
      <c r="A227" s="127" t="s">
        <v>251</v>
      </c>
      <c r="B227" s="84"/>
      <c r="C227" s="64"/>
      <c r="D227" s="124">
        <f>IF(D194-D216&lt;0,"Inválido!",(D218*POWER(D194,2)/8)+((D215*(D194-D216)*(D216))/D194))</f>
        <v>6.5808512111072198E-3</v>
      </c>
      <c r="H227" s="206"/>
      <c r="I227" s="206"/>
      <c r="J227" s="206"/>
    </row>
    <row r="228" spans="1:10" ht="15" x14ac:dyDescent="0.25">
      <c r="D228" s="124"/>
      <c r="H228" s="206"/>
      <c r="I228" s="206"/>
      <c r="J228" s="206"/>
    </row>
    <row r="229" spans="1:10" ht="15" x14ac:dyDescent="0.25">
      <c r="D229" s="124"/>
      <c r="H229" s="206"/>
      <c r="I229" s="206"/>
      <c r="J229" s="206"/>
    </row>
    <row r="230" spans="1:10" ht="15" x14ac:dyDescent="0.25">
      <c r="D230" s="124"/>
      <c r="H230" s="206"/>
      <c r="I230" s="206"/>
      <c r="J230" s="206"/>
    </row>
    <row r="231" spans="1:10" ht="15" x14ac:dyDescent="0.25">
      <c r="A231" s="127" t="s">
        <v>252</v>
      </c>
      <c r="B231" s="84"/>
      <c r="C231" s="64"/>
      <c r="D231" s="126">
        <f>IF(D227="Inválido!",D227,(D218*D194/2)+((D215*(D194-D216))/D194))</f>
        <v>1.316170242221444E-2</v>
      </c>
      <c r="H231" s="206"/>
      <c r="I231" s="206"/>
      <c r="J231" s="206"/>
    </row>
    <row r="232" spans="1:10" ht="15" x14ac:dyDescent="0.25">
      <c r="A232" s="127" t="s">
        <v>253</v>
      </c>
      <c r="B232" s="84"/>
      <c r="C232" s="64"/>
      <c r="D232" s="126">
        <f>IF(D227="Inválido!",D227,(D218*D194/2)+((D215*D216)/D194))</f>
        <v>1.316170242221444E-2</v>
      </c>
      <c r="H232" s="206"/>
      <c r="I232" s="206"/>
      <c r="J232" s="206"/>
    </row>
    <row r="233" spans="1:10" ht="15" x14ac:dyDescent="0.25">
      <c r="A233" s="137" t="s">
        <v>255</v>
      </c>
      <c r="B233" s="136"/>
      <c r="C233" s="136"/>
      <c r="D233" s="136"/>
      <c r="E233" s="136"/>
      <c r="F233" s="136"/>
      <c r="G233" s="136"/>
      <c r="H233" s="206"/>
      <c r="I233" s="206"/>
      <c r="J233" s="206"/>
    </row>
    <row r="234" spans="1:10" x14ac:dyDescent="0.2">
      <c r="H234" s="206"/>
      <c r="I234" s="206"/>
      <c r="J234" s="206"/>
    </row>
    <row r="235" spans="1:10" x14ac:dyDescent="0.2">
      <c r="H235" s="206"/>
      <c r="I235" s="206"/>
      <c r="J235" s="206"/>
    </row>
    <row r="236" spans="1:10" x14ac:dyDescent="0.2">
      <c r="H236" s="206"/>
      <c r="I236" s="206"/>
      <c r="J236" s="206"/>
    </row>
    <row r="237" spans="1:10" x14ac:dyDescent="0.2">
      <c r="H237" s="206"/>
      <c r="I237" s="206"/>
      <c r="J237" s="206"/>
    </row>
    <row r="238" spans="1:10" ht="14.25" customHeight="1" x14ac:dyDescent="0.25">
      <c r="A238" s="127" t="s">
        <v>212</v>
      </c>
      <c r="B238" s="84"/>
      <c r="C238" s="64"/>
      <c r="D238" s="89">
        <f>D196</f>
        <v>0.5714285714285714</v>
      </c>
      <c r="E238" s="132">
        <f>LOOKUP(D195,'Tabelas de Cálculo'!E2:E11,'Tabelas de Cálculo'!F2:F11)</f>
        <v>350</v>
      </c>
      <c r="H238" s="206"/>
      <c r="I238" s="206"/>
      <c r="J238" s="206"/>
    </row>
    <row r="239" spans="1:10" ht="15.75" customHeight="1" x14ac:dyDescent="0.25">
      <c r="A239" s="127" t="s">
        <v>256</v>
      </c>
      <c r="B239" s="84"/>
      <c r="C239" s="64"/>
      <c r="D239" s="133">
        <f>ROUNDUP((((5*D218*10*POWER(D194*100,4))/(384*G59*D170))+((D215*1000*(D216*100)^2*((D194*100-D216*100))^2)/(3*G59*D170*D194*100))),2)</f>
        <v>0.01</v>
      </c>
      <c r="F239" s="143">
        <f>D239/D238</f>
        <v>1.7500000000000002E-2</v>
      </c>
      <c r="G239" s="143" t="str">
        <f>IF(F239&gt;=1,"Não OK","OK")</f>
        <v>OK</v>
      </c>
      <c r="H239" s="206"/>
      <c r="I239" s="206"/>
      <c r="J239" s="206"/>
    </row>
    <row r="240" spans="1:10" x14ac:dyDescent="0.2">
      <c r="D240" s="128"/>
      <c r="E240" s="128"/>
      <c r="H240" s="206"/>
      <c r="I240" s="206"/>
      <c r="J240" s="206"/>
    </row>
    <row r="241" spans="1:10" x14ac:dyDescent="0.2">
      <c r="H241" s="206"/>
      <c r="I241" s="206"/>
      <c r="J241" s="206"/>
    </row>
    <row r="242" spans="1:10" x14ac:dyDescent="0.2">
      <c r="H242" s="206"/>
      <c r="I242" s="206"/>
      <c r="J242" s="206"/>
    </row>
    <row r="243" spans="1:10" x14ac:dyDescent="0.2">
      <c r="H243" s="206"/>
      <c r="I243" s="206"/>
      <c r="J243" s="206"/>
    </row>
    <row r="244" spans="1:10" ht="15.75" x14ac:dyDescent="0.25">
      <c r="A244" s="127" t="s">
        <v>309</v>
      </c>
      <c r="B244" s="84"/>
      <c r="C244" s="64"/>
      <c r="D244" s="134">
        <f>IF('Tabelas de Cálculo'!D45&lt;0,ROUNDDOWN('Tabelas de Cálculo'!D50,2),ROUNDDOWN('Tabelas de Cálculo'!D59,2))/100</f>
        <v>8.2668999999999997</v>
      </c>
      <c r="H244" s="206"/>
      <c r="I244" s="206"/>
      <c r="J244" s="206"/>
    </row>
    <row r="245" spans="1:10" x14ac:dyDescent="0.2">
      <c r="H245" s="206"/>
      <c r="I245" s="206"/>
      <c r="J245" s="206"/>
    </row>
    <row r="246" spans="1:10" ht="15" x14ac:dyDescent="0.25">
      <c r="A246" s="122" t="s">
        <v>310</v>
      </c>
      <c r="B246" s="123"/>
      <c r="C246" s="123"/>
      <c r="D246" s="123"/>
      <c r="E246" s="123"/>
      <c r="F246" s="123"/>
      <c r="G246" s="123"/>
    </row>
    <row r="247" spans="1:10" ht="15" x14ac:dyDescent="0.25">
      <c r="A247" s="121"/>
    </row>
    <row r="248" spans="1:10" ht="15" x14ac:dyDescent="0.25">
      <c r="A248" s="121"/>
    </row>
    <row r="249" spans="1:10" ht="15" x14ac:dyDescent="0.25">
      <c r="A249" s="121"/>
    </row>
    <row r="250" spans="1:10" ht="15" x14ac:dyDescent="0.25">
      <c r="A250" s="64" t="s">
        <v>318</v>
      </c>
      <c r="B250" s="84"/>
      <c r="C250" s="64"/>
      <c r="D250" s="124">
        <f>IF(D194-D216&lt;0,"Inválido!",(D217*POWER(D194,2)/8)+((D215*(D194-D216)*(D216))/D194))</f>
        <v>8.5551065744393865E-3</v>
      </c>
    </row>
    <row r="251" spans="1:10" ht="15" x14ac:dyDescent="0.25">
      <c r="D251" s="124"/>
    </row>
    <row r="252" spans="1:10" ht="15" x14ac:dyDescent="0.25">
      <c r="D252" s="124"/>
    </row>
    <row r="253" spans="1:10" ht="15" x14ac:dyDescent="0.25">
      <c r="D253" s="124"/>
    </row>
    <row r="254" spans="1:10" ht="15" x14ac:dyDescent="0.25">
      <c r="A254" s="127" t="s">
        <v>252</v>
      </c>
      <c r="B254" s="84"/>
      <c r="C254" s="64"/>
      <c r="D254" s="126">
        <f>IF(D227="Inválido!",D227,(D217*D194/2)+((D215*(D194-D216))/D194))</f>
        <v>1.7110213148878773E-2</v>
      </c>
    </row>
    <row r="255" spans="1:10" ht="15" x14ac:dyDescent="0.25">
      <c r="A255" s="127" t="s">
        <v>253</v>
      </c>
      <c r="B255" s="84"/>
      <c r="C255" s="64"/>
      <c r="D255" s="126">
        <f>IF(D227="Inválido!",D227,(D217*D194/2)+((D215*D216)/D194))</f>
        <v>1.7110213148878773E-2</v>
      </c>
    </row>
    <row r="256" spans="1:10" ht="15" x14ac:dyDescent="0.25">
      <c r="A256" s="137" t="s">
        <v>311</v>
      </c>
      <c r="B256" s="136"/>
      <c r="C256" s="136"/>
      <c r="D256" s="136"/>
      <c r="E256" s="136"/>
      <c r="F256" s="138" t="s">
        <v>312</v>
      </c>
      <c r="G256" s="139">
        <f>G62</f>
        <v>25.241489156351996</v>
      </c>
    </row>
    <row r="258" spans="1:7" ht="18" x14ac:dyDescent="0.25">
      <c r="A258" t="s">
        <v>358</v>
      </c>
      <c r="D258" s="141">
        <f>((LARGE(D254:D255,1)*1000)/(D179*D170))*D178</f>
        <v>0.14523600000000003</v>
      </c>
      <c r="F258" s="143">
        <f>D258/G256</f>
        <v>5.7538602061222499E-3</v>
      </c>
      <c r="G258" s="143" t="str">
        <f>IF(F258&gt;=1,"Não OK","OK")</f>
        <v>OK</v>
      </c>
    </row>
    <row r="263" spans="1:7" ht="15" x14ac:dyDescent="0.25">
      <c r="A263" s="137" t="s">
        <v>313</v>
      </c>
      <c r="B263" s="136"/>
      <c r="C263" s="136"/>
      <c r="D263" s="136"/>
      <c r="E263" s="136"/>
      <c r="F263" s="138" t="s">
        <v>314</v>
      </c>
      <c r="G263" s="139">
        <f>G60</f>
        <v>197.62563593919998</v>
      </c>
    </row>
    <row r="264" spans="1:7" x14ac:dyDescent="0.2">
      <c r="F264" s="138" t="s">
        <v>315</v>
      </c>
      <c r="G264" s="139">
        <f>G61</f>
        <v>356.83810316771547</v>
      </c>
    </row>
    <row r="265" spans="1:7" x14ac:dyDescent="0.2">
      <c r="A265" s="140" t="s">
        <v>316</v>
      </c>
    </row>
    <row r="268" spans="1:7" ht="15.75" customHeight="1" x14ac:dyDescent="0.25">
      <c r="A268" t="s">
        <v>317</v>
      </c>
      <c r="D268" s="141">
        <f>(D250*1000*100/(D170))*D174*(-1)</f>
        <v>-2.4656029135887487</v>
      </c>
      <c r="F268" s="143">
        <f>D268/G263*(-1)</f>
        <v>1.2476128928674505E-2</v>
      </c>
      <c r="G268" s="143" t="str">
        <f>IF(F268&gt;=1,"Não OK","OK")</f>
        <v>OK</v>
      </c>
    </row>
    <row r="269" spans="1:7" ht="14.25" customHeight="1" x14ac:dyDescent="0.2">
      <c r="F269" s="142"/>
      <c r="G269" s="142"/>
    </row>
    <row r="270" spans="1:7" x14ac:dyDescent="0.2">
      <c r="A270" s="19" t="s">
        <v>319</v>
      </c>
    </row>
    <row r="273" spans="1:7" ht="18" x14ac:dyDescent="0.25">
      <c r="A273" t="s">
        <v>395</v>
      </c>
      <c r="D273" s="141">
        <f>(D250*1000*100/D170)*D175</f>
        <v>2.4656029135887487</v>
      </c>
      <c r="F273" s="143">
        <f>D273/G264</f>
        <v>6.9095841831383811E-3</v>
      </c>
      <c r="G273" s="143" t="str">
        <f>IF(F273&gt;=1,"Não OK","OK")</f>
        <v>OK</v>
      </c>
    </row>
    <row r="274" spans="1:7" ht="18" x14ac:dyDescent="0.25">
      <c r="D274" s="141"/>
      <c r="F274" s="156"/>
      <c r="G274" s="156"/>
    </row>
    <row r="275" spans="1:7" ht="15" x14ac:dyDescent="0.25">
      <c r="A275" s="122" t="s">
        <v>324</v>
      </c>
      <c r="B275" s="123"/>
      <c r="C275" s="123"/>
      <c r="D275" s="123"/>
      <c r="E275" s="123"/>
      <c r="F275" s="123"/>
      <c r="G275" s="123"/>
    </row>
    <row r="276" spans="1:7" ht="15" x14ac:dyDescent="0.25">
      <c r="A276" s="144" t="s">
        <v>320</v>
      </c>
      <c r="B276" s="145">
        <f>IF(E72&lt;&gt;1,(D174+D175)/D179,1)</f>
        <v>1</v>
      </c>
      <c r="C276" s="146" t="str">
        <f>IF(INT(B276)&lt;=2,"CASO 1",IF(INT(B276)=3,"CASO 2",IF(INT(B276)=4,"CASO 3",IF(INT(B276)=5,"CASO 4",IF(INT(B276)=6,"CASO 5",IF(INT(B276)&gt;=7,"CASO 6",""))))))</f>
        <v>CASO 1</v>
      </c>
    </row>
    <row r="277" spans="1:7" x14ac:dyDescent="0.2">
      <c r="A277" s="144" t="s">
        <v>321</v>
      </c>
      <c r="B277" s="145">
        <f>E194/D179</f>
        <v>15.0450555612735</v>
      </c>
    </row>
    <row r="278" spans="1:7" x14ac:dyDescent="0.2">
      <c r="A278" s="144" t="s">
        <v>322</v>
      </c>
      <c r="B278" s="145">
        <f>((1/0.26*PI()))*((B276^(3/2))/((SQRT(B276-0.63))))*(4/1.4)/10</f>
        <v>5.6755456129243091</v>
      </c>
    </row>
    <row r="279" spans="1:7" x14ac:dyDescent="0.2">
      <c r="A279" s="144" t="s">
        <v>323</v>
      </c>
      <c r="B279" s="145">
        <f>ROUNDUP((G59/(B278*G60)),1)</f>
        <v>116.19999999999999</v>
      </c>
      <c r="C279" s="150" t="str">
        <f>IF(B277&lt;B279,"Não há necessidade de verificação !","Vai haver flambagem lateral. A viga precisará de travamento intermediário.")</f>
        <v>Não há necessidade de verificação !</v>
      </c>
      <c r="D279" s="128"/>
    </row>
    <row r="280" spans="1:7" ht="18" x14ac:dyDescent="0.25">
      <c r="A280" s="148" t="s">
        <v>337</v>
      </c>
      <c r="D280" s="149">
        <f>(D179*G59)/(B278*G60)/100</f>
        <v>15.434177089858274</v>
      </c>
      <c r="F280" s="143">
        <f>D194/D280</f>
        <v>0.12958254841550254</v>
      </c>
      <c r="G280" s="143" t="str">
        <f>IF(F280&gt;=1,"Não OK","OK")</f>
        <v>OK</v>
      </c>
    </row>
    <row r="281" spans="1:7" x14ac:dyDescent="0.2">
      <c r="A281" s="128"/>
      <c r="B281" s="128"/>
    </row>
    <row r="282" spans="1:7" ht="15" x14ac:dyDescent="0.25">
      <c r="A282" s="146" t="s">
        <v>329</v>
      </c>
      <c r="B282" s="147" t="s">
        <v>325</v>
      </c>
    </row>
    <row r="283" spans="1:7" ht="15" x14ac:dyDescent="0.25">
      <c r="A283" s="146" t="s">
        <v>330</v>
      </c>
      <c r="B283" s="147" t="s">
        <v>326</v>
      </c>
    </row>
    <row r="284" spans="1:7" ht="14.25" customHeight="1" x14ac:dyDescent="0.25">
      <c r="A284" s="146" t="s">
        <v>331</v>
      </c>
      <c r="B284" s="147" t="s">
        <v>327</v>
      </c>
    </row>
    <row r="285" spans="1:7" ht="15" x14ac:dyDescent="0.25">
      <c r="A285" s="146" t="s">
        <v>332</v>
      </c>
      <c r="B285" s="147" t="s">
        <v>335</v>
      </c>
    </row>
    <row r="286" spans="1:7" ht="15" x14ac:dyDescent="0.25">
      <c r="A286" s="146" t="s">
        <v>333</v>
      </c>
      <c r="B286" s="147" t="s">
        <v>328</v>
      </c>
    </row>
    <row r="287" spans="1:7" ht="15" x14ac:dyDescent="0.25">
      <c r="A287" s="146" t="s">
        <v>334</v>
      </c>
      <c r="B287" s="147" t="s">
        <v>336</v>
      </c>
    </row>
    <row r="288" spans="1:7" ht="15" x14ac:dyDescent="0.25">
      <c r="A288" s="146"/>
      <c r="B288" s="128"/>
    </row>
    <row r="289" spans="1:7" ht="15" x14ac:dyDescent="0.25">
      <c r="A289" s="122" t="s">
        <v>338</v>
      </c>
      <c r="B289" s="123"/>
      <c r="C289" s="123"/>
      <c r="D289" s="123"/>
      <c r="E289" s="123"/>
      <c r="F289" s="123"/>
      <c r="G289" s="123"/>
    </row>
    <row r="290" spans="1:7" ht="15" x14ac:dyDescent="0.25">
      <c r="A290" s="151" t="s">
        <v>339</v>
      </c>
      <c r="C290" s="152">
        <f>LARGE(D254:D255,1)*1000</f>
        <v>17.110213148878774</v>
      </c>
    </row>
    <row r="291" spans="1:7" x14ac:dyDescent="0.2">
      <c r="A291" s="151" t="s">
        <v>342</v>
      </c>
      <c r="C291" s="153">
        <f>G64</f>
        <v>49.406408984799995</v>
      </c>
    </row>
    <row r="292" spans="1:7" x14ac:dyDescent="0.2">
      <c r="A292" s="151" t="s">
        <v>340</v>
      </c>
      <c r="C292" s="154">
        <f>D179</f>
        <v>13.29340388179137</v>
      </c>
    </row>
    <row r="293" spans="1:7" ht="15.75" x14ac:dyDescent="0.25">
      <c r="A293" s="151" t="s">
        <v>341</v>
      </c>
      <c r="C293" s="133">
        <f>C290/(C292*C291)</f>
        <v>2.6051691752107579E-2</v>
      </c>
      <c r="D293" s="151" t="s">
        <v>343</v>
      </c>
    </row>
  </sheetData>
  <sheetProtection password="DFCF" sheet="1" objects="1" scenarios="1"/>
  <mergeCells count="41">
    <mergeCell ref="K6:M6"/>
    <mergeCell ref="H184:H194"/>
    <mergeCell ref="I184:I194"/>
    <mergeCell ref="K7:M7"/>
    <mergeCell ref="D169:E169"/>
    <mergeCell ref="A1:G1"/>
    <mergeCell ref="D168:E168"/>
    <mergeCell ref="A183:B183"/>
    <mergeCell ref="C35:D35"/>
    <mergeCell ref="D37:E37"/>
    <mergeCell ref="F58:G58"/>
    <mergeCell ref="E70:G70"/>
    <mergeCell ref="A23:B23"/>
    <mergeCell ref="D17:E17"/>
    <mergeCell ref="D18:E18"/>
    <mergeCell ref="D19:E19"/>
    <mergeCell ref="E9:F9"/>
    <mergeCell ref="A9:D9"/>
    <mergeCell ref="A5:B5"/>
    <mergeCell ref="C5:D5"/>
    <mergeCell ref="E5:F5"/>
    <mergeCell ref="E205:G205"/>
    <mergeCell ref="D170:E170"/>
    <mergeCell ref="D171:E171"/>
    <mergeCell ref="D172:E172"/>
    <mergeCell ref="D173:E173"/>
    <mergeCell ref="F183:G183"/>
    <mergeCell ref="D174:E174"/>
    <mergeCell ref="D175:E175"/>
    <mergeCell ref="D176:E176"/>
    <mergeCell ref="D177:E177"/>
    <mergeCell ref="C192:E192"/>
    <mergeCell ref="D178:E178"/>
    <mergeCell ref="D179:E179"/>
    <mergeCell ref="E2:G2"/>
    <mergeCell ref="A6:B6"/>
    <mergeCell ref="C6:D6"/>
    <mergeCell ref="E6:F6"/>
    <mergeCell ref="A8:B8"/>
    <mergeCell ref="C8:D8"/>
    <mergeCell ref="E8:F8"/>
  </mergeCells>
  <printOptions horizontalCentered="1"/>
  <pageMargins left="0" right="0" top="0.39370078740157483" bottom="0.59055118110236227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3088" r:id="rId4">
          <objectPr defaultSize="0" autoPict="0" r:id="rId5">
            <anchor moveWithCells="1">
              <from>
                <xdr:col>0</xdr:col>
                <xdr:colOff>47625</xdr:colOff>
                <xdr:row>223</xdr:row>
                <xdr:rowOff>19050</xdr:rowOff>
              </from>
              <to>
                <xdr:col>2</xdr:col>
                <xdr:colOff>247650</xdr:colOff>
                <xdr:row>225</xdr:row>
                <xdr:rowOff>171450</xdr:rowOff>
              </to>
            </anchor>
          </objectPr>
        </oleObject>
      </mc:Choice>
      <mc:Fallback>
        <oleObject progId="Equation.3" shapeId="3088" r:id="rId4"/>
      </mc:Fallback>
    </mc:AlternateContent>
    <mc:AlternateContent xmlns:mc="http://schemas.openxmlformats.org/markup-compatibility/2006">
      <mc:Choice Requires="x14">
        <oleObject progId="Equation.3" shapeId="3089" r:id="rId6">
          <objectPr defaultSize="0" autoPict="0" r:id="rId7">
            <anchor moveWithCells="1">
              <from>
                <xdr:col>0</xdr:col>
                <xdr:colOff>57150</xdr:colOff>
                <xdr:row>227</xdr:row>
                <xdr:rowOff>28575</xdr:rowOff>
              </from>
              <to>
                <xdr:col>1</xdr:col>
                <xdr:colOff>695325</xdr:colOff>
                <xdr:row>229</xdr:row>
                <xdr:rowOff>171450</xdr:rowOff>
              </to>
            </anchor>
          </objectPr>
        </oleObject>
      </mc:Choice>
      <mc:Fallback>
        <oleObject progId="Equation.3" shapeId="3089" r:id="rId6"/>
      </mc:Fallback>
    </mc:AlternateContent>
    <mc:AlternateContent xmlns:mc="http://schemas.openxmlformats.org/markup-compatibility/2006">
      <mc:Choice Requires="x14">
        <oleObject progId="Equation.3" shapeId="3090" r:id="rId8">
          <objectPr defaultSize="0" autoPict="0" r:id="rId9">
            <anchor moveWithCells="1">
              <from>
                <xdr:col>0</xdr:col>
                <xdr:colOff>47625</xdr:colOff>
                <xdr:row>233</xdr:row>
                <xdr:rowOff>76200</xdr:rowOff>
              </from>
              <to>
                <xdr:col>3</xdr:col>
                <xdr:colOff>990600</xdr:colOff>
                <xdr:row>236</xdr:row>
                <xdr:rowOff>95250</xdr:rowOff>
              </to>
            </anchor>
          </objectPr>
        </oleObject>
      </mc:Choice>
      <mc:Fallback>
        <oleObject progId="Equation.3" shapeId="3090" r:id="rId8"/>
      </mc:Fallback>
    </mc:AlternateContent>
    <mc:AlternateContent xmlns:mc="http://schemas.openxmlformats.org/markup-compatibility/2006">
      <mc:Choice Requires="x14">
        <oleObject progId="Equation.3" shapeId="3091" r:id="rId10">
          <objectPr defaultSize="0" autoPict="0" r:id="rId11">
            <anchor moveWithCells="1">
              <from>
                <xdr:col>0</xdr:col>
                <xdr:colOff>47625</xdr:colOff>
                <xdr:row>239</xdr:row>
                <xdr:rowOff>76200</xdr:rowOff>
              </from>
              <to>
                <xdr:col>3</xdr:col>
                <xdr:colOff>1000125</xdr:colOff>
                <xdr:row>242</xdr:row>
                <xdr:rowOff>142875</xdr:rowOff>
              </to>
            </anchor>
          </objectPr>
        </oleObject>
      </mc:Choice>
      <mc:Fallback>
        <oleObject progId="Equation.3" shapeId="3091" r:id="rId10"/>
      </mc:Fallback>
    </mc:AlternateContent>
    <mc:AlternateContent xmlns:mc="http://schemas.openxmlformats.org/markup-compatibility/2006">
      <mc:Choice Requires="x14">
        <oleObject progId="Equation.3" shapeId="3092" r:id="rId12">
          <objectPr defaultSize="0" autoPict="0" r:id="rId5">
            <anchor moveWithCells="1">
              <from>
                <xdr:col>0</xdr:col>
                <xdr:colOff>47625</xdr:colOff>
                <xdr:row>246</xdr:row>
                <xdr:rowOff>19050</xdr:rowOff>
              </from>
              <to>
                <xdr:col>2</xdr:col>
                <xdr:colOff>247650</xdr:colOff>
                <xdr:row>248</xdr:row>
                <xdr:rowOff>171450</xdr:rowOff>
              </to>
            </anchor>
          </objectPr>
        </oleObject>
      </mc:Choice>
      <mc:Fallback>
        <oleObject progId="Equation.3" shapeId="3092" r:id="rId12"/>
      </mc:Fallback>
    </mc:AlternateContent>
    <mc:AlternateContent xmlns:mc="http://schemas.openxmlformats.org/markup-compatibility/2006">
      <mc:Choice Requires="x14">
        <oleObject progId="Equation.3" shapeId="3093" r:id="rId13">
          <objectPr defaultSize="0" autoPict="0" r:id="rId7">
            <anchor moveWithCells="1">
              <from>
                <xdr:col>0</xdr:col>
                <xdr:colOff>57150</xdr:colOff>
                <xdr:row>250</xdr:row>
                <xdr:rowOff>28575</xdr:rowOff>
              </from>
              <to>
                <xdr:col>1</xdr:col>
                <xdr:colOff>695325</xdr:colOff>
                <xdr:row>252</xdr:row>
                <xdr:rowOff>171450</xdr:rowOff>
              </to>
            </anchor>
          </objectPr>
        </oleObject>
      </mc:Choice>
      <mc:Fallback>
        <oleObject progId="Equation.3" shapeId="3093" r:id="rId13"/>
      </mc:Fallback>
    </mc:AlternateContent>
    <mc:AlternateContent xmlns:mc="http://schemas.openxmlformats.org/markup-compatibility/2006">
      <mc:Choice Requires="x14">
        <oleObject progId="Equation.3" shapeId="3094" r:id="rId14">
          <objectPr defaultSize="0" autoPict="0" r:id="rId15">
            <anchor moveWithCells="1">
              <from>
                <xdr:col>2</xdr:col>
                <xdr:colOff>533400</xdr:colOff>
                <xdr:row>263</xdr:row>
                <xdr:rowOff>66675</xdr:rowOff>
              </from>
              <to>
                <xdr:col>4</xdr:col>
                <xdr:colOff>685800</xdr:colOff>
                <xdr:row>266</xdr:row>
                <xdr:rowOff>123825</xdr:rowOff>
              </to>
            </anchor>
          </objectPr>
        </oleObject>
      </mc:Choice>
      <mc:Fallback>
        <oleObject progId="Equation.3" shapeId="3094" r:id="rId14"/>
      </mc:Fallback>
    </mc:AlternateContent>
    <mc:AlternateContent xmlns:mc="http://schemas.openxmlformats.org/markup-compatibility/2006">
      <mc:Choice Requires="x14">
        <oleObject progId="Equation.3" shapeId="3095" r:id="rId16">
          <objectPr defaultSize="0" autoPict="0" r:id="rId17">
            <anchor moveWithCells="1">
              <from>
                <xdr:col>2</xdr:col>
                <xdr:colOff>523875</xdr:colOff>
                <xdr:row>268</xdr:row>
                <xdr:rowOff>66675</xdr:rowOff>
              </from>
              <to>
                <xdr:col>4</xdr:col>
                <xdr:colOff>704850</xdr:colOff>
                <xdr:row>271</xdr:row>
                <xdr:rowOff>133350</xdr:rowOff>
              </to>
            </anchor>
          </objectPr>
        </oleObject>
      </mc:Choice>
      <mc:Fallback>
        <oleObject progId="Equation.3" shapeId="3095" r:id="rId16"/>
      </mc:Fallback>
    </mc:AlternateContent>
    <mc:AlternateContent xmlns:mc="http://schemas.openxmlformats.org/markup-compatibility/2006">
      <mc:Choice Requires="x14">
        <oleObject progId="Equation.3" shapeId="3111" r:id="rId18">
          <objectPr defaultSize="0" r:id="rId19">
            <anchor moveWithCells="1">
              <from>
                <xdr:col>0</xdr:col>
                <xdr:colOff>114300</xdr:colOff>
                <xdr:row>258</xdr:row>
                <xdr:rowOff>66675</xdr:rowOff>
              </from>
              <to>
                <xdr:col>2</xdr:col>
                <xdr:colOff>152400</xdr:colOff>
                <xdr:row>261</xdr:row>
                <xdr:rowOff>104775</xdr:rowOff>
              </to>
            </anchor>
          </objectPr>
        </oleObject>
      </mc:Choice>
      <mc:Fallback>
        <oleObject progId="Equation.3" shapeId="3111" r:id="rId18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20" name="Drop Down 1">
              <controlPr locked="0" defaultSize="0" autoLine="0" autoPict="0">
                <anchor moveWithCells="1">
                  <from>
                    <xdr:col>0</xdr:col>
                    <xdr:colOff>28575</xdr:colOff>
                    <xdr:row>6</xdr:row>
                    <xdr:rowOff>19050</xdr:rowOff>
                  </from>
                  <to>
                    <xdr:col>1</xdr:col>
                    <xdr:colOff>685800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21" name="Drop Down 2">
              <controlPr locked="0" defaultSize="0" autoLine="0" autoPict="0">
                <anchor moveWithCells="1">
                  <from>
                    <xdr:col>4</xdr:col>
                    <xdr:colOff>247650</xdr:colOff>
                    <xdr:row>6</xdr:row>
                    <xdr:rowOff>19050</xdr:rowOff>
                  </from>
                  <to>
                    <xdr:col>5</xdr:col>
                    <xdr:colOff>647700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22" name="Drop Down 3">
              <controlPr locked="0" defaultSize="0" autoLine="0" autoPict="0">
                <anchor moveWithCells="1">
                  <from>
                    <xdr:col>2</xdr:col>
                    <xdr:colOff>361950</xdr:colOff>
                    <xdr:row>6</xdr:row>
                    <xdr:rowOff>19050</xdr:rowOff>
                  </from>
                  <to>
                    <xdr:col>3</xdr:col>
                    <xdr:colOff>771525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23" name="Drop Down 4">
              <controlPr defaultSize="0" autoLine="0" autoPict="0">
                <anchor moveWithCells="1">
                  <from>
                    <xdr:col>0</xdr:col>
                    <xdr:colOff>28575</xdr:colOff>
                    <xdr:row>33</xdr:row>
                    <xdr:rowOff>171450</xdr:rowOff>
                  </from>
                  <to>
                    <xdr:col>1</xdr:col>
                    <xdr:colOff>733425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24" name="Option Button 5">
              <controlPr defaultSize="0" autoFill="0" autoLine="0" autoPict="0" altText="Circular">
                <anchor moveWithCells="1">
                  <from>
                    <xdr:col>0</xdr:col>
                    <xdr:colOff>209550</xdr:colOff>
                    <xdr:row>72</xdr:row>
                    <xdr:rowOff>171450</xdr:rowOff>
                  </from>
                  <to>
                    <xdr:col>1</xdr:col>
                    <xdr:colOff>657225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25" name="Option Button 6">
              <controlPr defaultSize="0" autoFill="0" autoLine="0" autoPict="0" altText="Circular">
                <anchor moveWithCells="1">
                  <from>
                    <xdr:col>0</xdr:col>
                    <xdr:colOff>180975</xdr:colOff>
                    <xdr:row>84</xdr:row>
                    <xdr:rowOff>66675</xdr:rowOff>
                  </from>
                  <to>
                    <xdr:col>1</xdr:col>
                    <xdr:colOff>628650</xdr:colOff>
                    <xdr:row>85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26" name="Option Button 7">
              <controlPr defaultSize="0" autoFill="0" autoLine="0" autoPict="0" altText="Circular">
                <anchor moveWithCells="1">
                  <from>
                    <xdr:col>0</xdr:col>
                    <xdr:colOff>133350</xdr:colOff>
                    <xdr:row>96</xdr:row>
                    <xdr:rowOff>28575</xdr:rowOff>
                  </from>
                  <to>
                    <xdr:col>1</xdr:col>
                    <xdr:colOff>581025</xdr:colOff>
                    <xdr:row>97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27" name="Option Button 8">
              <controlPr defaultSize="0" autoFill="0" autoLine="0" autoPict="0" altText="Circular">
                <anchor moveWithCells="1">
                  <from>
                    <xdr:col>0</xdr:col>
                    <xdr:colOff>133350</xdr:colOff>
                    <xdr:row>111</xdr:row>
                    <xdr:rowOff>133350</xdr:rowOff>
                  </from>
                  <to>
                    <xdr:col>1</xdr:col>
                    <xdr:colOff>581025</xdr:colOff>
                    <xdr:row>112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28" name="Option Button 9">
              <controlPr defaultSize="0" autoFill="0" autoLine="0" autoPict="0" altText="Circular">
                <anchor moveWithCells="1">
                  <from>
                    <xdr:col>0</xdr:col>
                    <xdr:colOff>104775</xdr:colOff>
                    <xdr:row>126</xdr:row>
                    <xdr:rowOff>114300</xdr:rowOff>
                  </from>
                  <to>
                    <xdr:col>1</xdr:col>
                    <xdr:colOff>552450</xdr:colOff>
                    <xdr:row>127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29" name="Option Button 10">
              <controlPr defaultSize="0" autoFill="0" autoLine="0" autoPict="0" altText="Circular">
                <anchor moveWithCells="1">
                  <from>
                    <xdr:col>0</xdr:col>
                    <xdr:colOff>95250</xdr:colOff>
                    <xdr:row>142</xdr:row>
                    <xdr:rowOff>104775</xdr:rowOff>
                  </from>
                  <to>
                    <xdr:col>1</xdr:col>
                    <xdr:colOff>542925</xdr:colOff>
                    <xdr:row>143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30" name="Drop Down 14">
              <controlPr defaultSize="0" autoLine="0" autoPict="0">
                <anchor moveWithCells="1">
                  <from>
                    <xdr:col>3</xdr:col>
                    <xdr:colOff>19050</xdr:colOff>
                    <xdr:row>194</xdr:row>
                    <xdr:rowOff>9525</xdr:rowOff>
                  </from>
                  <to>
                    <xdr:col>3</xdr:col>
                    <xdr:colOff>1066800</xdr:colOff>
                    <xdr:row>195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31" name="Drop Down 15">
              <controlPr defaultSize="0" autoLine="0" autoPict="0">
                <anchor moveWithCells="1">
                  <from>
                    <xdr:col>4</xdr:col>
                    <xdr:colOff>0</xdr:colOff>
                    <xdr:row>205</xdr:row>
                    <xdr:rowOff>0</xdr:rowOff>
                  </from>
                  <to>
                    <xdr:col>6</xdr:col>
                    <xdr:colOff>1162050</xdr:colOff>
                    <xdr:row>206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32" name="Spinner 24">
              <controlPr defaultSize="0" autoPict="0">
                <anchor moveWithCells="1" sizeWithCells="1">
                  <from>
                    <xdr:col>7</xdr:col>
                    <xdr:colOff>104775</xdr:colOff>
                    <xdr:row>73</xdr:row>
                    <xdr:rowOff>47625</xdr:rowOff>
                  </from>
                  <to>
                    <xdr:col>7</xdr:col>
                    <xdr:colOff>704850</xdr:colOff>
                    <xdr:row>75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33" name="Spinner 25">
              <controlPr defaultSize="0" autoPict="0">
                <anchor moveWithCells="1" sizeWithCells="1">
                  <from>
                    <xdr:col>7</xdr:col>
                    <xdr:colOff>142875</xdr:colOff>
                    <xdr:row>85</xdr:row>
                    <xdr:rowOff>19050</xdr:rowOff>
                  </from>
                  <to>
                    <xdr:col>7</xdr:col>
                    <xdr:colOff>676275</xdr:colOff>
                    <xdr:row>87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4" name="Spinner 29">
              <controlPr defaultSize="0" autoPict="0">
                <anchor moveWithCells="1" sizeWithCells="1">
                  <from>
                    <xdr:col>8</xdr:col>
                    <xdr:colOff>57150</xdr:colOff>
                    <xdr:row>85</xdr:row>
                    <xdr:rowOff>28575</xdr:rowOff>
                  </from>
                  <to>
                    <xdr:col>8</xdr:col>
                    <xdr:colOff>590550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5" name="Spinner 30">
              <controlPr defaultSize="0" autoPict="0">
                <anchor moveWithCells="1" sizeWithCells="1">
                  <from>
                    <xdr:col>7</xdr:col>
                    <xdr:colOff>114300</xdr:colOff>
                    <xdr:row>97</xdr:row>
                    <xdr:rowOff>28575</xdr:rowOff>
                  </from>
                  <to>
                    <xdr:col>7</xdr:col>
                    <xdr:colOff>647700</xdr:colOff>
                    <xdr:row>99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6" name="Spinner 31">
              <controlPr defaultSize="0" autoPict="0">
                <anchor moveWithCells="1" sizeWithCells="1">
                  <from>
                    <xdr:col>8</xdr:col>
                    <xdr:colOff>76200</xdr:colOff>
                    <xdr:row>97</xdr:row>
                    <xdr:rowOff>28575</xdr:rowOff>
                  </from>
                  <to>
                    <xdr:col>8</xdr:col>
                    <xdr:colOff>609600</xdr:colOff>
                    <xdr:row>99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7" name="Spinner 32">
              <controlPr defaultSize="0" autoPict="0">
                <anchor moveWithCells="1" sizeWithCells="1">
                  <from>
                    <xdr:col>7</xdr:col>
                    <xdr:colOff>95250</xdr:colOff>
                    <xdr:row>101</xdr:row>
                    <xdr:rowOff>28575</xdr:rowOff>
                  </from>
                  <to>
                    <xdr:col>7</xdr:col>
                    <xdr:colOff>628650</xdr:colOff>
                    <xdr:row>103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8" name="Spinner 33">
              <controlPr defaultSize="0" autoPict="0">
                <anchor moveWithCells="1" sizeWithCells="1">
                  <from>
                    <xdr:col>8</xdr:col>
                    <xdr:colOff>66675</xdr:colOff>
                    <xdr:row>101</xdr:row>
                    <xdr:rowOff>28575</xdr:rowOff>
                  </from>
                  <to>
                    <xdr:col>8</xdr:col>
                    <xdr:colOff>600075</xdr:colOff>
                    <xdr:row>103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9" name="Scroll Bar 35">
              <controlPr defaultSize="0" autoPict="0">
                <anchor moveWithCells="1">
                  <from>
                    <xdr:col>7</xdr:col>
                    <xdr:colOff>266700</xdr:colOff>
                    <xdr:row>183</xdr:row>
                    <xdr:rowOff>57150</xdr:rowOff>
                  </from>
                  <to>
                    <xdr:col>7</xdr:col>
                    <xdr:colOff>485775</xdr:colOff>
                    <xdr:row>193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40" name="Scroll Bar 36">
              <controlPr defaultSize="0" autoPict="0">
                <anchor moveWithCells="1">
                  <from>
                    <xdr:col>8</xdr:col>
                    <xdr:colOff>257175</xdr:colOff>
                    <xdr:row>183</xdr:row>
                    <xdr:rowOff>28575</xdr:rowOff>
                  </from>
                  <to>
                    <xdr:col>8</xdr:col>
                    <xdr:colOff>476250</xdr:colOff>
                    <xdr:row>193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1" name="Spinner 44">
              <controlPr defaultSize="0" autoPict="0">
                <anchor moveWithCells="1" sizeWithCells="1">
                  <from>
                    <xdr:col>7</xdr:col>
                    <xdr:colOff>114300</xdr:colOff>
                    <xdr:row>112</xdr:row>
                    <xdr:rowOff>28575</xdr:rowOff>
                  </from>
                  <to>
                    <xdr:col>7</xdr:col>
                    <xdr:colOff>647700</xdr:colOff>
                    <xdr:row>114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2" name="Spinner 45">
              <controlPr defaultSize="0" autoPict="0">
                <anchor moveWithCells="1" sizeWithCells="1">
                  <from>
                    <xdr:col>8</xdr:col>
                    <xdr:colOff>76200</xdr:colOff>
                    <xdr:row>112</xdr:row>
                    <xdr:rowOff>28575</xdr:rowOff>
                  </from>
                  <to>
                    <xdr:col>8</xdr:col>
                    <xdr:colOff>609600</xdr:colOff>
                    <xdr:row>114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3" name="Spinner 46">
              <controlPr defaultSize="0" autoPict="0">
                <anchor moveWithCells="1" sizeWithCells="1">
                  <from>
                    <xdr:col>7</xdr:col>
                    <xdr:colOff>95250</xdr:colOff>
                    <xdr:row>116</xdr:row>
                    <xdr:rowOff>28575</xdr:rowOff>
                  </from>
                  <to>
                    <xdr:col>7</xdr:col>
                    <xdr:colOff>628650</xdr:colOff>
                    <xdr:row>118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44" name="Spinner 47">
              <controlPr defaultSize="0" autoPict="0">
                <anchor moveWithCells="1" sizeWithCells="1">
                  <from>
                    <xdr:col>8</xdr:col>
                    <xdr:colOff>66675</xdr:colOff>
                    <xdr:row>116</xdr:row>
                    <xdr:rowOff>28575</xdr:rowOff>
                  </from>
                  <to>
                    <xdr:col>8</xdr:col>
                    <xdr:colOff>600075</xdr:colOff>
                    <xdr:row>118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45" name="Spinner 48">
              <controlPr defaultSize="0" autoPict="0">
                <anchor moveWithCells="1" sizeWithCells="1">
                  <from>
                    <xdr:col>7</xdr:col>
                    <xdr:colOff>114300</xdr:colOff>
                    <xdr:row>127</xdr:row>
                    <xdr:rowOff>28575</xdr:rowOff>
                  </from>
                  <to>
                    <xdr:col>7</xdr:col>
                    <xdr:colOff>647700</xdr:colOff>
                    <xdr:row>129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46" name="Spinner 49">
              <controlPr defaultSize="0" autoPict="0">
                <anchor moveWithCells="1" sizeWithCells="1">
                  <from>
                    <xdr:col>8</xdr:col>
                    <xdr:colOff>76200</xdr:colOff>
                    <xdr:row>127</xdr:row>
                    <xdr:rowOff>28575</xdr:rowOff>
                  </from>
                  <to>
                    <xdr:col>8</xdr:col>
                    <xdr:colOff>609600</xdr:colOff>
                    <xdr:row>129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47" name="Spinner 50">
              <controlPr defaultSize="0" autoPict="0">
                <anchor moveWithCells="1" sizeWithCells="1">
                  <from>
                    <xdr:col>7</xdr:col>
                    <xdr:colOff>95250</xdr:colOff>
                    <xdr:row>131</xdr:row>
                    <xdr:rowOff>28575</xdr:rowOff>
                  </from>
                  <to>
                    <xdr:col>7</xdr:col>
                    <xdr:colOff>628650</xdr:colOff>
                    <xdr:row>133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48" name="Spinner 51">
              <controlPr defaultSize="0" autoPict="0">
                <anchor moveWithCells="1" sizeWithCells="1">
                  <from>
                    <xdr:col>8</xdr:col>
                    <xdr:colOff>66675</xdr:colOff>
                    <xdr:row>131</xdr:row>
                    <xdr:rowOff>28575</xdr:rowOff>
                  </from>
                  <to>
                    <xdr:col>8</xdr:col>
                    <xdr:colOff>600075</xdr:colOff>
                    <xdr:row>133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49" name="Drop Down 52">
              <controlPr defaultSize="0" autoLine="0" autoPict="0">
                <anchor moveWithCells="1">
                  <from>
                    <xdr:col>10</xdr:col>
                    <xdr:colOff>228600</xdr:colOff>
                    <xdr:row>6</xdr:row>
                    <xdr:rowOff>19050</xdr:rowOff>
                  </from>
                  <to>
                    <xdr:col>12</xdr:col>
                    <xdr:colOff>504825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50" name="Spinner 119">
              <controlPr defaultSize="0" autoPict="0">
                <anchor moveWithCells="1" sizeWithCells="1">
                  <from>
                    <xdr:col>7</xdr:col>
                    <xdr:colOff>114300</xdr:colOff>
                    <xdr:row>199</xdr:row>
                    <xdr:rowOff>28575</xdr:rowOff>
                  </from>
                  <to>
                    <xdr:col>7</xdr:col>
                    <xdr:colOff>647700</xdr:colOff>
                    <xdr:row>201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51" name="Spinner 120">
              <controlPr defaultSize="0" autoPict="0">
                <anchor moveWithCells="1" sizeWithCells="1">
                  <from>
                    <xdr:col>8</xdr:col>
                    <xdr:colOff>76200</xdr:colOff>
                    <xdr:row>199</xdr:row>
                    <xdr:rowOff>28575</xdr:rowOff>
                  </from>
                  <to>
                    <xdr:col>8</xdr:col>
                    <xdr:colOff>609600</xdr:colOff>
                    <xdr:row>201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N65"/>
  <sheetViews>
    <sheetView workbookViewId="0">
      <pane ySplit="2" topLeftCell="A15" activePane="bottomLeft" state="frozen"/>
      <selection pane="bottomLeft" activeCell="D74" sqref="D74"/>
    </sheetView>
  </sheetViews>
  <sheetFormatPr defaultRowHeight="12" x14ac:dyDescent="0.2"/>
  <cols>
    <col min="1" max="1" width="4" style="23" customWidth="1"/>
    <col min="2" max="2" width="20" style="23" customWidth="1"/>
    <col min="3" max="3" width="12" style="23" customWidth="1"/>
    <col min="4" max="4" width="9.75" style="23" customWidth="1"/>
    <col min="5" max="6" width="11" style="23" customWidth="1"/>
    <col min="7" max="7" width="12.75" style="23" customWidth="1"/>
    <col min="8" max="8" width="10.625" style="23" customWidth="1"/>
    <col min="9" max="9" width="10.375" style="23" customWidth="1"/>
    <col min="10" max="10" width="19.75" style="23" customWidth="1"/>
    <col min="11" max="11" width="9.875" style="23" customWidth="1"/>
    <col min="12" max="12" width="9.875" style="59" customWidth="1"/>
    <col min="13" max="14" width="9" style="59"/>
    <col min="15" max="16384" width="9" style="23"/>
  </cols>
  <sheetData>
    <row r="1" spans="1:14" ht="48" x14ac:dyDescent="0.2">
      <c r="A1" s="29"/>
      <c r="B1" s="47" t="s">
        <v>48</v>
      </c>
      <c r="C1" s="48" t="s">
        <v>159</v>
      </c>
      <c r="D1" s="49" t="s">
        <v>160</v>
      </c>
      <c r="E1" s="49" t="s">
        <v>158</v>
      </c>
      <c r="F1" s="49" t="s">
        <v>174</v>
      </c>
      <c r="G1" s="47" t="s">
        <v>161</v>
      </c>
      <c r="H1" s="47" t="s">
        <v>162</v>
      </c>
      <c r="I1" s="47" t="s">
        <v>163</v>
      </c>
      <c r="J1" s="29"/>
      <c r="K1" s="29"/>
    </row>
    <row r="2" spans="1:14" x14ac:dyDescent="0.2">
      <c r="A2" s="30" t="s">
        <v>49</v>
      </c>
      <c r="B2" s="31" t="s">
        <v>50</v>
      </c>
      <c r="C2" s="32" t="s">
        <v>51</v>
      </c>
      <c r="D2" s="33" t="s">
        <v>52</v>
      </c>
      <c r="E2" s="33" t="s">
        <v>53</v>
      </c>
      <c r="F2" s="33" t="s">
        <v>175</v>
      </c>
      <c r="G2" s="32" t="s">
        <v>54</v>
      </c>
      <c r="H2" s="32" t="s">
        <v>55</v>
      </c>
      <c r="I2" s="32" t="s">
        <v>56</v>
      </c>
      <c r="J2" s="32" t="s">
        <v>57</v>
      </c>
      <c r="K2" s="32" t="s">
        <v>9</v>
      </c>
      <c r="L2" s="60" t="s">
        <v>171</v>
      </c>
      <c r="M2" s="60" t="s">
        <v>172</v>
      </c>
      <c r="N2" s="60" t="s">
        <v>173</v>
      </c>
    </row>
    <row r="3" spans="1:14" x14ac:dyDescent="0.2">
      <c r="A3" s="34">
        <v>1</v>
      </c>
      <c r="B3" s="35" t="s">
        <v>58</v>
      </c>
      <c r="C3" s="36">
        <v>50.5</v>
      </c>
      <c r="D3" s="36">
        <v>12876</v>
      </c>
      <c r="E3" s="36">
        <v>688</v>
      </c>
      <c r="F3" s="36"/>
      <c r="G3" s="36">
        <v>7.1</v>
      </c>
      <c r="H3" s="36">
        <v>69.2</v>
      </c>
      <c r="I3" s="36">
        <v>3.1</v>
      </c>
      <c r="J3" s="37" t="s">
        <v>59</v>
      </c>
      <c r="K3" s="38" t="s">
        <v>60</v>
      </c>
      <c r="L3" s="62"/>
      <c r="M3" s="62"/>
      <c r="N3" s="62"/>
    </row>
    <row r="4" spans="1:14" x14ac:dyDescent="0.2">
      <c r="A4" s="34">
        <f>A3+1</f>
        <v>2</v>
      </c>
      <c r="B4" s="35" t="s">
        <v>61</v>
      </c>
      <c r="C4" s="36">
        <v>79.5</v>
      </c>
      <c r="D4" s="36">
        <v>20827</v>
      </c>
      <c r="E4" s="36">
        <v>1170</v>
      </c>
      <c r="F4" s="36"/>
      <c r="G4" s="36">
        <v>11.8</v>
      </c>
      <c r="H4" s="36">
        <v>117.8</v>
      </c>
      <c r="I4" s="36">
        <v>3.7</v>
      </c>
      <c r="J4" s="37" t="s">
        <v>62</v>
      </c>
      <c r="K4" s="38" t="s">
        <v>60</v>
      </c>
      <c r="L4" s="62"/>
      <c r="M4" s="62"/>
      <c r="N4" s="62"/>
    </row>
    <row r="5" spans="1:14" x14ac:dyDescent="0.2">
      <c r="A5" s="34">
        <f t="shared" ref="A5:A65" si="0">A4+1</f>
        <v>3</v>
      </c>
      <c r="B5" s="35" t="s">
        <v>63</v>
      </c>
      <c r="C5" s="36">
        <v>59.8</v>
      </c>
      <c r="D5" s="36">
        <v>12912</v>
      </c>
      <c r="E5" s="36">
        <v>694</v>
      </c>
      <c r="F5" s="36"/>
      <c r="G5" s="36">
        <v>8.8000000000000007</v>
      </c>
      <c r="H5" s="36">
        <v>75.5</v>
      </c>
      <c r="I5" s="36">
        <v>3.5</v>
      </c>
      <c r="J5" s="37" t="s">
        <v>64</v>
      </c>
      <c r="K5" s="38" t="s">
        <v>60</v>
      </c>
      <c r="L5" s="62"/>
      <c r="M5" s="62"/>
      <c r="N5" s="62"/>
    </row>
    <row r="6" spans="1:14" x14ac:dyDescent="0.2">
      <c r="A6" s="34">
        <f t="shared" si="0"/>
        <v>4</v>
      </c>
      <c r="B6" s="35" t="s">
        <v>65</v>
      </c>
      <c r="C6" s="36">
        <v>76.7</v>
      </c>
      <c r="D6" s="36">
        <v>16694</v>
      </c>
      <c r="E6" s="36">
        <v>1170</v>
      </c>
      <c r="F6" s="36"/>
      <c r="G6" s="36">
        <v>11.3</v>
      </c>
      <c r="H6" s="36">
        <v>104.9</v>
      </c>
      <c r="I6" s="36">
        <v>4.8</v>
      </c>
      <c r="J6" s="37" t="s">
        <v>66</v>
      </c>
      <c r="K6" s="38" t="s">
        <v>60</v>
      </c>
      <c r="L6" s="62"/>
      <c r="M6" s="62"/>
      <c r="N6" s="62"/>
    </row>
    <row r="7" spans="1:14" x14ac:dyDescent="0.2">
      <c r="A7" s="34">
        <f t="shared" si="0"/>
        <v>5</v>
      </c>
      <c r="B7" s="35" t="s">
        <v>67</v>
      </c>
      <c r="C7" s="36">
        <v>0</v>
      </c>
      <c r="D7" s="36">
        <v>0</v>
      </c>
      <c r="E7" s="36">
        <v>0</v>
      </c>
      <c r="F7" s="36"/>
      <c r="G7" s="36">
        <v>0</v>
      </c>
      <c r="H7" s="36">
        <v>0</v>
      </c>
      <c r="I7" s="36">
        <v>0</v>
      </c>
      <c r="J7" s="37"/>
      <c r="K7" s="38" t="s">
        <v>60</v>
      </c>
      <c r="L7" s="62"/>
      <c r="M7" s="62"/>
      <c r="N7" s="62"/>
    </row>
    <row r="8" spans="1:14" x14ac:dyDescent="0.2">
      <c r="A8" s="34">
        <f t="shared" si="0"/>
        <v>6</v>
      </c>
      <c r="B8" s="35" t="s">
        <v>68</v>
      </c>
      <c r="C8" s="36">
        <v>48.1</v>
      </c>
      <c r="D8" s="36">
        <v>13481</v>
      </c>
      <c r="E8" s="36">
        <v>803</v>
      </c>
      <c r="F8" s="36"/>
      <c r="G8" s="36">
        <v>9.8000000000000007</v>
      </c>
      <c r="H8" s="36">
        <v>87.9</v>
      </c>
      <c r="I8" s="36">
        <v>3.2</v>
      </c>
      <c r="J8" s="37" t="s">
        <v>69</v>
      </c>
      <c r="K8" s="38" t="s">
        <v>60</v>
      </c>
      <c r="L8" s="62"/>
      <c r="M8" s="62"/>
      <c r="N8" s="62"/>
    </row>
    <row r="9" spans="1:14" x14ac:dyDescent="0.2">
      <c r="A9" s="34">
        <f t="shared" si="0"/>
        <v>7</v>
      </c>
      <c r="B9" s="35" t="s">
        <v>70</v>
      </c>
      <c r="C9" s="36">
        <v>59.1</v>
      </c>
      <c r="D9" s="36">
        <v>14098</v>
      </c>
      <c r="E9" s="36">
        <v>677</v>
      </c>
      <c r="F9" s="36"/>
      <c r="G9" s="36">
        <v>5.9</v>
      </c>
      <c r="H9" s="36">
        <v>79.7</v>
      </c>
      <c r="I9" s="36">
        <v>3</v>
      </c>
      <c r="J9" s="37" t="s">
        <v>71</v>
      </c>
      <c r="K9" s="38" t="s">
        <v>60</v>
      </c>
      <c r="L9" s="62"/>
      <c r="M9" s="62"/>
      <c r="N9" s="62"/>
    </row>
    <row r="10" spans="1:14" x14ac:dyDescent="0.2">
      <c r="A10" s="34">
        <f t="shared" si="0"/>
        <v>8</v>
      </c>
      <c r="B10" s="35" t="s">
        <v>72</v>
      </c>
      <c r="C10" s="36">
        <v>52</v>
      </c>
      <c r="D10" s="36">
        <v>14613</v>
      </c>
      <c r="E10" s="36">
        <v>871</v>
      </c>
      <c r="F10" s="36"/>
      <c r="G10" s="36">
        <v>11.1</v>
      </c>
      <c r="H10" s="36">
        <v>84.9</v>
      </c>
      <c r="I10" s="36">
        <v>6.2</v>
      </c>
      <c r="J10" s="37" t="s">
        <v>73</v>
      </c>
      <c r="K10" s="38" t="s">
        <v>60</v>
      </c>
      <c r="L10" s="62"/>
      <c r="M10" s="62"/>
      <c r="N10" s="62"/>
    </row>
    <row r="11" spans="1:14" x14ac:dyDescent="0.2">
      <c r="A11" s="34">
        <f t="shared" si="0"/>
        <v>9</v>
      </c>
      <c r="B11" s="35" t="s">
        <v>74</v>
      </c>
      <c r="C11" s="36">
        <v>56</v>
      </c>
      <c r="D11" s="36">
        <v>16224</v>
      </c>
      <c r="E11" s="36">
        <v>801</v>
      </c>
      <c r="F11" s="36"/>
      <c r="G11" s="36">
        <v>8.1999999999999993</v>
      </c>
      <c r="H11" s="36">
        <v>120.2</v>
      </c>
      <c r="I11" s="36">
        <v>4.0999999999999996</v>
      </c>
      <c r="J11" s="37"/>
      <c r="K11" s="38" t="s">
        <v>60</v>
      </c>
      <c r="L11" s="62"/>
      <c r="M11" s="62"/>
      <c r="N11" s="62"/>
    </row>
    <row r="12" spans="1:14" x14ac:dyDescent="0.2">
      <c r="A12" s="34">
        <f t="shared" si="0"/>
        <v>10</v>
      </c>
      <c r="B12" s="35" t="s">
        <v>75</v>
      </c>
      <c r="C12" s="36">
        <v>54.8</v>
      </c>
      <c r="D12" s="36">
        <v>11105</v>
      </c>
      <c r="E12" s="36">
        <v>759</v>
      </c>
      <c r="F12" s="36"/>
      <c r="G12" s="36">
        <v>12.8</v>
      </c>
      <c r="H12" s="36">
        <v>99.5</v>
      </c>
      <c r="I12" s="36">
        <v>7.5</v>
      </c>
      <c r="J12" s="37"/>
      <c r="K12" s="38" t="s">
        <v>60</v>
      </c>
      <c r="L12" s="62"/>
      <c r="M12" s="62"/>
      <c r="N12" s="62"/>
    </row>
    <row r="13" spans="1:14" x14ac:dyDescent="0.2">
      <c r="A13" s="34">
        <f t="shared" si="0"/>
        <v>11</v>
      </c>
      <c r="B13" s="35" t="s">
        <v>76</v>
      </c>
      <c r="C13" s="36">
        <v>83.8</v>
      </c>
      <c r="D13" s="36">
        <v>19426</v>
      </c>
      <c r="E13" s="36">
        <v>1221</v>
      </c>
      <c r="F13" s="36"/>
      <c r="G13" s="36">
        <v>11.1</v>
      </c>
      <c r="H13" s="36">
        <v>86.2</v>
      </c>
      <c r="I13" s="36">
        <v>3.3</v>
      </c>
      <c r="J13" s="37"/>
      <c r="K13" s="38" t="s">
        <v>60</v>
      </c>
      <c r="L13" s="62"/>
      <c r="M13" s="62"/>
      <c r="N13" s="62"/>
    </row>
    <row r="14" spans="1:14" x14ac:dyDescent="0.2">
      <c r="A14" s="34">
        <f t="shared" si="0"/>
        <v>12</v>
      </c>
      <c r="B14" s="35" t="s">
        <v>77</v>
      </c>
      <c r="C14" s="36">
        <v>39</v>
      </c>
      <c r="D14" s="36">
        <v>9839</v>
      </c>
      <c r="E14" s="36">
        <v>504</v>
      </c>
      <c r="F14" s="36"/>
      <c r="G14" s="36">
        <v>6.1</v>
      </c>
      <c r="H14" s="36">
        <v>58.1</v>
      </c>
      <c r="I14" s="36">
        <v>3</v>
      </c>
      <c r="J14" s="37"/>
      <c r="K14" s="38" t="s">
        <v>60</v>
      </c>
      <c r="L14" s="62"/>
      <c r="M14" s="62"/>
      <c r="N14" s="62"/>
    </row>
    <row r="15" spans="1:14" x14ac:dyDescent="0.2">
      <c r="A15" s="34">
        <f t="shared" si="0"/>
        <v>13</v>
      </c>
      <c r="B15" s="35" t="s">
        <v>78</v>
      </c>
      <c r="C15" s="36">
        <v>31.5</v>
      </c>
      <c r="D15" s="36">
        <v>8058</v>
      </c>
      <c r="E15" s="36">
        <v>500</v>
      </c>
      <c r="F15" s="36"/>
      <c r="G15" s="36">
        <v>5.6</v>
      </c>
      <c r="H15" s="36">
        <v>71.400000000000006</v>
      </c>
      <c r="I15" s="36">
        <v>3</v>
      </c>
      <c r="J15" s="37"/>
      <c r="K15" s="38" t="s">
        <v>60</v>
      </c>
      <c r="L15" s="62"/>
      <c r="M15" s="62"/>
      <c r="N15" s="62"/>
    </row>
    <row r="16" spans="1:14" x14ac:dyDescent="0.2">
      <c r="A16" s="34">
        <f t="shared" si="0"/>
        <v>14</v>
      </c>
      <c r="B16" s="35" t="s">
        <v>79</v>
      </c>
      <c r="C16" s="36">
        <v>93.2</v>
      </c>
      <c r="D16" s="36">
        <v>23002</v>
      </c>
      <c r="E16" s="36">
        <v>1090</v>
      </c>
      <c r="F16" s="36"/>
      <c r="G16" s="36">
        <v>10.7</v>
      </c>
      <c r="H16" s="36">
        <v>133.5</v>
      </c>
      <c r="I16" s="36">
        <v>2.9</v>
      </c>
      <c r="J16" s="37" t="s">
        <v>80</v>
      </c>
      <c r="K16" s="38" t="s">
        <v>60</v>
      </c>
      <c r="L16" s="62"/>
      <c r="M16" s="62"/>
      <c r="N16" s="62"/>
    </row>
    <row r="17" spans="1:14" x14ac:dyDescent="0.2">
      <c r="A17" s="34">
        <f t="shared" si="0"/>
        <v>15</v>
      </c>
      <c r="B17" s="35" t="s">
        <v>81</v>
      </c>
      <c r="C17" s="36">
        <v>54.4</v>
      </c>
      <c r="D17" s="36">
        <v>13627</v>
      </c>
      <c r="E17" s="36">
        <v>838</v>
      </c>
      <c r="F17" s="36"/>
      <c r="G17" s="36">
        <v>10.4</v>
      </c>
      <c r="H17" s="36">
        <v>62.1</v>
      </c>
      <c r="I17" s="36">
        <v>3.3</v>
      </c>
      <c r="J17" s="37"/>
      <c r="K17" s="38" t="s">
        <v>60</v>
      </c>
      <c r="L17" s="62"/>
      <c r="M17" s="62"/>
      <c r="N17" s="62"/>
    </row>
    <row r="18" spans="1:14" x14ac:dyDescent="0.2">
      <c r="A18" s="34">
        <f>A17+1</f>
        <v>16</v>
      </c>
      <c r="B18" s="212" t="s">
        <v>417</v>
      </c>
      <c r="C18" s="213">
        <f>(33.9+34.4)/2</f>
        <v>34.15</v>
      </c>
      <c r="D18" s="213">
        <v>12621</v>
      </c>
      <c r="E18" s="213">
        <f>F18*1.2</f>
        <v>630.24</v>
      </c>
      <c r="F18" s="213">
        <v>525.20000000000005</v>
      </c>
      <c r="G18" s="213">
        <f>(9.3+9.8)/2</f>
        <v>9.5500000000000007</v>
      </c>
      <c r="H18" s="213"/>
      <c r="I18" s="217">
        <f>I24</f>
        <v>2.6</v>
      </c>
      <c r="J18" s="214" t="s">
        <v>82</v>
      </c>
      <c r="K18" s="215" t="s">
        <v>60</v>
      </c>
      <c r="L18" s="216"/>
      <c r="M18" s="216"/>
      <c r="N18" s="216"/>
    </row>
    <row r="19" spans="1:14" x14ac:dyDescent="0.2">
      <c r="A19" s="34">
        <f>A18+1</f>
        <v>17</v>
      </c>
      <c r="B19" s="35" t="s">
        <v>83</v>
      </c>
      <c r="C19" s="36">
        <v>47.3</v>
      </c>
      <c r="D19" s="36">
        <v>13409</v>
      </c>
      <c r="E19" s="36">
        <v>705</v>
      </c>
      <c r="F19" s="36"/>
      <c r="G19" s="36">
        <v>9.5</v>
      </c>
      <c r="H19" s="36">
        <v>69.400000000000006</v>
      </c>
      <c r="I19" s="36">
        <v>4.5999999999999996</v>
      </c>
      <c r="J19" s="37"/>
      <c r="K19" s="38" t="s">
        <v>60</v>
      </c>
      <c r="L19" s="62"/>
      <c r="M19" s="62"/>
      <c r="N19" s="62"/>
    </row>
    <row r="20" spans="1:14" x14ac:dyDescent="0.2">
      <c r="A20" s="34">
        <f t="shared" si="0"/>
        <v>18</v>
      </c>
      <c r="B20" s="35" t="s">
        <v>84</v>
      </c>
      <c r="C20" s="36">
        <v>48</v>
      </c>
      <c r="D20" s="36">
        <v>13286</v>
      </c>
      <c r="E20" s="36">
        <v>899</v>
      </c>
      <c r="F20" s="36"/>
      <c r="G20" s="36">
        <v>9</v>
      </c>
      <c r="H20" s="36">
        <v>78.099999999999994</v>
      </c>
      <c r="I20" s="36">
        <v>4.5999999999999996</v>
      </c>
      <c r="J20" s="37"/>
      <c r="K20" s="38" t="s">
        <v>60</v>
      </c>
      <c r="L20" s="62"/>
      <c r="M20" s="62"/>
      <c r="N20" s="62"/>
    </row>
    <row r="21" spans="1:14" s="58" customFormat="1" x14ac:dyDescent="0.2">
      <c r="A21" s="53">
        <f t="shared" si="0"/>
        <v>19</v>
      </c>
      <c r="B21" s="74" t="s">
        <v>182</v>
      </c>
      <c r="C21" s="75">
        <v>62.8</v>
      </c>
      <c r="D21" s="75">
        <v>15867</v>
      </c>
      <c r="E21" s="75">
        <v>1040</v>
      </c>
      <c r="F21" s="75">
        <v>867</v>
      </c>
      <c r="G21" s="75">
        <v>16.3</v>
      </c>
      <c r="H21" s="75" t="s">
        <v>132</v>
      </c>
      <c r="I21" s="75">
        <v>10.1</v>
      </c>
      <c r="J21" s="76" t="s">
        <v>85</v>
      </c>
      <c r="K21" s="57" t="s">
        <v>60</v>
      </c>
      <c r="L21" s="61">
        <v>6.6000000000000003E-2</v>
      </c>
      <c r="M21" s="61">
        <v>9.5000000000000001E-2</v>
      </c>
      <c r="N21" s="61">
        <v>0.19400000000000001</v>
      </c>
    </row>
    <row r="22" spans="1:14" x14ac:dyDescent="0.2">
      <c r="A22" s="34">
        <f t="shared" si="0"/>
        <v>20</v>
      </c>
      <c r="B22" s="35" t="s">
        <v>86</v>
      </c>
      <c r="C22" s="36">
        <v>51.8</v>
      </c>
      <c r="D22" s="36">
        <v>13963</v>
      </c>
      <c r="E22" s="36">
        <v>822</v>
      </c>
      <c r="F22" s="36"/>
      <c r="G22" s="36">
        <v>10.5</v>
      </c>
      <c r="H22" s="36">
        <v>90.8</v>
      </c>
      <c r="I22" s="36">
        <v>4</v>
      </c>
      <c r="J22" s="37"/>
      <c r="K22" s="38" t="s">
        <v>60</v>
      </c>
      <c r="L22" s="62"/>
      <c r="M22" s="62"/>
      <c r="N22" s="62"/>
    </row>
    <row r="23" spans="1:14" x14ac:dyDescent="0.2">
      <c r="A23" s="34">
        <f t="shared" si="0"/>
        <v>21</v>
      </c>
      <c r="B23" s="39" t="s">
        <v>87</v>
      </c>
      <c r="C23" s="40">
        <v>48.9</v>
      </c>
      <c r="D23" s="40">
        <v>18029</v>
      </c>
      <c r="E23" s="40">
        <v>690</v>
      </c>
      <c r="F23" s="40"/>
      <c r="G23" s="40">
        <v>9.8000000000000007</v>
      </c>
      <c r="H23" s="40">
        <v>139.19999999999999</v>
      </c>
      <c r="I23" s="40">
        <v>6.9</v>
      </c>
      <c r="J23" s="41"/>
      <c r="K23" s="38" t="s">
        <v>60</v>
      </c>
      <c r="L23" s="62"/>
      <c r="M23" s="62"/>
      <c r="N23" s="62"/>
    </row>
    <row r="24" spans="1:14" s="58" customFormat="1" x14ac:dyDescent="0.2">
      <c r="A24" s="53">
        <f t="shared" si="0"/>
        <v>22</v>
      </c>
      <c r="B24" s="54" t="s">
        <v>401</v>
      </c>
      <c r="C24" s="55">
        <v>42.1</v>
      </c>
      <c r="D24" s="55">
        <v>11572</v>
      </c>
      <c r="E24" s="55">
        <v>500</v>
      </c>
      <c r="F24" s="55">
        <v>420</v>
      </c>
      <c r="G24" s="55">
        <v>7</v>
      </c>
      <c r="H24" s="55" t="s">
        <v>132</v>
      </c>
      <c r="I24" s="55">
        <v>2.6</v>
      </c>
      <c r="J24" s="56" t="s">
        <v>88</v>
      </c>
      <c r="K24" s="57" t="s">
        <v>60</v>
      </c>
      <c r="L24" s="61">
        <v>5.2999999999999999E-2</v>
      </c>
      <c r="M24" s="61">
        <v>8.6999999999999994E-2</v>
      </c>
      <c r="N24" s="61">
        <v>0.157</v>
      </c>
    </row>
    <row r="25" spans="1:14" x14ac:dyDescent="0.2">
      <c r="A25" s="34">
        <f t="shared" si="0"/>
        <v>23</v>
      </c>
      <c r="B25" s="39" t="s">
        <v>89</v>
      </c>
      <c r="C25" s="40">
        <v>63.5</v>
      </c>
      <c r="D25" s="40">
        <v>18099</v>
      </c>
      <c r="E25" s="40">
        <v>931</v>
      </c>
      <c r="F25" s="40"/>
      <c r="G25" s="40">
        <v>10.6</v>
      </c>
      <c r="H25" s="40">
        <v>115.6</v>
      </c>
      <c r="I25" s="40">
        <v>4.0999999999999996</v>
      </c>
      <c r="J25" s="41"/>
      <c r="K25" s="38" t="s">
        <v>60</v>
      </c>
      <c r="L25" s="62"/>
      <c r="M25" s="62"/>
      <c r="N25" s="62"/>
    </row>
    <row r="26" spans="1:14" x14ac:dyDescent="0.2">
      <c r="A26" s="34">
        <f t="shared" si="0"/>
        <v>24</v>
      </c>
      <c r="B26" s="39" t="s">
        <v>90</v>
      </c>
      <c r="C26" s="40">
        <v>48.3</v>
      </c>
      <c r="D26" s="40">
        <v>14431</v>
      </c>
      <c r="E26" s="40">
        <v>924</v>
      </c>
      <c r="F26" s="218"/>
      <c r="G26" s="40">
        <v>10.3</v>
      </c>
      <c r="H26" s="40">
        <v>83.7</v>
      </c>
      <c r="I26" s="40">
        <v>4.8</v>
      </c>
      <c r="J26" s="41"/>
      <c r="K26" s="38" t="s">
        <v>60</v>
      </c>
      <c r="L26" s="62"/>
      <c r="M26" s="62"/>
      <c r="N26" s="62"/>
    </row>
    <row r="27" spans="1:14" x14ac:dyDescent="0.2">
      <c r="A27" s="34">
        <f t="shared" si="0"/>
        <v>25</v>
      </c>
      <c r="B27" s="39" t="s">
        <v>91</v>
      </c>
      <c r="C27" s="40">
        <v>54.9</v>
      </c>
      <c r="D27" s="40">
        <v>16782</v>
      </c>
      <c r="E27" s="40">
        <v>929</v>
      </c>
      <c r="F27" s="218"/>
      <c r="G27" s="40">
        <v>10.3</v>
      </c>
      <c r="H27" s="40">
        <v>118.6</v>
      </c>
      <c r="I27" s="40">
        <v>4.5</v>
      </c>
      <c r="J27" s="41"/>
      <c r="K27" s="38" t="s">
        <v>60</v>
      </c>
      <c r="L27" s="62"/>
      <c r="M27" s="62"/>
      <c r="N27" s="62"/>
    </row>
    <row r="28" spans="1:14" x14ac:dyDescent="0.2">
      <c r="A28" s="34">
        <f t="shared" si="0"/>
        <v>26</v>
      </c>
      <c r="B28" s="39" t="s">
        <v>92</v>
      </c>
      <c r="C28" s="40">
        <v>72.7</v>
      </c>
      <c r="D28" s="40">
        <v>19881</v>
      </c>
      <c r="E28" s="40">
        <v>1087</v>
      </c>
      <c r="F28" s="218"/>
      <c r="G28" s="40">
        <v>12.4</v>
      </c>
      <c r="H28" s="40">
        <v>147.4</v>
      </c>
      <c r="I28" s="40">
        <v>4.7</v>
      </c>
      <c r="J28" s="41"/>
      <c r="K28" s="38" t="s">
        <v>60</v>
      </c>
      <c r="L28" s="62"/>
      <c r="M28" s="62"/>
      <c r="N28" s="62"/>
    </row>
    <row r="29" spans="1:14" x14ac:dyDescent="0.2">
      <c r="A29" s="34">
        <f t="shared" si="0"/>
        <v>27</v>
      </c>
      <c r="B29" s="39" t="s">
        <v>93</v>
      </c>
      <c r="C29" s="40">
        <v>51.6</v>
      </c>
      <c r="D29" s="40">
        <v>15561</v>
      </c>
      <c r="E29" s="40">
        <v>952</v>
      </c>
      <c r="F29" s="40"/>
      <c r="G29" s="40">
        <v>9.6999999999999993</v>
      </c>
      <c r="H29" s="40">
        <v>89.1</v>
      </c>
      <c r="I29" s="40">
        <v>4.7</v>
      </c>
      <c r="J29" s="41"/>
      <c r="K29" s="38" t="s">
        <v>60</v>
      </c>
      <c r="L29" s="62"/>
      <c r="M29" s="62"/>
      <c r="N29" s="62"/>
    </row>
    <row r="30" spans="1:14" x14ac:dyDescent="0.2">
      <c r="A30" s="34">
        <f t="shared" si="0"/>
        <v>28</v>
      </c>
      <c r="B30" s="39" t="s">
        <v>94</v>
      </c>
      <c r="C30" s="40">
        <v>78.5</v>
      </c>
      <c r="D30" s="40">
        <v>19360</v>
      </c>
      <c r="E30" s="40">
        <v>948</v>
      </c>
      <c r="F30" s="40"/>
      <c r="G30" s="40">
        <v>12.9</v>
      </c>
      <c r="H30" s="40">
        <v>125.6</v>
      </c>
      <c r="I30" s="40">
        <v>6</v>
      </c>
      <c r="J30" s="41"/>
      <c r="K30" s="38" t="s">
        <v>60</v>
      </c>
      <c r="L30" s="62"/>
      <c r="M30" s="62"/>
      <c r="N30" s="62"/>
    </row>
    <row r="31" spans="1:14" x14ac:dyDescent="0.2">
      <c r="A31" s="34">
        <f t="shared" si="0"/>
        <v>29</v>
      </c>
      <c r="B31" s="39" t="s">
        <v>95</v>
      </c>
      <c r="C31" s="40">
        <v>46.8</v>
      </c>
      <c r="D31" s="40">
        <v>14933</v>
      </c>
      <c r="E31" s="40">
        <v>731</v>
      </c>
      <c r="F31" s="40"/>
      <c r="G31" s="40">
        <v>8.1999999999999993</v>
      </c>
      <c r="H31" s="40">
        <v>95.5</v>
      </c>
      <c r="I31" s="40">
        <v>4</v>
      </c>
      <c r="J31" s="41"/>
      <c r="K31" s="38" t="s">
        <v>60</v>
      </c>
      <c r="L31" s="62"/>
      <c r="M31" s="62"/>
      <c r="N31" s="62"/>
    </row>
    <row r="32" spans="1:14" x14ac:dyDescent="0.2">
      <c r="A32" s="34">
        <f t="shared" si="0"/>
        <v>30</v>
      </c>
      <c r="B32" s="39" t="s">
        <v>96</v>
      </c>
      <c r="C32" s="40">
        <v>57.7</v>
      </c>
      <c r="D32" s="40">
        <v>17198</v>
      </c>
      <c r="E32" s="40">
        <v>899</v>
      </c>
      <c r="F32" s="40"/>
      <c r="G32" s="40">
        <v>9.6999999999999993</v>
      </c>
      <c r="H32" s="40">
        <v>115.9</v>
      </c>
      <c r="I32" s="40">
        <v>4.5999999999999996</v>
      </c>
      <c r="J32" s="41"/>
      <c r="K32" s="38" t="s">
        <v>60</v>
      </c>
      <c r="L32" s="62"/>
      <c r="M32" s="62"/>
      <c r="N32" s="62"/>
    </row>
    <row r="33" spans="1:14" x14ac:dyDescent="0.2">
      <c r="A33" s="34">
        <f t="shared" si="0"/>
        <v>31</v>
      </c>
      <c r="B33" s="39" t="s">
        <v>97</v>
      </c>
      <c r="C33" s="40">
        <v>53.9</v>
      </c>
      <c r="D33" s="40">
        <v>14617</v>
      </c>
      <c r="E33" s="40">
        <v>755</v>
      </c>
      <c r="F33" s="40"/>
      <c r="G33" s="40">
        <v>9.1999999999999993</v>
      </c>
      <c r="H33" s="40">
        <v>100.9</v>
      </c>
      <c r="I33" s="40">
        <v>2.7</v>
      </c>
      <c r="J33" s="41"/>
      <c r="K33" s="38" t="s">
        <v>60</v>
      </c>
      <c r="L33" s="62"/>
      <c r="M33" s="62"/>
      <c r="N33" s="62"/>
    </row>
    <row r="34" spans="1:14" x14ac:dyDescent="0.2">
      <c r="A34" s="34">
        <f t="shared" si="0"/>
        <v>32</v>
      </c>
      <c r="B34" s="39" t="s">
        <v>98</v>
      </c>
      <c r="C34" s="40">
        <v>42.7</v>
      </c>
      <c r="D34" s="40">
        <v>14577</v>
      </c>
      <c r="E34" s="40">
        <v>889</v>
      </c>
      <c r="F34" s="40"/>
      <c r="G34" s="40">
        <v>9.4</v>
      </c>
      <c r="H34" s="40">
        <v>90.4</v>
      </c>
      <c r="I34" s="40">
        <v>3</v>
      </c>
      <c r="J34" s="41"/>
      <c r="K34" s="38" t="s">
        <v>60</v>
      </c>
      <c r="L34" s="62"/>
      <c r="M34" s="62"/>
      <c r="N34" s="62"/>
    </row>
    <row r="35" spans="1:14" x14ac:dyDescent="0.2">
      <c r="A35" s="34">
        <f t="shared" si="0"/>
        <v>33</v>
      </c>
      <c r="B35" s="39" t="s">
        <v>99</v>
      </c>
      <c r="C35" s="40">
        <v>46</v>
      </c>
      <c r="D35" s="40">
        <v>13166</v>
      </c>
      <c r="E35" s="40">
        <v>739</v>
      </c>
      <c r="F35" s="40"/>
      <c r="G35" s="40">
        <v>8.3000000000000007</v>
      </c>
      <c r="H35" s="40">
        <v>85.1</v>
      </c>
      <c r="I35" s="40">
        <v>4.0999999999999996</v>
      </c>
      <c r="J35" s="41"/>
      <c r="K35" s="38" t="s">
        <v>60</v>
      </c>
      <c r="L35" s="62"/>
      <c r="M35" s="62"/>
      <c r="N35" s="62"/>
    </row>
    <row r="36" spans="1:14" x14ac:dyDescent="0.2">
      <c r="A36" s="34">
        <f t="shared" si="0"/>
        <v>34</v>
      </c>
      <c r="B36" s="39" t="s">
        <v>100</v>
      </c>
      <c r="C36" s="40">
        <v>47</v>
      </c>
      <c r="D36" s="40">
        <v>14920</v>
      </c>
      <c r="E36" s="40">
        <v>590</v>
      </c>
      <c r="F36" s="40"/>
      <c r="G36" s="40">
        <v>8.5</v>
      </c>
      <c r="H36" s="40">
        <v>95.5</v>
      </c>
      <c r="I36" s="40">
        <v>4.3</v>
      </c>
      <c r="J36" s="41" t="s">
        <v>101</v>
      </c>
      <c r="K36" s="38" t="s">
        <v>60</v>
      </c>
      <c r="L36" s="62"/>
      <c r="M36" s="62"/>
      <c r="N36" s="62"/>
    </row>
    <row r="37" spans="1:14" x14ac:dyDescent="0.2">
      <c r="A37" s="34">
        <f t="shared" si="0"/>
        <v>35</v>
      </c>
      <c r="B37" s="39" t="s">
        <v>102</v>
      </c>
      <c r="C37" s="40">
        <v>78.400000000000006</v>
      </c>
      <c r="D37" s="40">
        <v>18359</v>
      </c>
      <c r="E37" s="40">
        <v>892</v>
      </c>
      <c r="F37" s="40"/>
      <c r="G37" s="40">
        <v>11.9</v>
      </c>
      <c r="H37" s="40">
        <v>108</v>
      </c>
      <c r="I37" s="40">
        <v>6.9</v>
      </c>
      <c r="J37" s="41"/>
      <c r="K37" s="38" t="s">
        <v>60</v>
      </c>
      <c r="L37" s="62"/>
      <c r="M37" s="62"/>
      <c r="N37" s="62"/>
    </row>
    <row r="38" spans="1:14" x14ac:dyDescent="0.2">
      <c r="A38" s="34">
        <f t="shared" si="0"/>
        <v>36</v>
      </c>
      <c r="B38" s="39" t="s">
        <v>103</v>
      </c>
      <c r="C38" s="40">
        <v>71.400000000000006</v>
      </c>
      <c r="D38" s="40">
        <v>14624</v>
      </c>
      <c r="E38" s="40">
        <v>825</v>
      </c>
      <c r="F38" s="40"/>
      <c r="G38" s="40">
        <v>12.5</v>
      </c>
      <c r="H38" s="40">
        <v>115.6</v>
      </c>
      <c r="I38" s="40">
        <v>4.2</v>
      </c>
      <c r="J38" s="41"/>
      <c r="K38" s="38" t="s">
        <v>60</v>
      </c>
      <c r="L38" s="62"/>
      <c r="M38" s="62"/>
      <c r="N38" s="62"/>
    </row>
    <row r="39" spans="1:14" x14ac:dyDescent="0.2">
      <c r="A39" s="34">
        <f t="shared" si="0"/>
        <v>37</v>
      </c>
      <c r="B39" s="39" t="s">
        <v>104</v>
      </c>
      <c r="C39" s="40">
        <v>62.4</v>
      </c>
      <c r="D39" s="40">
        <v>17212</v>
      </c>
      <c r="E39" s="40">
        <v>919</v>
      </c>
      <c r="F39" s="40"/>
      <c r="G39" s="40">
        <v>15.5</v>
      </c>
      <c r="H39" s="40">
        <v>70.900000000000006</v>
      </c>
      <c r="I39" s="40">
        <v>5.5</v>
      </c>
      <c r="J39" s="41"/>
      <c r="K39" s="38" t="s">
        <v>60</v>
      </c>
      <c r="L39" s="62"/>
      <c r="M39" s="62"/>
      <c r="N39" s="62"/>
    </row>
    <row r="40" spans="1:14" s="58" customFormat="1" x14ac:dyDescent="0.2">
      <c r="A40" s="53">
        <f t="shared" si="0"/>
        <v>38</v>
      </c>
      <c r="B40" s="54" t="s">
        <v>105</v>
      </c>
      <c r="C40" s="55">
        <v>82.9</v>
      </c>
      <c r="D40" s="55">
        <v>18054</v>
      </c>
      <c r="E40" s="55">
        <v>1010</v>
      </c>
      <c r="F40" s="55">
        <v>840</v>
      </c>
      <c r="G40" s="55">
        <v>15.4</v>
      </c>
      <c r="H40" s="55" t="s">
        <v>132</v>
      </c>
      <c r="I40" s="55">
        <v>11.1</v>
      </c>
      <c r="J40" s="56" t="s">
        <v>167</v>
      </c>
      <c r="K40" s="57" t="s">
        <v>60</v>
      </c>
      <c r="L40" s="61">
        <v>0.04</v>
      </c>
      <c r="M40" s="61">
        <v>5.8999999999999997E-2</v>
      </c>
      <c r="N40" s="61">
        <v>0.109</v>
      </c>
    </row>
    <row r="41" spans="1:14" s="58" customFormat="1" x14ac:dyDescent="0.2">
      <c r="A41" s="53">
        <f t="shared" si="0"/>
        <v>39</v>
      </c>
      <c r="B41" s="54" t="s">
        <v>106</v>
      </c>
      <c r="C41" s="55">
        <v>68.400000000000006</v>
      </c>
      <c r="D41" s="55">
        <v>16387</v>
      </c>
      <c r="E41" s="55">
        <v>960</v>
      </c>
      <c r="F41" s="55">
        <v>800</v>
      </c>
      <c r="G41" s="55">
        <v>12.1</v>
      </c>
      <c r="H41" s="55" t="s">
        <v>132</v>
      </c>
      <c r="I41" s="55">
        <v>10.8</v>
      </c>
      <c r="J41" s="56" t="s">
        <v>107</v>
      </c>
      <c r="K41" s="57" t="s">
        <v>60</v>
      </c>
      <c r="L41" s="61">
        <v>2.3E-2</v>
      </c>
      <c r="M41" s="61">
        <v>6.7000000000000004E-2</v>
      </c>
      <c r="N41" s="61">
        <v>0.121</v>
      </c>
    </row>
    <row r="42" spans="1:14" x14ac:dyDescent="0.2">
      <c r="A42" s="34">
        <f t="shared" si="0"/>
        <v>40</v>
      </c>
      <c r="B42" s="39" t="s">
        <v>108</v>
      </c>
      <c r="C42" s="40">
        <v>93.3</v>
      </c>
      <c r="D42" s="40">
        <v>23607</v>
      </c>
      <c r="E42" s="40">
        <v>1074</v>
      </c>
      <c r="F42" s="40"/>
      <c r="G42" s="40">
        <v>15.7</v>
      </c>
      <c r="H42" s="40">
        <v>157.5</v>
      </c>
      <c r="I42" s="40">
        <v>3.2</v>
      </c>
      <c r="J42" s="41" t="s">
        <v>109</v>
      </c>
      <c r="K42" s="38" t="s">
        <v>60</v>
      </c>
      <c r="L42" s="62"/>
      <c r="M42" s="62"/>
      <c r="N42" s="62"/>
    </row>
    <row r="43" spans="1:14" x14ac:dyDescent="0.2">
      <c r="A43" s="34">
        <f t="shared" si="0"/>
        <v>41</v>
      </c>
      <c r="B43" s="39" t="s">
        <v>110</v>
      </c>
      <c r="C43" s="40">
        <v>56.5</v>
      </c>
      <c r="D43" s="40">
        <v>14185</v>
      </c>
      <c r="E43" s="40">
        <v>684</v>
      </c>
      <c r="F43" s="218"/>
      <c r="G43" s="40">
        <v>9</v>
      </c>
      <c r="H43" s="40">
        <v>111.9</v>
      </c>
      <c r="I43" s="40">
        <v>3.3</v>
      </c>
      <c r="J43" s="41"/>
      <c r="K43" s="38" t="s">
        <v>60</v>
      </c>
      <c r="L43" s="62"/>
      <c r="M43" s="62"/>
      <c r="N43" s="62"/>
    </row>
    <row r="44" spans="1:14" x14ac:dyDescent="0.2">
      <c r="A44" s="34">
        <f t="shared" si="0"/>
        <v>42</v>
      </c>
      <c r="B44" s="39" t="s">
        <v>111</v>
      </c>
      <c r="C44" s="40">
        <v>82.9</v>
      </c>
      <c r="D44" s="40">
        <v>22733</v>
      </c>
      <c r="E44" s="40">
        <v>1143</v>
      </c>
      <c r="F44" s="218"/>
      <c r="G44" s="40">
        <v>14.9</v>
      </c>
      <c r="H44" s="40">
        <v>138.5</v>
      </c>
      <c r="I44" s="40">
        <v>5.4</v>
      </c>
      <c r="J44" s="41" t="s">
        <v>112</v>
      </c>
      <c r="K44" s="38" t="s">
        <v>60</v>
      </c>
      <c r="L44" s="62"/>
      <c r="M44" s="62"/>
      <c r="N44" s="62"/>
    </row>
    <row r="45" spans="1:14" x14ac:dyDescent="0.2">
      <c r="A45" s="34">
        <f t="shared" si="0"/>
        <v>43</v>
      </c>
      <c r="B45" s="39" t="s">
        <v>113</v>
      </c>
      <c r="C45" s="40">
        <v>71.400000000000006</v>
      </c>
      <c r="D45" s="40">
        <v>18971</v>
      </c>
      <c r="E45" s="40">
        <v>856</v>
      </c>
      <c r="F45" s="40"/>
      <c r="G45" s="40">
        <v>10.6</v>
      </c>
      <c r="H45" s="40">
        <v>89.1</v>
      </c>
      <c r="I45" s="40">
        <v>2.7</v>
      </c>
      <c r="J45" s="41"/>
      <c r="K45" s="38" t="s">
        <v>60</v>
      </c>
      <c r="L45" s="62"/>
      <c r="M45" s="62"/>
      <c r="N45" s="62"/>
    </row>
    <row r="46" spans="1:14" x14ac:dyDescent="0.2">
      <c r="A46" s="34">
        <f t="shared" si="0"/>
        <v>44</v>
      </c>
      <c r="B46" s="39" t="s">
        <v>114</v>
      </c>
      <c r="C46" s="40">
        <v>69.900000000000006</v>
      </c>
      <c r="D46" s="40">
        <v>14719</v>
      </c>
      <c r="E46" s="40">
        <v>756</v>
      </c>
      <c r="F46" s="40"/>
      <c r="G46" s="40">
        <v>10.6</v>
      </c>
      <c r="H46" s="40">
        <v>82.5</v>
      </c>
      <c r="I46" s="40">
        <v>3.9</v>
      </c>
      <c r="J46" s="41"/>
      <c r="K46" s="38" t="s">
        <v>60</v>
      </c>
      <c r="L46" s="62"/>
      <c r="M46" s="62"/>
      <c r="N46" s="62"/>
    </row>
    <row r="47" spans="1:14" x14ac:dyDescent="0.2">
      <c r="A47" s="34">
        <f t="shared" si="0"/>
        <v>45</v>
      </c>
      <c r="B47" s="39" t="s">
        <v>115</v>
      </c>
      <c r="C47" s="40">
        <v>55.5</v>
      </c>
      <c r="D47" s="40">
        <v>11970</v>
      </c>
      <c r="E47" s="40">
        <v>790</v>
      </c>
      <c r="F47" s="40"/>
      <c r="G47" s="40">
        <v>12.1</v>
      </c>
      <c r="H47" s="40">
        <v>105.8</v>
      </c>
      <c r="I47" s="40">
        <v>8.3000000000000007</v>
      </c>
      <c r="J47" s="41" t="s">
        <v>116</v>
      </c>
      <c r="K47" s="38" t="s">
        <v>60</v>
      </c>
      <c r="L47" s="62"/>
      <c r="M47" s="62"/>
      <c r="N47" s="62"/>
    </row>
    <row r="48" spans="1:14" x14ac:dyDescent="0.2">
      <c r="A48" s="34">
        <f t="shared" si="0"/>
        <v>46</v>
      </c>
      <c r="B48" s="42" t="s">
        <v>117</v>
      </c>
      <c r="C48" s="43">
        <v>40.9</v>
      </c>
      <c r="D48" s="43">
        <v>15225</v>
      </c>
      <c r="E48" s="43">
        <v>580</v>
      </c>
      <c r="F48" s="43"/>
      <c r="G48" s="43">
        <v>8.8000000000000007</v>
      </c>
      <c r="H48" s="43">
        <v>93.1</v>
      </c>
      <c r="I48" s="43">
        <v>1.6</v>
      </c>
      <c r="J48" s="44" t="s">
        <v>118</v>
      </c>
      <c r="K48" s="45" t="s">
        <v>119</v>
      </c>
      <c r="L48" s="62"/>
      <c r="M48" s="62"/>
      <c r="N48" s="62"/>
    </row>
    <row r="49" spans="1:14" x14ac:dyDescent="0.2">
      <c r="A49" s="34">
        <f t="shared" si="0"/>
        <v>47</v>
      </c>
      <c r="B49" s="42" t="s">
        <v>120</v>
      </c>
      <c r="C49" s="43">
        <v>32.6</v>
      </c>
      <c r="D49" s="43">
        <v>7110</v>
      </c>
      <c r="E49" s="43">
        <v>537</v>
      </c>
      <c r="F49" s="43"/>
      <c r="G49" s="43">
        <v>6.8</v>
      </c>
      <c r="H49" s="43">
        <v>52.7</v>
      </c>
      <c r="I49" s="43">
        <v>2.4</v>
      </c>
      <c r="J49" s="44" t="s">
        <v>120</v>
      </c>
      <c r="K49" s="45" t="s">
        <v>119</v>
      </c>
      <c r="L49" s="62"/>
      <c r="M49" s="62"/>
      <c r="N49" s="62"/>
    </row>
    <row r="50" spans="1:14" x14ac:dyDescent="0.2">
      <c r="A50" s="34">
        <f t="shared" si="0"/>
        <v>48</v>
      </c>
      <c r="B50" s="42" t="s">
        <v>121</v>
      </c>
      <c r="C50" s="43">
        <v>35.4</v>
      </c>
      <c r="D50" s="43">
        <v>8431</v>
      </c>
      <c r="E50" s="43">
        <v>579</v>
      </c>
      <c r="F50" s="43"/>
      <c r="G50" s="43">
        <v>7.8</v>
      </c>
      <c r="H50" s="43">
        <v>64.8</v>
      </c>
      <c r="I50" s="43">
        <v>3.2</v>
      </c>
      <c r="J50" s="44" t="s">
        <v>121</v>
      </c>
      <c r="K50" s="45" t="s">
        <v>119</v>
      </c>
      <c r="L50" s="62"/>
      <c r="M50" s="62"/>
      <c r="N50" s="62"/>
    </row>
    <row r="51" spans="1:14" x14ac:dyDescent="0.2">
      <c r="A51" s="34">
        <f t="shared" si="0"/>
        <v>49</v>
      </c>
      <c r="B51" s="42" t="s">
        <v>122</v>
      </c>
      <c r="C51" s="43">
        <v>40.4</v>
      </c>
      <c r="D51" s="43">
        <v>11889</v>
      </c>
      <c r="E51" s="43">
        <v>560</v>
      </c>
      <c r="F51" s="43"/>
      <c r="G51" s="43">
        <v>7.4</v>
      </c>
      <c r="H51" s="43">
        <v>66</v>
      </c>
      <c r="I51" s="43">
        <v>2.5</v>
      </c>
      <c r="J51" s="44" t="s">
        <v>122</v>
      </c>
      <c r="K51" s="45" t="s">
        <v>119</v>
      </c>
      <c r="L51" s="62"/>
      <c r="M51" s="62"/>
      <c r="N51" s="62"/>
    </row>
    <row r="52" spans="1:14" x14ac:dyDescent="0.2">
      <c r="A52" s="34">
        <f t="shared" si="0"/>
        <v>50</v>
      </c>
      <c r="B52" s="42" t="s">
        <v>123</v>
      </c>
      <c r="C52" s="43">
        <v>42.3</v>
      </c>
      <c r="D52" s="43">
        <v>9868</v>
      </c>
      <c r="E52" s="43">
        <v>535</v>
      </c>
      <c r="F52" s="43"/>
      <c r="G52" s="43">
        <v>7.8</v>
      </c>
      <c r="H52" s="43">
        <v>50.3</v>
      </c>
      <c r="I52" s="43">
        <v>2.6</v>
      </c>
      <c r="J52" s="44" t="s">
        <v>124</v>
      </c>
      <c r="K52" s="45" t="s">
        <v>119</v>
      </c>
      <c r="L52" s="62"/>
      <c r="M52" s="62"/>
      <c r="N52" s="62"/>
    </row>
    <row r="53" spans="1:14" x14ac:dyDescent="0.2">
      <c r="A53" s="34">
        <f t="shared" si="0"/>
        <v>51</v>
      </c>
      <c r="B53" s="42" t="s">
        <v>125</v>
      </c>
      <c r="C53" s="43">
        <v>43.6</v>
      </c>
      <c r="D53" s="43">
        <v>10904</v>
      </c>
      <c r="E53" s="43">
        <v>538</v>
      </c>
      <c r="F53" s="43"/>
      <c r="G53" s="43">
        <v>8</v>
      </c>
      <c r="H53" s="43">
        <v>60.9</v>
      </c>
      <c r="I53" s="43">
        <v>2.5</v>
      </c>
      <c r="J53" s="44" t="s">
        <v>125</v>
      </c>
      <c r="K53" s="45" t="s">
        <v>119</v>
      </c>
      <c r="L53" s="62"/>
      <c r="M53" s="62"/>
      <c r="N53" s="62"/>
    </row>
    <row r="54" spans="1:14" x14ac:dyDescent="0.2">
      <c r="A54" s="34">
        <f t="shared" si="0"/>
        <v>52</v>
      </c>
      <c r="B54" s="42" t="s">
        <v>126</v>
      </c>
      <c r="C54" s="43">
        <v>44.4</v>
      </c>
      <c r="D54" s="43">
        <v>13304</v>
      </c>
      <c r="E54" s="43">
        <v>645</v>
      </c>
      <c r="F54" s="43"/>
      <c r="G54" s="43">
        <v>7.7</v>
      </c>
      <c r="H54" s="43">
        <v>82.8</v>
      </c>
      <c r="I54" s="43">
        <v>2.8</v>
      </c>
      <c r="J54" s="44" t="s">
        <v>126</v>
      </c>
      <c r="K54" s="45" t="s">
        <v>119</v>
      </c>
      <c r="L54" s="62"/>
      <c r="M54" s="62"/>
      <c r="N54" s="62"/>
    </row>
    <row r="55" spans="1:14" x14ac:dyDescent="0.2">
      <c r="A55" s="34">
        <f t="shared" si="0"/>
        <v>53</v>
      </c>
      <c r="B55" s="39" t="s">
        <v>127</v>
      </c>
      <c r="C55" s="40">
        <v>55.211399999999998</v>
      </c>
      <c r="D55" s="40">
        <v>14111.76935</v>
      </c>
      <c r="E55" s="40">
        <v>930</v>
      </c>
      <c r="F55" s="40"/>
      <c r="G55" s="40">
        <v>12.94</v>
      </c>
      <c r="H55" s="40">
        <v>86.5</v>
      </c>
      <c r="I55" s="40">
        <v>10.1</v>
      </c>
      <c r="J55" s="41" t="s">
        <v>128</v>
      </c>
      <c r="K55" s="46" t="s">
        <v>60</v>
      </c>
      <c r="L55" s="62"/>
      <c r="M55" s="62"/>
      <c r="N55" s="62"/>
    </row>
    <row r="56" spans="1:14" x14ac:dyDescent="0.2">
      <c r="A56" s="34">
        <f t="shared" si="0"/>
        <v>54</v>
      </c>
      <c r="B56" s="39" t="s">
        <v>129</v>
      </c>
      <c r="C56" s="40">
        <v>37.799999999999997</v>
      </c>
      <c r="D56" s="40">
        <v>9067</v>
      </c>
      <c r="E56" s="40">
        <v>544</v>
      </c>
      <c r="F56" s="40"/>
      <c r="G56" s="40">
        <v>5.8</v>
      </c>
      <c r="H56" s="40">
        <v>58.1</v>
      </c>
      <c r="I56" s="40">
        <v>2.6</v>
      </c>
      <c r="J56" s="41"/>
      <c r="K56" s="46" t="s">
        <v>60</v>
      </c>
      <c r="L56" s="62"/>
      <c r="M56" s="62"/>
      <c r="N56" s="62"/>
    </row>
    <row r="57" spans="1:14" x14ac:dyDescent="0.2">
      <c r="A57" s="34">
        <f t="shared" si="0"/>
        <v>55</v>
      </c>
      <c r="B57" s="39" t="s">
        <v>130</v>
      </c>
      <c r="C57" s="40">
        <v>95.2</v>
      </c>
      <c r="D57" s="40">
        <v>21724</v>
      </c>
      <c r="E57" s="40">
        <v>1106</v>
      </c>
      <c r="F57" s="40"/>
      <c r="G57" s="40">
        <v>11.8</v>
      </c>
      <c r="H57" s="40">
        <v>123.4</v>
      </c>
      <c r="I57" s="40">
        <v>3.4</v>
      </c>
      <c r="J57" s="41"/>
      <c r="K57" s="46" t="s">
        <v>60</v>
      </c>
      <c r="L57" s="62"/>
      <c r="M57" s="62"/>
      <c r="N57" s="62"/>
    </row>
    <row r="58" spans="1:14" x14ac:dyDescent="0.2">
      <c r="A58" s="34">
        <f t="shared" si="0"/>
        <v>56</v>
      </c>
      <c r="B58" s="39" t="s">
        <v>131</v>
      </c>
      <c r="C58" s="40">
        <v>79.5</v>
      </c>
      <c r="D58" s="40">
        <v>19583</v>
      </c>
      <c r="E58" s="40">
        <v>940</v>
      </c>
      <c r="F58" s="40"/>
      <c r="G58" s="40">
        <v>12.2</v>
      </c>
      <c r="H58" s="40">
        <v>78.8</v>
      </c>
      <c r="I58" s="40">
        <v>3.9</v>
      </c>
      <c r="J58" s="41"/>
      <c r="K58" s="46" t="s">
        <v>60</v>
      </c>
      <c r="L58" s="62"/>
      <c r="M58" s="62"/>
      <c r="N58" s="62"/>
    </row>
    <row r="59" spans="1:14" s="58" customFormat="1" x14ac:dyDescent="0.2">
      <c r="A59" s="53">
        <f>A58+1</f>
        <v>57</v>
      </c>
      <c r="B59" s="54" t="s">
        <v>133</v>
      </c>
      <c r="C59" s="55">
        <v>20</v>
      </c>
      <c r="D59" s="55">
        <v>9500</v>
      </c>
      <c r="E59" s="55">
        <v>500</v>
      </c>
      <c r="F59" s="55">
        <v>650</v>
      </c>
      <c r="G59" s="55">
        <v>4</v>
      </c>
      <c r="H59" s="55">
        <f>C59</f>
        <v>20</v>
      </c>
      <c r="I59" s="55">
        <f>0.05*H59</f>
        <v>1</v>
      </c>
      <c r="J59" s="172" t="s">
        <v>385</v>
      </c>
      <c r="K59" s="173" t="s">
        <v>60</v>
      </c>
      <c r="L59" s="61"/>
      <c r="M59" s="61"/>
      <c r="N59" s="61"/>
    </row>
    <row r="60" spans="1:14" s="58" customFormat="1" x14ac:dyDescent="0.2">
      <c r="A60" s="53">
        <f t="shared" si="0"/>
        <v>58</v>
      </c>
      <c r="B60" s="54" t="s">
        <v>134</v>
      </c>
      <c r="C60" s="55">
        <v>30</v>
      </c>
      <c r="D60" s="55">
        <v>14500</v>
      </c>
      <c r="E60" s="55">
        <v>650</v>
      </c>
      <c r="F60" s="55">
        <v>800</v>
      </c>
      <c r="G60" s="55">
        <v>5</v>
      </c>
      <c r="H60" s="55">
        <f t="shared" ref="H60:H65" si="1">C60</f>
        <v>30</v>
      </c>
      <c r="I60" s="55">
        <f t="shared" ref="I60:I65" si="2">0.05*H60</f>
        <v>1.5</v>
      </c>
      <c r="J60" s="172" t="s">
        <v>386</v>
      </c>
      <c r="K60" s="173" t="s">
        <v>60</v>
      </c>
      <c r="L60" s="61"/>
      <c r="M60" s="61"/>
      <c r="N60" s="61"/>
    </row>
    <row r="61" spans="1:14" s="58" customFormat="1" x14ac:dyDescent="0.2">
      <c r="A61" s="53">
        <f t="shared" si="0"/>
        <v>59</v>
      </c>
      <c r="B61" s="54" t="s">
        <v>135</v>
      </c>
      <c r="C61" s="55">
        <v>40</v>
      </c>
      <c r="D61" s="55">
        <v>19500</v>
      </c>
      <c r="E61" s="55">
        <v>750</v>
      </c>
      <c r="F61" s="55">
        <v>950</v>
      </c>
      <c r="G61" s="55">
        <v>6</v>
      </c>
      <c r="H61" s="55">
        <f t="shared" si="1"/>
        <v>40</v>
      </c>
      <c r="I61" s="55">
        <f t="shared" si="2"/>
        <v>2</v>
      </c>
      <c r="J61" s="172" t="s">
        <v>387</v>
      </c>
      <c r="K61" s="173" t="s">
        <v>60</v>
      </c>
      <c r="L61" s="61"/>
      <c r="M61" s="61"/>
      <c r="N61" s="61"/>
    </row>
    <row r="62" spans="1:14" s="58" customFormat="1" x14ac:dyDescent="0.2">
      <c r="A62" s="53">
        <f t="shared" si="0"/>
        <v>60</v>
      </c>
      <c r="B62" s="54" t="s">
        <v>136</v>
      </c>
      <c r="C62" s="55">
        <v>60</v>
      </c>
      <c r="D62" s="55">
        <v>24500</v>
      </c>
      <c r="E62" s="55">
        <v>800</v>
      </c>
      <c r="F62" s="55">
        <v>1000</v>
      </c>
      <c r="G62" s="55">
        <v>8</v>
      </c>
      <c r="H62" s="55">
        <f t="shared" si="1"/>
        <v>60</v>
      </c>
      <c r="I62" s="55">
        <f t="shared" si="2"/>
        <v>3</v>
      </c>
      <c r="J62" s="172" t="s">
        <v>388</v>
      </c>
      <c r="K62" s="173" t="s">
        <v>60</v>
      </c>
      <c r="L62" s="61"/>
      <c r="M62" s="61"/>
      <c r="N62" s="61"/>
    </row>
    <row r="63" spans="1:14" s="58" customFormat="1" x14ac:dyDescent="0.2">
      <c r="A63" s="53">
        <f t="shared" si="0"/>
        <v>61</v>
      </c>
      <c r="B63" s="54" t="s">
        <v>137</v>
      </c>
      <c r="C63" s="55">
        <v>20</v>
      </c>
      <c r="D63" s="55">
        <v>3500</v>
      </c>
      <c r="E63" s="55">
        <v>400</v>
      </c>
      <c r="F63" s="55">
        <v>500</v>
      </c>
      <c r="G63" s="55">
        <v>4</v>
      </c>
      <c r="H63" s="55">
        <f t="shared" si="1"/>
        <v>20</v>
      </c>
      <c r="I63" s="55">
        <f t="shared" si="2"/>
        <v>1</v>
      </c>
      <c r="J63" s="172" t="s">
        <v>385</v>
      </c>
      <c r="K63" s="173" t="s">
        <v>119</v>
      </c>
      <c r="L63" s="61"/>
      <c r="M63" s="61"/>
      <c r="N63" s="61"/>
    </row>
    <row r="64" spans="1:14" s="58" customFormat="1" x14ac:dyDescent="0.2">
      <c r="A64" s="53">
        <f t="shared" si="0"/>
        <v>62</v>
      </c>
      <c r="B64" s="54" t="s">
        <v>138</v>
      </c>
      <c r="C64" s="55">
        <v>25</v>
      </c>
      <c r="D64" s="55">
        <v>8500</v>
      </c>
      <c r="E64" s="55">
        <v>450</v>
      </c>
      <c r="F64" s="55">
        <v>550</v>
      </c>
      <c r="G64" s="55">
        <v>5</v>
      </c>
      <c r="H64" s="55">
        <f t="shared" si="1"/>
        <v>25</v>
      </c>
      <c r="I64" s="55">
        <f t="shared" si="2"/>
        <v>1.25</v>
      </c>
      <c r="J64" s="172" t="s">
        <v>389</v>
      </c>
      <c r="K64" s="173" t="s">
        <v>119</v>
      </c>
      <c r="L64" s="61"/>
      <c r="M64" s="61"/>
      <c r="N64" s="61"/>
    </row>
    <row r="65" spans="1:14" s="58" customFormat="1" x14ac:dyDescent="0.2">
      <c r="A65" s="53">
        <f t="shared" si="0"/>
        <v>63</v>
      </c>
      <c r="B65" s="54" t="s">
        <v>139</v>
      </c>
      <c r="C65" s="55">
        <v>30</v>
      </c>
      <c r="D65" s="55">
        <v>14500</v>
      </c>
      <c r="E65" s="55">
        <v>500</v>
      </c>
      <c r="F65" s="55">
        <v>600</v>
      </c>
      <c r="G65" s="55">
        <v>6</v>
      </c>
      <c r="H65" s="55">
        <f t="shared" si="1"/>
        <v>30</v>
      </c>
      <c r="I65" s="55">
        <f t="shared" si="2"/>
        <v>1.5</v>
      </c>
      <c r="J65" s="172" t="s">
        <v>386</v>
      </c>
      <c r="K65" s="173" t="s">
        <v>119</v>
      </c>
      <c r="L65" s="61"/>
      <c r="M65" s="61"/>
      <c r="N65" s="61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L99"/>
  <sheetViews>
    <sheetView topLeftCell="A13" workbookViewId="0">
      <selection activeCell="G39" sqref="G39"/>
    </sheetView>
  </sheetViews>
  <sheetFormatPr defaultRowHeight="14.25" x14ac:dyDescent="0.2"/>
  <cols>
    <col min="1" max="1" width="1.875" customWidth="1"/>
    <col min="2" max="2" width="16.5" customWidth="1"/>
    <col min="3" max="3" width="10.25" customWidth="1"/>
    <col min="4" max="4" width="9.625" customWidth="1"/>
    <col min="5" max="5" width="18.875" customWidth="1"/>
    <col min="9" max="9" width="19.375" bestFit="1" customWidth="1"/>
  </cols>
  <sheetData>
    <row r="1" spans="1:12" ht="15" thickBot="1" x14ac:dyDescent="0.25">
      <c r="A1" s="262" t="s">
        <v>8</v>
      </c>
      <c r="B1" s="263"/>
      <c r="C1" s="264"/>
      <c r="E1" s="248" t="s">
        <v>234</v>
      </c>
      <c r="F1" s="248"/>
      <c r="I1" s="259" t="s">
        <v>237</v>
      </c>
      <c r="J1" s="260"/>
      <c r="K1" s="261"/>
    </row>
    <row r="2" spans="1:12" ht="15" thickBot="1" x14ac:dyDescent="0.25">
      <c r="A2" s="3">
        <v>1</v>
      </c>
      <c r="B2" s="2" t="s">
        <v>2</v>
      </c>
      <c r="C2" s="4">
        <v>0.6</v>
      </c>
      <c r="E2" s="2">
        <v>1</v>
      </c>
      <c r="F2" s="2">
        <v>100</v>
      </c>
      <c r="I2" s="103" t="s">
        <v>235</v>
      </c>
      <c r="J2" s="104" t="s">
        <v>238</v>
      </c>
      <c r="K2" s="105" t="s">
        <v>236</v>
      </c>
    </row>
    <row r="3" spans="1:12" ht="15" x14ac:dyDescent="0.25">
      <c r="A3" s="3">
        <v>2</v>
      </c>
      <c r="B3" s="2" t="s">
        <v>3</v>
      </c>
      <c r="C3" s="4">
        <v>0.7</v>
      </c>
      <c r="E3" s="2">
        <v>2</v>
      </c>
      <c r="F3" s="2">
        <v>150</v>
      </c>
      <c r="H3" s="106">
        <v>1</v>
      </c>
      <c r="I3" s="107">
        <v>0.6</v>
      </c>
      <c r="J3" s="107">
        <v>0.5</v>
      </c>
      <c r="K3" s="108">
        <v>0.3</v>
      </c>
      <c r="L3" t="s">
        <v>245</v>
      </c>
    </row>
    <row r="4" spans="1:12" ht="15.75" thickBot="1" x14ac:dyDescent="0.3">
      <c r="A4" s="3">
        <v>3</v>
      </c>
      <c r="B4" s="2" t="s">
        <v>4</v>
      </c>
      <c r="C4" s="4">
        <v>0.8</v>
      </c>
      <c r="E4" s="2">
        <v>3</v>
      </c>
      <c r="F4" s="2">
        <v>175</v>
      </c>
      <c r="H4" s="109">
        <v>2</v>
      </c>
      <c r="I4" s="110">
        <v>0.5</v>
      </c>
      <c r="J4" s="110">
        <v>0.2</v>
      </c>
      <c r="K4" s="111">
        <v>0</v>
      </c>
      <c r="L4" t="s">
        <v>239</v>
      </c>
    </row>
    <row r="5" spans="1:12" ht="15" x14ac:dyDescent="0.25">
      <c r="A5" s="3">
        <v>4</v>
      </c>
      <c r="B5" s="2" t="s">
        <v>5</v>
      </c>
      <c r="C5" s="4">
        <v>0.9</v>
      </c>
      <c r="E5" s="2">
        <v>4</v>
      </c>
      <c r="F5" s="2">
        <v>200</v>
      </c>
      <c r="H5" s="106">
        <v>3</v>
      </c>
      <c r="I5" s="107">
        <v>0.4</v>
      </c>
      <c r="J5" s="107">
        <v>0.3</v>
      </c>
      <c r="K5" s="108">
        <v>0.2</v>
      </c>
      <c r="L5" t="s">
        <v>246</v>
      </c>
    </row>
    <row r="6" spans="1:12" ht="15" x14ac:dyDescent="0.25">
      <c r="A6" s="3">
        <v>5</v>
      </c>
      <c r="B6" s="2" t="s">
        <v>6</v>
      </c>
      <c r="C6" s="4">
        <v>1.1000000000000001</v>
      </c>
      <c r="E6" s="2">
        <v>5</v>
      </c>
      <c r="F6" s="2">
        <v>250</v>
      </c>
      <c r="H6" s="112">
        <v>4</v>
      </c>
      <c r="I6" s="113">
        <v>0.7</v>
      </c>
      <c r="J6" s="113">
        <v>0.6</v>
      </c>
      <c r="K6" s="114">
        <v>0.4</v>
      </c>
      <c r="L6" t="s">
        <v>240</v>
      </c>
    </row>
    <row r="7" spans="1:12" ht="15.75" thickBot="1" x14ac:dyDescent="0.3">
      <c r="A7" s="5">
        <v>6</v>
      </c>
      <c r="B7" s="6" t="s">
        <v>7</v>
      </c>
      <c r="C7" s="7">
        <v>1</v>
      </c>
      <c r="E7" s="2">
        <v>6</v>
      </c>
      <c r="F7" s="2">
        <v>300</v>
      </c>
      <c r="H7" s="109">
        <v>5</v>
      </c>
      <c r="I7" s="110">
        <v>0.8</v>
      </c>
      <c r="J7" s="110">
        <v>0.7</v>
      </c>
      <c r="K7" s="111">
        <v>0.6</v>
      </c>
      <c r="L7" t="s">
        <v>241</v>
      </c>
    </row>
    <row r="8" spans="1:12" ht="15.75" thickBot="1" x14ac:dyDescent="0.3">
      <c r="E8" s="2">
        <v>7</v>
      </c>
      <c r="F8" s="2">
        <v>350</v>
      </c>
      <c r="H8" s="106">
        <v>6</v>
      </c>
      <c r="I8" s="107">
        <v>0.4</v>
      </c>
      <c r="J8" s="107">
        <v>0.3</v>
      </c>
      <c r="K8" s="108">
        <v>0.2</v>
      </c>
      <c r="L8" t="s">
        <v>242</v>
      </c>
    </row>
    <row r="9" spans="1:12" ht="15" x14ac:dyDescent="0.25">
      <c r="A9" s="265" t="s">
        <v>10</v>
      </c>
      <c r="B9" s="266"/>
      <c r="C9" s="267"/>
      <c r="E9" s="2">
        <v>8</v>
      </c>
      <c r="F9" s="2">
        <v>400</v>
      </c>
      <c r="H9" s="112">
        <v>7</v>
      </c>
      <c r="I9" s="113">
        <v>0.6</v>
      </c>
      <c r="J9" s="113">
        <v>0.4</v>
      </c>
      <c r="K9" s="114">
        <v>0.2</v>
      </c>
      <c r="L9" t="s">
        <v>243</v>
      </c>
    </row>
    <row r="10" spans="1:12" ht="15.75" thickBot="1" x14ac:dyDescent="0.3">
      <c r="A10" s="3">
        <v>1</v>
      </c>
      <c r="B10" s="2" t="s">
        <v>13</v>
      </c>
      <c r="C10" s="8">
        <v>1</v>
      </c>
      <c r="E10" s="2">
        <v>9</v>
      </c>
      <c r="F10" s="2">
        <v>450</v>
      </c>
      <c r="H10" s="109">
        <v>8</v>
      </c>
      <c r="I10" s="110">
        <v>0.8</v>
      </c>
      <c r="J10" s="110">
        <v>0.6</v>
      </c>
      <c r="K10" s="111">
        <v>0.4</v>
      </c>
      <c r="L10" t="s">
        <v>244</v>
      </c>
    </row>
    <row r="11" spans="1:12" ht="15" thickBot="1" x14ac:dyDescent="0.25">
      <c r="A11" s="3">
        <v>2</v>
      </c>
      <c r="B11" s="2" t="s">
        <v>14</v>
      </c>
      <c r="C11" s="8">
        <v>1</v>
      </c>
      <c r="E11" s="2">
        <v>10</v>
      </c>
      <c r="F11" s="2">
        <v>500</v>
      </c>
    </row>
    <row r="12" spans="1:12" ht="15.75" thickBot="1" x14ac:dyDescent="0.3">
      <c r="A12" s="3">
        <v>3</v>
      </c>
      <c r="B12" s="2" t="s">
        <v>15</v>
      </c>
      <c r="C12" s="8">
        <v>0.8</v>
      </c>
      <c r="H12" s="162" t="s">
        <v>400</v>
      </c>
      <c r="I12" s="195" t="s">
        <v>398</v>
      </c>
      <c r="J12" s="196" t="s">
        <v>399</v>
      </c>
    </row>
    <row r="13" spans="1:12" x14ac:dyDescent="0.2">
      <c r="A13" s="3">
        <v>4</v>
      </c>
      <c r="B13" s="2" t="s">
        <v>12</v>
      </c>
      <c r="C13" s="8">
        <v>0.8</v>
      </c>
      <c r="H13" s="189">
        <v>1</v>
      </c>
      <c r="I13" s="190">
        <f>1/16</f>
        <v>6.25E-2</v>
      </c>
      <c r="J13" s="191">
        <f>I13*2.54</f>
        <v>0.15875</v>
      </c>
    </row>
    <row r="14" spans="1:12" ht="15" thickBot="1" x14ac:dyDescent="0.25">
      <c r="A14" s="5">
        <v>5</v>
      </c>
      <c r="B14" s="6" t="s">
        <v>11</v>
      </c>
      <c r="C14" s="9">
        <v>0.65</v>
      </c>
      <c r="H14" s="3">
        <v>2</v>
      </c>
      <c r="I14" s="186">
        <f>1/8</f>
        <v>0.125</v>
      </c>
      <c r="J14" s="192">
        <f t="shared" ref="J14:J20" si="0">I14*2.54</f>
        <v>0.3175</v>
      </c>
    </row>
    <row r="15" spans="1:12" ht="15" thickBot="1" x14ac:dyDescent="0.25">
      <c r="H15" s="3">
        <v>3</v>
      </c>
      <c r="I15" s="186">
        <f>3/16</f>
        <v>0.1875</v>
      </c>
      <c r="J15" s="192">
        <f t="shared" si="0"/>
        <v>0.47625000000000001</v>
      </c>
    </row>
    <row r="16" spans="1:12" x14ac:dyDescent="0.2">
      <c r="A16" s="265" t="s">
        <v>16</v>
      </c>
      <c r="B16" s="266"/>
      <c r="C16" s="267"/>
      <c r="H16" s="3">
        <v>4</v>
      </c>
      <c r="I16" s="186">
        <f>1/4</f>
        <v>0.25</v>
      </c>
      <c r="J16" s="192">
        <f t="shared" si="0"/>
        <v>0.63500000000000001</v>
      </c>
    </row>
    <row r="17" spans="1:10" x14ac:dyDescent="0.2">
      <c r="A17" s="3">
        <v>1</v>
      </c>
      <c r="B17" s="2" t="s">
        <v>17</v>
      </c>
      <c r="C17" s="8">
        <v>1</v>
      </c>
      <c r="H17" s="3">
        <v>5</v>
      </c>
      <c r="I17" s="186">
        <f>5/16</f>
        <v>0.3125</v>
      </c>
      <c r="J17" s="192">
        <f t="shared" si="0"/>
        <v>0.79374999999999996</v>
      </c>
    </row>
    <row r="18" spans="1:10" x14ac:dyDescent="0.2">
      <c r="A18" s="3">
        <v>2</v>
      </c>
      <c r="B18" s="2" t="s">
        <v>18</v>
      </c>
      <c r="C18" s="8">
        <v>0.8</v>
      </c>
      <c r="H18" s="3">
        <v>6</v>
      </c>
      <c r="I18" s="186">
        <f>3/8</f>
        <v>0.375</v>
      </c>
      <c r="J18" s="192">
        <f t="shared" si="0"/>
        <v>0.95250000000000001</v>
      </c>
    </row>
    <row r="19" spans="1:10" x14ac:dyDescent="0.2">
      <c r="A19" s="3">
        <v>3</v>
      </c>
      <c r="B19" s="2" t="s">
        <v>19</v>
      </c>
      <c r="C19" s="8">
        <v>0.8</v>
      </c>
      <c r="H19" s="3">
        <v>7</v>
      </c>
      <c r="I19" s="186">
        <f>7/16</f>
        <v>0.4375</v>
      </c>
      <c r="J19" s="192">
        <f t="shared" si="0"/>
        <v>1.1112500000000001</v>
      </c>
    </row>
    <row r="20" spans="1:10" x14ac:dyDescent="0.2">
      <c r="A20" s="3">
        <v>4</v>
      </c>
      <c r="B20" s="2" t="s">
        <v>20</v>
      </c>
      <c r="C20" s="8">
        <v>0.8</v>
      </c>
      <c r="H20" s="3">
        <v>8</v>
      </c>
      <c r="I20" s="186">
        <f>1/2</f>
        <v>0.5</v>
      </c>
      <c r="J20" s="192">
        <f t="shared" si="0"/>
        <v>1.27</v>
      </c>
    </row>
    <row r="21" spans="1:10" x14ac:dyDescent="0.2">
      <c r="A21" s="3">
        <v>5</v>
      </c>
      <c r="B21" s="2" t="s">
        <v>21</v>
      </c>
      <c r="C21" s="8">
        <v>1</v>
      </c>
      <c r="H21" s="3">
        <v>9</v>
      </c>
      <c r="I21" s="186">
        <v>0.625</v>
      </c>
      <c r="J21" s="192">
        <f t="shared" ref="J21:J24" si="1">I21*2.54</f>
        <v>1.5874999999999999</v>
      </c>
    </row>
    <row r="22" spans="1:10" ht="15" thickBot="1" x14ac:dyDescent="0.25">
      <c r="A22" s="5">
        <v>6</v>
      </c>
      <c r="B22" s="6" t="s">
        <v>22</v>
      </c>
      <c r="C22" s="9" t="e">
        <f>1-2000*(D26/D25)^2</f>
        <v>#DIV/0!</v>
      </c>
      <c r="H22" s="3">
        <v>10</v>
      </c>
      <c r="I22" s="186">
        <v>0.75</v>
      </c>
      <c r="J22" s="192">
        <f t="shared" si="1"/>
        <v>1.905</v>
      </c>
    </row>
    <row r="23" spans="1:10" ht="15" thickBot="1" x14ac:dyDescent="0.25">
      <c r="H23" s="3">
        <v>11</v>
      </c>
      <c r="I23" s="186">
        <v>0.875</v>
      </c>
      <c r="J23" s="192">
        <f t="shared" si="1"/>
        <v>2.2225000000000001</v>
      </c>
    </row>
    <row r="24" spans="1:10" ht="15" thickBot="1" x14ac:dyDescent="0.25">
      <c r="A24" s="10" t="s">
        <v>27</v>
      </c>
      <c r="B24" s="11"/>
      <c r="C24" s="11"/>
      <c r="D24" s="11"/>
      <c r="H24" s="5">
        <v>12</v>
      </c>
      <c r="I24" s="193">
        <v>1</v>
      </c>
      <c r="J24" s="194">
        <f t="shared" si="1"/>
        <v>2.54</v>
      </c>
    </row>
    <row r="25" spans="1:10" x14ac:dyDescent="0.2">
      <c r="A25" s="12" t="s">
        <v>28</v>
      </c>
      <c r="B25" s="1"/>
      <c r="C25" s="1"/>
      <c r="D25" s="187">
        <f>'01-VG BIAPOIADAS'!D12</f>
        <v>0</v>
      </c>
    </row>
    <row r="26" spans="1:10" ht="15" thickBot="1" x14ac:dyDescent="0.25">
      <c r="A26" s="13" t="s">
        <v>29</v>
      </c>
      <c r="B26" s="14"/>
      <c r="C26" s="14"/>
      <c r="D26" s="188">
        <f>'01-VG BIAPOIADAS'!D13</f>
        <v>0</v>
      </c>
    </row>
    <row r="27" spans="1:10" ht="15" thickBot="1" x14ac:dyDescent="0.25"/>
    <row r="28" spans="1:10" ht="15" thickBot="1" x14ac:dyDescent="0.25">
      <c r="B28" s="259" t="s">
        <v>393</v>
      </c>
      <c r="C28" s="260"/>
      <c r="D28" s="260"/>
      <c r="E28" s="261"/>
    </row>
    <row r="29" spans="1:10" x14ac:dyDescent="0.2">
      <c r="B29" s="176"/>
      <c r="C29" s="161" t="s">
        <v>257</v>
      </c>
      <c r="D29" s="161"/>
      <c r="E29" s="177"/>
    </row>
    <row r="30" spans="1:10" ht="15" x14ac:dyDescent="0.25">
      <c r="B30" s="176"/>
      <c r="C30" s="129" t="s">
        <v>258</v>
      </c>
      <c r="D30" s="28">
        <f>240*'01-VG BIAPOIADAS'!D218*10</f>
        <v>31.588085813314656</v>
      </c>
      <c r="E30" s="178" t="s">
        <v>259</v>
      </c>
      <c r="H30" s="269" t="s">
        <v>402</v>
      </c>
      <c r="I30" s="269"/>
    </row>
    <row r="31" spans="1:10" x14ac:dyDescent="0.2">
      <c r="B31" s="176"/>
      <c r="C31" s="129" t="s">
        <v>260</v>
      </c>
      <c r="D31" s="28">
        <f>384*'01-VG BIAPOIADAS'!D215*1000</f>
        <v>0</v>
      </c>
      <c r="E31" s="178" t="s">
        <v>261</v>
      </c>
      <c r="H31" s="2">
        <v>1</v>
      </c>
      <c r="I31" s="197">
        <v>0.65</v>
      </c>
    </row>
    <row r="32" spans="1:10" x14ac:dyDescent="0.2">
      <c r="B32" s="176"/>
      <c r="C32" s="129" t="s">
        <v>262</v>
      </c>
      <c r="D32" s="28">
        <v>0</v>
      </c>
      <c r="E32" s="179">
        <v>0</v>
      </c>
      <c r="H32" s="2">
        <v>2</v>
      </c>
      <c r="I32" s="197">
        <v>0.8</v>
      </c>
    </row>
    <row r="33" spans="2:9" x14ac:dyDescent="0.2">
      <c r="B33" s="176"/>
      <c r="C33" s="129" t="s">
        <v>263</v>
      </c>
      <c r="D33" s="28">
        <f>(-18432*'01-VG BIAPOIADAS'!G59*'01-VG BIAPOIADAS'!D170)/'01-VG BIAPOIADAS'!E238</f>
        <v>-17847037999.825687</v>
      </c>
      <c r="E33" s="178" t="s">
        <v>264</v>
      </c>
      <c r="H33" s="2">
        <v>3</v>
      </c>
      <c r="I33" s="197">
        <v>1</v>
      </c>
    </row>
    <row r="34" spans="2:9" x14ac:dyDescent="0.2">
      <c r="B34" s="176"/>
      <c r="C34" s="129"/>
      <c r="D34" s="129"/>
      <c r="E34" s="178"/>
      <c r="H34" s="2">
        <v>4</v>
      </c>
      <c r="I34" s="197">
        <v>1.2</v>
      </c>
    </row>
    <row r="35" spans="2:9" x14ac:dyDescent="0.2">
      <c r="B35" s="176"/>
      <c r="C35" s="130" t="s">
        <v>265</v>
      </c>
      <c r="D35" s="129">
        <f>D31/D30</f>
        <v>0</v>
      </c>
      <c r="E35" s="180" t="s">
        <v>266</v>
      </c>
      <c r="H35" s="2">
        <v>5</v>
      </c>
      <c r="I35" s="197">
        <v>2.1</v>
      </c>
    </row>
    <row r="36" spans="2:9" x14ac:dyDescent="0.2">
      <c r="B36" s="176"/>
      <c r="C36" s="130" t="s">
        <v>267</v>
      </c>
      <c r="D36" s="129">
        <f>D32/D30</f>
        <v>0</v>
      </c>
      <c r="E36" s="178" t="s">
        <v>268</v>
      </c>
      <c r="H36" s="2">
        <v>6</v>
      </c>
      <c r="I36" s="197">
        <v>2.4</v>
      </c>
    </row>
    <row r="37" spans="2:9" x14ac:dyDescent="0.2">
      <c r="B37" s="176"/>
      <c r="C37" s="130" t="s">
        <v>269</v>
      </c>
      <c r="D37" s="129">
        <f>D33/D30</f>
        <v>-564992703.4294368</v>
      </c>
      <c r="E37" s="178" t="s">
        <v>270</v>
      </c>
    </row>
    <row r="38" spans="2:9" x14ac:dyDescent="0.2">
      <c r="B38" s="176"/>
      <c r="C38" s="130"/>
      <c r="D38" s="129"/>
      <c r="E38" s="178"/>
    </row>
    <row r="39" spans="2:9" x14ac:dyDescent="0.2">
      <c r="B39" s="176"/>
      <c r="C39" s="130" t="s">
        <v>271</v>
      </c>
      <c r="D39" s="129">
        <f>D36-(D35^2/3)</f>
        <v>0</v>
      </c>
      <c r="E39" s="178" t="s">
        <v>272</v>
      </c>
    </row>
    <row r="40" spans="2:9" x14ac:dyDescent="0.2">
      <c r="B40" s="176"/>
      <c r="C40" s="130" t="s">
        <v>273</v>
      </c>
      <c r="D40" s="129">
        <f>D37-((D35*D36)/3)+(2*D35^3/27)</f>
        <v>-564992703.4294368</v>
      </c>
      <c r="E40" s="178" t="s">
        <v>274</v>
      </c>
      <c r="H40" s="268" t="s">
        <v>403</v>
      </c>
      <c r="I40" s="268"/>
    </row>
    <row r="41" spans="2:9" x14ac:dyDescent="0.2">
      <c r="B41" s="176"/>
      <c r="C41" s="130"/>
      <c r="D41" s="129"/>
      <c r="E41" s="178"/>
      <c r="H41" s="2">
        <v>1</v>
      </c>
      <c r="I41" s="2" t="s">
        <v>404</v>
      </c>
    </row>
    <row r="42" spans="2:9" x14ac:dyDescent="0.2">
      <c r="B42" s="176"/>
      <c r="C42" s="130" t="s">
        <v>275</v>
      </c>
      <c r="D42" s="129">
        <f>(-1*D39)^3/27</f>
        <v>0</v>
      </c>
      <c r="E42" s="178" t="s">
        <v>276</v>
      </c>
      <c r="H42" s="2">
        <v>2</v>
      </c>
      <c r="I42" s="2" t="s">
        <v>405</v>
      </c>
    </row>
    <row r="43" spans="2:9" x14ac:dyDescent="0.2">
      <c r="B43" s="176"/>
      <c r="C43" s="130" t="s">
        <v>277</v>
      </c>
      <c r="D43" s="129">
        <f>(-1)*D40</f>
        <v>564992703.4294368</v>
      </c>
      <c r="E43" s="178" t="s">
        <v>278</v>
      </c>
      <c r="H43" s="2">
        <v>3</v>
      </c>
      <c r="I43" s="2" t="s">
        <v>406</v>
      </c>
    </row>
    <row r="44" spans="2:9" x14ac:dyDescent="0.2">
      <c r="B44" s="176"/>
      <c r="C44" s="130"/>
      <c r="D44" s="129"/>
      <c r="E44" s="178"/>
      <c r="H44" s="2">
        <v>4</v>
      </c>
      <c r="I44" s="2" t="s">
        <v>407</v>
      </c>
    </row>
    <row r="45" spans="2:9" x14ac:dyDescent="0.2">
      <c r="B45" s="176"/>
      <c r="C45" s="130" t="s">
        <v>279</v>
      </c>
      <c r="D45" s="129">
        <f>(D40^2/4)+(D39^3/27)</f>
        <v>7.9804188732125888E+16</v>
      </c>
      <c r="E45" s="178" t="s">
        <v>280</v>
      </c>
      <c r="H45" s="2">
        <v>5</v>
      </c>
      <c r="I45" s="2" t="s">
        <v>408</v>
      </c>
    </row>
    <row r="46" spans="2:9" x14ac:dyDescent="0.2">
      <c r="B46" s="176"/>
      <c r="C46" s="130"/>
      <c r="D46" s="129"/>
      <c r="E46" s="178"/>
      <c r="H46" s="2">
        <v>6</v>
      </c>
      <c r="I46" s="2" t="s">
        <v>409</v>
      </c>
    </row>
    <row r="47" spans="2:9" x14ac:dyDescent="0.2">
      <c r="B47" s="254" t="s">
        <v>281</v>
      </c>
      <c r="C47" s="130" t="s">
        <v>282</v>
      </c>
      <c r="D47" s="129" t="e">
        <f>SQRT(-1*D45)</f>
        <v>#NUM!</v>
      </c>
      <c r="E47" s="178" t="s">
        <v>283</v>
      </c>
      <c r="H47" s="2">
        <v>7</v>
      </c>
      <c r="I47" s="2" t="s">
        <v>411</v>
      </c>
    </row>
    <row r="48" spans="2:9" x14ac:dyDescent="0.2">
      <c r="B48" s="255"/>
      <c r="C48" s="130" t="s">
        <v>284</v>
      </c>
      <c r="D48" s="129" t="e">
        <f>SQRT((D40^2/4)+(D47^2))</f>
        <v>#NUM!</v>
      </c>
      <c r="E48" s="178" t="s">
        <v>285</v>
      </c>
      <c r="H48" s="2">
        <v>8</v>
      </c>
      <c r="I48" s="2" t="s">
        <v>410</v>
      </c>
    </row>
    <row r="49" spans="2:9" x14ac:dyDescent="0.2">
      <c r="B49" s="255"/>
      <c r="C49" s="130" t="s">
        <v>286</v>
      </c>
      <c r="D49" s="129" t="e">
        <f>DEGREES(ACOS(D43/(2*D48)))</f>
        <v>#NUM!</v>
      </c>
      <c r="E49" s="178" t="s">
        <v>287</v>
      </c>
      <c r="H49" s="2">
        <v>9</v>
      </c>
      <c r="I49" s="2" t="s">
        <v>412</v>
      </c>
    </row>
    <row r="50" spans="2:9" x14ac:dyDescent="0.2">
      <c r="B50" s="255"/>
      <c r="C50" s="131" t="s">
        <v>288</v>
      </c>
      <c r="D50" s="28" t="e">
        <f>2*(D48^(1/3))*COS(RADIANS(D49/3))-D35/3</f>
        <v>#NUM!</v>
      </c>
      <c r="E50" s="181" t="s">
        <v>289</v>
      </c>
      <c r="H50" s="2">
        <v>10</v>
      </c>
      <c r="I50" s="2" t="s">
        <v>413</v>
      </c>
    </row>
    <row r="51" spans="2:9" x14ac:dyDescent="0.2">
      <c r="B51" s="255"/>
      <c r="C51" s="27" t="s">
        <v>290</v>
      </c>
      <c r="D51" s="27" t="e">
        <f>2*(D48^(1/3))*COS(RADIANS((D49+2*PI())/3))-D35/3</f>
        <v>#NUM!</v>
      </c>
      <c r="E51" s="182" t="s">
        <v>291</v>
      </c>
    </row>
    <row r="52" spans="2:9" x14ac:dyDescent="0.2">
      <c r="B52" s="256"/>
      <c r="C52" s="27" t="s">
        <v>292</v>
      </c>
      <c r="D52" s="27" t="e">
        <f>2*(D48^(1/3))*COS(RADIANS((D49+4*PI())/3))-D35/3</f>
        <v>#NUM!</v>
      </c>
      <c r="E52" s="182" t="s">
        <v>293</v>
      </c>
    </row>
    <row r="53" spans="2:9" x14ac:dyDescent="0.2">
      <c r="B53" s="176"/>
      <c r="C53" s="129"/>
      <c r="D53" s="129"/>
      <c r="E53" s="183"/>
    </row>
    <row r="54" spans="2:9" x14ac:dyDescent="0.2">
      <c r="B54" s="257" t="s">
        <v>294</v>
      </c>
      <c r="C54" s="129" t="s">
        <v>282</v>
      </c>
      <c r="D54" s="129">
        <f>SQRT(D45)</f>
        <v>282496351.7147184</v>
      </c>
      <c r="E54" s="183" t="s">
        <v>295</v>
      </c>
    </row>
    <row r="55" spans="2:9" x14ac:dyDescent="0.2">
      <c r="B55" s="257"/>
      <c r="C55" s="129" t="s">
        <v>296</v>
      </c>
      <c r="D55" s="129">
        <f>((-1)*D40/2)+D54</f>
        <v>564992703.4294368</v>
      </c>
      <c r="E55" s="178" t="s">
        <v>297</v>
      </c>
    </row>
    <row r="56" spans="2:9" x14ac:dyDescent="0.2">
      <c r="B56" s="257"/>
      <c r="C56" s="129" t="s">
        <v>298</v>
      </c>
      <c r="D56" s="129">
        <f>((-1)*D40/2)-D54</f>
        <v>0</v>
      </c>
      <c r="E56" s="178" t="s">
        <v>299</v>
      </c>
    </row>
    <row r="57" spans="2:9" x14ac:dyDescent="0.2">
      <c r="B57" s="257"/>
      <c r="C57" s="129" t="s">
        <v>300</v>
      </c>
      <c r="D57" s="129">
        <f>D55^(1/3)</f>
        <v>826.69938217074036</v>
      </c>
      <c r="E57" s="178" t="s">
        <v>301</v>
      </c>
    </row>
    <row r="58" spans="2:9" x14ac:dyDescent="0.2">
      <c r="B58" s="257"/>
      <c r="C58" s="129" t="s">
        <v>302</v>
      </c>
      <c r="D58" s="129">
        <f>D56^(1/3)</f>
        <v>0</v>
      </c>
      <c r="E58" s="178" t="s">
        <v>303</v>
      </c>
    </row>
    <row r="59" spans="2:9" x14ac:dyDescent="0.2">
      <c r="B59" s="257"/>
      <c r="C59" s="28" t="s">
        <v>288</v>
      </c>
      <c r="D59" s="28">
        <f>D57+D58-(D35/3)</f>
        <v>826.69938217074036</v>
      </c>
      <c r="E59" s="181" t="s">
        <v>304</v>
      </c>
    </row>
    <row r="60" spans="2:9" x14ac:dyDescent="0.2">
      <c r="B60" s="257"/>
      <c r="C60" s="129" t="s">
        <v>305</v>
      </c>
      <c r="D60" s="129">
        <f>((D35+D59)^2)+(4*D37/D59)</f>
        <v>-2050295.605444449</v>
      </c>
      <c r="E60" s="183" t="s">
        <v>306</v>
      </c>
    </row>
    <row r="61" spans="2:9" x14ac:dyDescent="0.2">
      <c r="B61" s="257"/>
      <c r="C61" s="129" t="s">
        <v>290</v>
      </c>
      <c r="D61" s="129">
        <f>(-1)*((D35+D59)/2)+((1/2)*(SQRT((-1)*D60)))</f>
        <v>302.59297516739082</v>
      </c>
      <c r="E61" s="178" t="s">
        <v>307</v>
      </c>
    </row>
    <row r="62" spans="2:9" ht="15" thickBot="1" x14ac:dyDescent="0.25">
      <c r="B62" s="258"/>
      <c r="C62" s="184" t="s">
        <v>292</v>
      </c>
      <c r="D62" s="184">
        <f>(-1)*((D35+D59)/2)-((1/2)*(SQRT((-1)*D60)))</f>
        <v>-1129.2923573381313</v>
      </c>
      <c r="E62" s="185" t="s">
        <v>308</v>
      </c>
    </row>
    <row r="64" spans="2:9" ht="15" thickBot="1" x14ac:dyDescent="0.25"/>
    <row r="65" spans="2:5" ht="15" thickBot="1" x14ac:dyDescent="0.25">
      <c r="B65" s="259" t="s">
        <v>394</v>
      </c>
      <c r="C65" s="260"/>
      <c r="D65" s="260"/>
      <c r="E65" s="261"/>
    </row>
    <row r="66" spans="2:5" x14ac:dyDescent="0.2">
      <c r="B66" s="176"/>
      <c r="C66" s="252" t="s">
        <v>257</v>
      </c>
      <c r="D66" s="252"/>
      <c r="E66" s="253"/>
    </row>
    <row r="67" spans="2:5" x14ac:dyDescent="0.2">
      <c r="B67" s="176"/>
      <c r="C67" s="129" t="s">
        <v>258</v>
      </c>
      <c r="D67" s="175" t="e">
        <f>(#REF!*1000/100)/(8*#REF!*#REF!)</f>
        <v>#REF!</v>
      </c>
      <c r="E67" s="178" t="s">
        <v>390</v>
      </c>
    </row>
    <row r="68" spans="2:5" x14ac:dyDescent="0.2">
      <c r="B68" s="176"/>
      <c r="C68" s="129" t="s">
        <v>260</v>
      </c>
      <c r="D68" s="175" t="e">
        <f>(#REF!*1000)/(3*#REF!*#REF!)</f>
        <v>#REF!</v>
      </c>
      <c r="E68" s="178" t="s">
        <v>391</v>
      </c>
    </row>
    <row r="69" spans="2:5" x14ac:dyDescent="0.2">
      <c r="B69" s="176"/>
      <c r="C69" s="129" t="s">
        <v>262</v>
      </c>
      <c r="D69" s="28">
        <v>0</v>
      </c>
      <c r="E69" s="179">
        <v>0</v>
      </c>
    </row>
    <row r="70" spans="2:5" x14ac:dyDescent="0.2">
      <c r="B70" s="176"/>
      <c r="C70" s="129" t="s">
        <v>263</v>
      </c>
      <c r="D70" s="28" t="e">
        <f>-1/#REF!</f>
        <v>#REF!</v>
      </c>
      <c r="E70" s="178" t="s">
        <v>392</v>
      </c>
    </row>
    <row r="71" spans="2:5" x14ac:dyDescent="0.2">
      <c r="B71" s="176"/>
      <c r="C71" s="129"/>
      <c r="D71" s="129"/>
      <c r="E71" s="178"/>
    </row>
    <row r="72" spans="2:5" x14ac:dyDescent="0.2">
      <c r="B72" s="176"/>
      <c r="C72" s="130" t="s">
        <v>265</v>
      </c>
      <c r="D72" s="129" t="e">
        <f>D68/D67</f>
        <v>#REF!</v>
      </c>
      <c r="E72" s="180" t="s">
        <v>266</v>
      </c>
    </row>
    <row r="73" spans="2:5" x14ac:dyDescent="0.2">
      <c r="B73" s="176"/>
      <c r="C73" s="130" t="s">
        <v>267</v>
      </c>
      <c r="D73" s="129" t="e">
        <f>D69/D67</f>
        <v>#REF!</v>
      </c>
      <c r="E73" s="178" t="s">
        <v>268</v>
      </c>
    </row>
    <row r="74" spans="2:5" x14ac:dyDescent="0.2">
      <c r="B74" s="176"/>
      <c r="C74" s="130" t="s">
        <v>269</v>
      </c>
      <c r="D74" s="129" t="e">
        <f>D70/D67</f>
        <v>#REF!</v>
      </c>
      <c r="E74" s="178" t="s">
        <v>270</v>
      </c>
    </row>
    <row r="75" spans="2:5" x14ac:dyDescent="0.2">
      <c r="B75" s="176"/>
      <c r="C75" s="130"/>
      <c r="D75" s="129"/>
      <c r="E75" s="178"/>
    </row>
    <row r="76" spans="2:5" x14ac:dyDescent="0.2">
      <c r="B76" s="176"/>
      <c r="C76" s="130" t="s">
        <v>271</v>
      </c>
      <c r="D76" s="129" t="e">
        <f>D73-(D72^2/3)</f>
        <v>#REF!</v>
      </c>
      <c r="E76" s="178" t="s">
        <v>272</v>
      </c>
    </row>
    <row r="77" spans="2:5" x14ac:dyDescent="0.2">
      <c r="B77" s="176"/>
      <c r="C77" s="130" t="s">
        <v>273</v>
      </c>
      <c r="D77" s="129" t="e">
        <f>D74-((D72*D73)/3)+(2*D72^3/27)</f>
        <v>#REF!</v>
      </c>
      <c r="E77" s="178" t="s">
        <v>274</v>
      </c>
    </row>
    <row r="78" spans="2:5" x14ac:dyDescent="0.2">
      <c r="B78" s="176"/>
      <c r="C78" s="130"/>
      <c r="D78" s="129"/>
      <c r="E78" s="178"/>
    </row>
    <row r="79" spans="2:5" x14ac:dyDescent="0.2">
      <c r="B79" s="176"/>
      <c r="C79" s="130" t="s">
        <v>275</v>
      </c>
      <c r="D79" s="129" t="e">
        <f>(-1*D76)^3/27</f>
        <v>#REF!</v>
      </c>
      <c r="E79" s="178" t="s">
        <v>276</v>
      </c>
    </row>
    <row r="80" spans="2:5" x14ac:dyDescent="0.2">
      <c r="B80" s="176"/>
      <c r="C80" s="130" t="s">
        <v>277</v>
      </c>
      <c r="D80" s="129" t="e">
        <f>(-1)*D77</f>
        <v>#REF!</v>
      </c>
      <c r="E80" s="178" t="s">
        <v>278</v>
      </c>
    </row>
    <row r="81" spans="2:5" x14ac:dyDescent="0.2">
      <c r="B81" s="176"/>
      <c r="C81" s="130"/>
      <c r="D81" s="129"/>
      <c r="E81" s="178"/>
    </row>
    <row r="82" spans="2:5" x14ac:dyDescent="0.2">
      <c r="B82" s="176"/>
      <c r="C82" s="130" t="s">
        <v>279</v>
      </c>
      <c r="D82" s="129" t="e">
        <f>(D77^2/4)+(D76^3/27)</f>
        <v>#REF!</v>
      </c>
      <c r="E82" s="178" t="s">
        <v>280</v>
      </c>
    </row>
    <row r="83" spans="2:5" x14ac:dyDescent="0.2">
      <c r="B83" s="176"/>
      <c r="C83" s="130"/>
      <c r="D83" s="129"/>
      <c r="E83" s="178"/>
    </row>
    <row r="84" spans="2:5" x14ac:dyDescent="0.2">
      <c r="B84" s="254" t="s">
        <v>281</v>
      </c>
      <c r="C84" s="130" t="s">
        <v>282</v>
      </c>
      <c r="D84" s="129" t="e">
        <f>SQRT(-1*D82)</f>
        <v>#REF!</v>
      </c>
      <c r="E84" s="178" t="s">
        <v>283</v>
      </c>
    </row>
    <row r="85" spans="2:5" x14ac:dyDescent="0.2">
      <c r="B85" s="255"/>
      <c r="C85" s="130" t="s">
        <v>284</v>
      </c>
      <c r="D85" s="129" t="e">
        <f>SQRT((D77^2/4)+(D84^2))</f>
        <v>#REF!</v>
      </c>
      <c r="E85" s="178" t="s">
        <v>285</v>
      </c>
    </row>
    <row r="86" spans="2:5" x14ac:dyDescent="0.2">
      <c r="B86" s="255"/>
      <c r="C86" s="130" t="s">
        <v>286</v>
      </c>
      <c r="D86" s="129" t="e">
        <f>DEGREES(ACOS(D80/(2*D85)))</f>
        <v>#REF!</v>
      </c>
      <c r="E86" s="178" t="s">
        <v>287</v>
      </c>
    </row>
    <row r="87" spans="2:5" x14ac:dyDescent="0.2">
      <c r="B87" s="255"/>
      <c r="C87" s="131" t="s">
        <v>288</v>
      </c>
      <c r="D87" s="28" t="e">
        <f>2*(D85^(1/3))*COS(RADIANS(D86/3))-D72/3</f>
        <v>#REF!</v>
      </c>
      <c r="E87" s="181" t="s">
        <v>289</v>
      </c>
    </row>
    <row r="88" spans="2:5" x14ac:dyDescent="0.2">
      <c r="B88" s="255"/>
      <c r="C88" s="27" t="s">
        <v>290</v>
      </c>
      <c r="D88" s="27" t="e">
        <f>2*(D85^(1/3))*COS(RADIANS((D86+2*PI())/3))-D72/3</f>
        <v>#REF!</v>
      </c>
      <c r="E88" s="182" t="s">
        <v>291</v>
      </c>
    </row>
    <row r="89" spans="2:5" x14ac:dyDescent="0.2">
      <c r="B89" s="256"/>
      <c r="C89" s="27" t="s">
        <v>292</v>
      </c>
      <c r="D89" s="27" t="e">
        <f>2*(D85^(1/3))*COS(RADIANS((D86+4*PI())/3))-D72/3</f>
        <v>#REF!</v>
      </c>
      <c r="E89" s="182" t="s">
        <v>293</v>
      </c>
    </row>
    <row r="90" spans="2:5" x14ac:dyDescent="0.2">
      <c r="B90" s="176"/>
      <c r="C90" s="129"/>
      <c r="D90" s="129"/>
      <c r="E90" s="183"/>
    </row>
    <row r="91" spans="2:5" x14ac:dyDescent="0.2">
      <c r="B91" s="257" t="s">
        <v>294</v>
      </c>
      <c r="C91" s="129" t="s">
        <v>282</v>
      </c>
      <c r="D91" s="129" t="e">
        <f>SQRT(D82)</f>
        <v>#REF!</v>
      </c>
      <c r="E91" s="183" t="s">
        <v>295</v>
      </c>
    </row>
    <row r="92" spans="2:5" x14ac:dyDescent="0.2">
      <c r="B92" s="257"/>
      <c r="C92" s="129" t="s">
        <v>296</v>
      </c>
      <c r="D92" s="129" t="e">
        <f>((-1)*D77/2)+D91</f>
        <v>#REF!</v>
      </c>
      <c r="E92" s="178" t="s">
        <v>297</v>
      </c>
    </row>
    <row r="93" spans="2:5" x14ac:dyDescent="0.2">
      <c r="B93" s="257"/>
      <c r="C93" s="129" t="s">
        <v>298</v>
      </c>
      <c r="D93" s="129" t="e">
        <f>((-1)*D77/2)-D91</f>
        <v>#REF!</v>
      </c>
      <c r="E93" s="178" t="s">
        <v>299</v>
      </c>
    </row>
    <row r="94" spans="2:5" x14ac:dyDescent="0.2">
      <c r="B94" s="257"/>
      <c r="C94" s="129" t="s">
        <v>300</v>
      </c>
      <c r="D94" s="129" t="e">
        <f>D92^(1/3)</f>
        <v>#REF!</v>
      </c>
      <c r="E94" s="178" t="s">
        <v>301</v>
      </c>
    </row>
    <row r="95" spans="2:5" x14ac:dyDescent="0.2">
      <c r="B95" s="257"/>
      <c r="C95" s="129" t="s">
        <v>302</v>
      </c>
      <c r="D95" s="129" t="e">
        <f>D93^(1/3)</f>
        <v>#REF!</v>
      </c>
      <c r="E95" s="178" t="s">
        <v>303</v>
      </c>
    </row>
    <row r="96" spans="2:5" x14ac:dyDescent="0.2">
      <c r="B96" s="257"/>
      <c r="C96" s="28" t="s">
        <v>288</v>
      </c>
      <c r="D96" s="28" t="e">
        <f>D94+D95-(D72/3)</f>
        <v>#REF!</v>
      </c>
      <c r="E96" s="181" t="s">
        <v>304</v>
      </c>
    </row>
    <row r="97" spans="2:5" x14ac:dyDescent="0.2">
      <c r="B97" s="257"/>
      <c r="C97" s="129" t="s">
        <v>305</v>
      </c>
      <c r="D97" s="129" t="e">
        <f>((D72+D96)^2)+(4*D74/D96)</f>
        <v>#REF!</v>
      </c>
      <c r="E97" s="183" t="s">
        <v>306</v>
      </c>
    </row>
    <row r="98" spans="2:5" x14ac:dyDescent="0.2">
      <c r="B98" s="257"/>
      <c r="C98" s="129" t="s">
        <v>290</v>
      </c>
      <c r="D98" s="129" t="e">
        <f>(-1)*((D72+D96)/2)+((1/2)*(SQRT((-1)*D97)))</f>
        <v>#REF!</v>
      </c>
      <c r="E98" s="178" t="s">
        <v>307</v>
      </c>
    </row>
    <row r="99" spans="2:5" ht="15" thickBot="1" x14ac:dyDescent="0.25">
      <c r="B99" s="258"/>
      <c r="C99" s="184" t="s">
        <v>292</v>
      </c>
      <c r="D99" s="184" t="e">
        <f>(-1)*((D72+D96)/2)-((1/2)*(SQRT((-1)*D97)))</f>
        <v>#REF!</v>
      </c>
      <c r="E99" s="185" t="s">
        <v>308</v>
      </c>
    </row>
  </sheetData>
  <sheetProtection password="DFCF" sheet="1" objects="1" scenarios="1"/>
  <mergeCells count="14">
    <mergeCell ref="C66:E66"/>
    <mergeCell ref="B84:B89"/>
    <mergeCell ref="B91:B99"/>
    <mergeCell ref="B65:E65"/>
    <mergeCell ref="I1:K1"/>
    <mergeCell ref="B47:B52"/>
    <mergeCell ref="B54:B62"/>
    <mergeCell ref="A1:C1"/>
    <mergeCell ref="A9:C9"/>
    <mergeCell ref="A16:C16"/>
    <mergeCell ref="E1:F1"/>
    <mergeCell ref="B28:E28"/>
    <mergeCell ref="H40:I40"/>
    <mergeCell ref="H30:I30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01-VG BIAPOIADAS</vt:lpstr>
      <vt:lpstr>MADEIRAS</vt:lpstr>
      <vt:lpstr>Tabelas de Cálculo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Dias</dc:creator>
  <cp:lastModifiedBy>Josiany Goncalves de Souza</cp:lastModifiedBy>
  <cp:lastPrinted>2010-05-05T01:44:08Z</cp:lastPrinted>
  <dcterms:created xsi:type="dcterms:W3CDTF">2010-04-02T12:46:54Z</dcterms:created>
  <dcterms:modified xsi:type="dcterms:W3CDTF">2012-10-25T19:14:38Z</dcterms:modified>
</cp:coreProperties>
</file>