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28800" windowHeight="11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<sst xmlns="http://schemas.openxmlformats.org/spreadsheetml/2006/main" count="112" uniqueCount="92">
  <si>
    <t>Артикул</t>
  </si>
  <si>
    <t>Наименование</t>
  </si>
  <si>
    <t>Цена</t>
  </si>
  <si>
    <t>10100</t>
  </si>
  <si>
    <t>Livi Smart Hub Центр умного дома 3G (до 256 дачтиков)</t>
  </si>
  <si>
    <t>10200</t>
  </si>
  <si>
    <t>Livi Smart Hub 2G Центр умного дома 2G (до 64 дачтиков)</t>
  </si>
  <si>
    <t>10300</t>
  </si>
  <si>
    <t>10400</t>
  </si>
  <si>
    <t>Livi CS Датчик открытия</t>
  </si>
  <si>
    <t>10500</t>
  </si>
  <si>
    <t>Livi VS Датчик удара</t>
  </si>
  <si>
    <t>10600</t>
  </si>
  <si>
    <t>Livi GS Датчик разбития стекла</t>
  </si>
  <si>
    <t>10700</t>
  </si>
  <si>
    <t>Livi MS Датчик движения</t>
  </si>
  <si>
    <t>10750</t>
  </si>
  <si>
    <t>Livi MSW Датчик движения типа "штора"</t>
  </si>
  <si>
    <t>10800</t>
  </si>
  <si>
    <t>Livi RFID Устройство постановки/снятия с охраны</t>
  </si>
  <si>
    <t>10900</t>
  </si>
  <si>
    <t>Livi Key Fob Брелок управления режимами охраны</t>
  </si>
  <si>
    <t>11000</t>
  </si>
  <si>
    <t>Livi Siren Устройство звукового оповещения</t>
  </si>
  <si>
    <t>11100</t>
  </si>
  <si>
    <t>Livi Socket Умная розетка</t>
  </si>
  <si>
    <t>11200</t>
  </si>
  <si>
    <t>Livi Relay Реле управления электроприборами</t>
  </si>
  <si>
    <t>Livi Relay 12/24 Реле 12/24 "сухой контакт"</t>
  </si>
  <si>
    <t>11300</t>
  </si>
  <si>
    <t>Livi TS Датчик температуры</t>
  </si>
  <si>
    <t>11400</t>
  </si>
  <si>
    <t>Livi US Универсальный датчик</t>
  </si>
  <si>
    <t>11500</t>
  </si>
  <si>
    <t>Livi LS Датчик протечки воды</t>
  </si>
  <si>
    <t>11550</t>
  </si>
  <si>
    <t>Livi Water Control Контроллер водоснабжения</t>
  </si>
  <si>
    <t>11600</t>
  </si>
  <si>
    <t>Livi RC Датчик потребления  ресурсов</t>
  </si>
  <si>
    <t>70100</t>
  </si>
  <si>
    <t>Вентиль электромагнитный закрытый 1/2 '</t>
  </si>
  <si>
    <t>70200</t>
  </si>
  <si>
    <t>Вентиль электромагнитный закрытый 3/4 '</t>
  </si>
  <si>
    <t>70300</t>
  </si>
  <si>
    <t>Вентиль электромагнитный закрытый 1 '</t>
  </si>
  <si>
    <t>Количество</t>
  </si>
  <si>
    <t>Сумма</t>
  </si>
  <si>
    <t>Livi FS Датчик дыма</t>
  </si>
  <si>
    <t>Количество комнат :</t>
  </si>
  <si>
    <t>Количество санузлов :</t>
  </si>
  <si>
    <t>Нет</t>
  </si>
  <si>
    <t>Управление покомнатное</t>
  </si>
  <si>
    <t>Центральное управление</t>
  </si>
  <si>
    <t>нет</t>
  </si>
  <si>
    <t>Управление отоплением :</t>
  </si>
  <si>
    <t>1 линия</t>
  </si>
  <si>
    <t>2 линии</t>
  </si>
  <si>
    <t>3 линии</t>
  </si>
  <si>
    <t>4 линии</t>
  </si>
  <si>
    <t>5 линий</t>
  </si>
  <si>
    <t>6 линий</t>
  </si>
  <si>
    <t>7 линий</t>
  </si>
  <si>
    <t>Управление освещением :</t>
  </si>
  <si>
    <t>1 точка</t>
  </si>
  <si>
    <t>2 точки</t>
  </si>
  <si>
    <t>3 точки</t>
  </si>
  <si>
    <t>4 точки</t>
  </si>
  <si>
    <t>5 точек</t>
  </si>
  <si>
    <t>6 точек</t>
  </si>
  <si>
    <t>7 точек</t>
  </si>
  <si>
    <t>8 точек</t>
  </si>
  <si>
    <t>9 точек</t>
  </si>
  <si>
    <t>10 точек</t>
  </si>
  <si>
    <t>Подключение полива :</t>
  </si>
  <si>
    <t>Полный мониторинг</t>
  </si>
  <si>
    <t>Да</t>
  </si>
  <si>
    <t>Управление электрооборудованием :</t>
  </si>
  <si>
    <t>www.smartcomplex.am</t>
  </si>
  <si>
    <t>посетите наш офис по адресу :</t>
  </si>
  <si>
    <t>посетите наш сайт :</t>
  </si>
  <si>
    <t>Ереван, Аршакуняц 26</t>
  </si>
  <si>
    <t>позвоните нам :</t>
  </si>
  <si>
    <t>060 70 70 10, 060 70 70 11</t>
  </si>
  <si>
    <t>пишите нам :</t>
  </si>
  <si>
    <t>info@smartcomplex.am</t>
  </si>
  <si>
    <t>Количество комнат:</t>
  </si>
  <si>
    <t>Полный мониторинг :</t>
  </si>
  <si>
    <t>При выборе пункта 'Управление покомнатное' - подразумевается, что температура мониторится в каждой комнате отдельно своим термодатчиком и регулируется с помощью включения и выключения подачи отопления на радиаторы или теплый пол данной комнаты. В этом случае достигается максимальный эффект от экономии (до 45-50%), так как можно задать и поддерживать разные температурные режимы в разное время в каждой комнате по отдельности. Например: Температуру в гостиной в ночное время можно снизить до 14-15 градусов, днем поднять до 18-20 градусов, а в спальнях наоборот - днем поддерживать более низкую температуру, а ночью установить на более комфортную</t>
  </si>
  <si>
    <t>При выборе пункта 'Центральное управление' - подразумевается, что температура регулируется с помощью включения и выключения общего отопления котла или теплого пола при достижении требуемой температуры. В этом случае достигается экономия до 30-35%. Также, в целях повышения экономии, можно создать разные сценарии, при которых отопление перейдет на экономный режим, если дома отсутсвуют люди или надолго открыто окно или дверь</t>
  </si>
  <si>
    <t>Компания "Смарт Комплекс" представляет систему Умного дома - Livicom.    С помощью конструктора можете создать и рассчитать свой проект.  Установка и настройка оборудования Livicom проводится бесплатно.    Также со стороны производителя есть гарантия на оборудование на 5 лет.</t>
  </si>
  <si>
    <t>Для полной информации о возможностях системы :</t>
  </si>
  <si>
    <t>С помощью Умной розетки можно контролировать электрооборудование - кондиционер, холодильник, котел, утюг, ТВ и так далее. Максимальная мощность включаемого оборудования может составить до 3,5 кВт. Умная розетка контролирует перепады напряжения и мощности, ведет мониторинг затраченной через нее электроэнергии. С помощью сценариев очень лекго обезопасить дом, например при отсутствии движения в комнате свыше 2-х минут розетка может выключиться, тем самым например отключить включенный утюг. Или при выходе из дома одним нажатием поставить дом на сигнализацию и одновременно выключить ненужные электроприборы.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</si>
</sst>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;[Red]\-#,##0"/>
    <numFmt numFmtId="165" formatCode="#,##0_ ;[Red]\-#,##0\ 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i/>
      <sz val="11"/>
      <color indexed="56"/>
      <name val="Arial"/>
      <family val="2"/>
    </font>
    <font>
      <sz val="11"/>
      <color indexed="10"/>
      <name val="Arial"/>
      <family val="2"/>
    </font>
    <font>
      <u val="single"/>
      <sz val="11"/>
      <color indexed="30"/>
      <name val="Calibri"/>
      <family val="2"/>
    </font>
    <font>
      <sz val="11"/>
      <color indexed="62"/>
      <name val="Arial"/>
      <family val="2"/>
    </font>
    <font>
      <b/>
      <sz val="11"/>
      <color indexed="62"/>
      <name val="Arial"/>
      <family val="2"/>
    </font>
    <font>
      <u val="single"/>
      <sz val="11"/>
      <color indexed="25"/>
      <name val="Calibri"/>
      <family val="2"/>
    </font>
    <font>
      <sz val="8"/>
      <name val="Segoe UI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i/>
      <sz val="11"/>
      <color rgb="FF002060"/>
      <name val="Arial"/>
      <family val="2"/>
    </font>
    <font>
      <sz val="11"/>
      <color rgb="FFFF0000"/>
      <name val="Arial"/>
      <family val="2"/>
    </font>
    <font>
      <sz val="11"/>
      <color theme="4" tint="-0.24997000396251678"/>
      <name val="Arial"/>
      <family val="2"/>
    </font>
    <font>
      <b/>
      <sz val="11"/>
      <color theme="4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4" tint="-0.24993999302387238"/>
      </left>
      <right style="thin">
        <color theme="4" tint="-0.24993999302387238"/>
      </right>
      <top style="thin">
        <color theme="4" tint="-0.24993999302387238"/>
      </top>
      <bottom style="thin">
        <color theme="4" tint="-0.24993999302387238"/>
      </bottom>
    </border>
    <border>
      <left style="dashed"/>
      <right style="thin">
        <color theme="4" tint="-0.24993999302387238"/>
      </right>
      <top style="dashed"/>
      <bottom style="thin">
        <color theme="4" tint="-0.24993999302387238"/>
      </bottom>
    </border>
    <border>
      <left style="thin">
        <color theme="4" tint="-0.24993999302387238"/>
      </left>
      <right style="thin">
        <color theme="4" tint="-0.24993999302387238"/>
      </right>
      <top style="dashed"/>
      <bottom style="thin">
        <color theme="4" tint="-0.24993999302387238"/>
      </bottom>
    </border>
    <border>
      <left style="thin">
        <color theme="4" tint="-0.24993999302387238"/>
      </left>
      <right style="dashed"/>
      <top style="dashed"/>
      <bottom style="thin">
        <color theme="4" tint="-0.24993999302387238"/>
      </bottom>
    </border>
    <border>
      <left style="dashed"/>
      <right style="thin">
        <color theme="4" tint="-0.24993999302387238"/>
      </right>
      <top style="thin">
        <color theme="4" tint="-0.24993999302387238"/>
      </top>
      <bottom style="thin">
        <color theme="4" tint="-0.24993999302387238"/>
      </bottom>
    </border>
    <border>
      <left style="thin">
        <color theme="4" tint="-0.24993999302387238"/>
      </left>
      <right style="dashed"/>
      <top style="thin">
        <color theme="4" tint="-0.24993999302387238"/>
      </top>
      <bottom style="thin">
        <color theme="4" tint="-0.24993999302387238"/>
      </bottom>
    </border>
    <border>
      <left style="dashed"/>
      <right style="thin">
        <color theme="4" tint="-0.24993999302387238"/>
      </right>
      <top style="thin">
        <color theme="4" tint="-0.24993999302387238"/>
      </top>
      <bottom style="dashed"/>
    </border>
    <border>
      <left style="thin">
        <color theme="4" tint="-0.24993999302387238"/>
      </left>
      <right style="thin">
        <color theme="4" tint="-0.24993999302387238"/>
      </right>
      <top style="thin">
        <color theme="4" tint="-0.24993999302387238"/>
      </top>
      <bottom style="dashed"/>
    </border>
    <border>
      <left style="thin">
        <color theme="4" tint="-0.24993999302387238"/>
      </left>
      <right style="dashed"/>
      <top style="thin">
        <color theme="4" tint="-0.24993999302387238"/>
      </top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Alignment="1">
      <alignment horizontal="left" shrinkToFit="1"/>
    </xf>
    <xf numFmtId="0" fontId="49" fillId="0" borderId="0" xfId="0" applyFont="1" applyAlignment="1">
      <alignment shrinkToFit="1"/>
    </xf>
    <xf numFmtId="0" fontId="49" fillId="33" borderId="10" xfId="0" applyFont="1" applyFill="1" applyBorder="1" applyAlignment="1">
      <alignment horizontal="center" shrinkToFit="1"/>
    </xf>
    <xf numFmtId="0" fontId="49" fillId="34" borderId="10" xfId="0" applyFont="1" applyFill="1" applyBorder="1" applyAlignment="1">
      <alignment horizontal="center" shrinkToFit="1"/>
    </xf>
    <xf numFmtId="0" fontId="49" fillId="35" borderId="10" xfId="0" applyFont="1" applyFill="1" applyBorder="1" applyAlignment="1">
      <alignment horizontal="center" shrinkToFit="1"/>
    </xf>
    <xf numFmtId="0" fontId="50" fillId="0" borderId="0" xfId="0" applyFont="1" applyAlignment="1">
      <alignment horizontal="left" shrinkToFit="1"/>
    </xf>
    <xf numFmtId="0" fontId="50" fillId="0" borderId="0" xfId="0" applyFont="1" applyAlignment="1">
      <alignment shrinkToFit="1"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>
      <alignment/>
    </xf>
    <xf numFmtId="165" fontId="50" fillId="0" borderId="0" xfId="0" applyNumberFormat="1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right" vertical="center"/>
    </xf>
    <xf numFmtId="0" fontId="53" fillId="0" borderId="0" xfId="0" applyFont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49" fillId="0" borderId="0" xfId="0" applyFont="1" applyFill="1" applyAlignment="1">
      <alignment horizontal="left" shrinkToFit="1"/>
    </xf>
    <xf numFmtId="0" fontId="49" fillId="0" borderId="0" xfId="0" applyFont="1" applyFill="1" applyAlignment="1">
      <alignment shrinkToFit="1"/>
    </xf>
    <xf numFmtId="0" fontId="54" fillId="0" borderId="0" xfId="0" applyFont="1" applyAlignment="1">
      <alignment horizontal="right" vertical="center"/>
    </xf>
    <xf numFmtId="0" fontId="54" fillId="0" borderId="11" xfId="0" applyFont="1" applyBorder="1" applyAlignment="1">
      <alignment horizontal="right" vertical="center"/>
    </xf>
    <xf numFmtId="164" fontId="49" fillId="0" borderId="11" xfId="0" applyNumberFormat="1" applyFont="1" applyBorder="1" applyAlignment="1">
      <alignment/>
    </xf>
    <xf numFmtId="0" fontId="49" fillId="0" borderId="11" xfId="0" applyFont="1" applyBorder="1" applyAlignment="1">
      <alignment/>
    </xf>
    <xf numFmtId="0" fontId="3" fillId="0" borderId="12" xfId="0" applyFont="1" applyFill="1" applyBorder="1" applyAlignment="1">
      <alignment vertical="center" wrapText="1"/>
    </xf>
    <xf numFmtId="164" fontId="2" fillId="0" borderId="12" xfId="0" applyNumberFormat="1" applyFont="1" applyFill="1" applyBorder="1" applyAlignment="1">
      <alignment horizontal="right" vertical="center"/>
    </xf>
    <xf numFmtId="164" fontId="3" fillId="0" borderId="12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41" fillId="0" borderId="0" xfId="53" applyFont="1" applyAlignment="1">
      <alignment horizontal="left" vertical="center" wrapText="1"/>
    </xf>
    <xf numFmtId="0" fontId="41" fillId="0" borderId="11" xfId="53" applyFont="1" applyBorder="1" applyAlignment="1">
      <alignment horizontal="left" vertical="center"/>
    </xf>
    <xf numFmtId="0" fontId="50" fillId="0" borderId="11" xfId="0" applyFont="1" applyBorder="1" applyAlignment="1">
      <alignment/>
    </xf>
    <xf numFmtId="164" fontId="50" fillId="0" borderId="11" xfId="0" applyNumberFormat="1" applyFont="1" applyBorder="1" applyAlignment="1">
      <alignment/>
    </xf>
    <xf numFmtId="0" fontId="50" fillId="0" borderId="0" xfId="0" applyFont="1" applyAlignment="1">
      <alignment horizontal="left" inden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/>
    </xf>
    <xf numFmtId="164" fontId="3" fillId="0" borderId="17" xfId="0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left" vertical="center"/>
    </xf>
    <xf numFmtId="164" fontId="2" fillId="0" borderId="19" xfId="0" applyNumberFormat="1" applyFont="1" applyFill="1" applyBorder="1" applyAlignment="1">
      <alignment horizontal="right" vertical="center"/>
    </xf>
    <xf numFmtId="164" fontId="3" fillId="0" borderId="19" xfId="0" applyNumberFormat="1" applyFont="1" applyFill="1" applyBorder="1" applyAlignment="1">
      <alignment horizontal="center" vertical="center"/>
    </xf>
    <xf numFmtId="164" fontId="3" fillId="0" borderId="20" xfId="0" applyNumberFormat="1" applyFont="1" applyFill="1" applyBorder="1" applyAlignment="1">
      <alignment horizontal="right" vertical="center"/>
    </xf>
    <xf numFmtId="0" fontId="49" fillId="14" borderId="10" xfId="0" applyFont="1" applyFill="1" applyBorder="1" applyAlignment="1">
      <alignment shrinkToFit="1"/>
    </xf>
    <xf numFmtId="0" fontId="55" fillId="0" borderId="11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auto="1"/>
      </font>
      <fill>
        <patternFill>
          <bgColor theme="7" tint="0.5999600291252136"/>
        </patternFill>
      </fill>
    </dxf>
    <dxf>
      <font>
        <color auto="1"/>
      </font>
      <fill>
        <patternFill>
          <bgColor theme="7" tint="0.5999600291252136"/>
        </patternFill>
      </fill>
    </dxf>
    <dxf>
      <font>
        <color auto="1"/>
      </font>
      <fill>
        <patternFill>
          <bgColor theme="7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martcomplex.am/" TargetMode="External" /><Relationship Id="rId2" Type="http://schemas.openxmlformats.org/officeDocument/2006/relationships/hyperlink" Target="mailto:info@smartcomplex.am" TargetMode="Externa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8"/>
  <sheetViews>
    <sheetView showGridLines="0" showRowColHeaders="0" showZeros="0" tabSelected="1" zoomScalePageLayoutView="0" workbookViewId="0" topLeftCell="A1">
      <pane xSplit="18" ySplit="91" topLeftCell="S92" activePane="bottomRight" state="frozen"/>
      <selection pane="topLeft" activeCell="A1" sqref="A1"/>
      <selection pane="topRight" activeCell="S1" sqref="S1"/>
      <selection pane="bottomLeft" activeCell="A92" sqref="A92"/>
      <selection pane="bottomRight" activeCell="S92" sqref="S92"/>
    </sheetView>
  </sheetViews>
  <sheetFormatPr defaultColWidth="9.140625" defaultRowHeight="15"/>
  <cols>
    <col min="1" max="1" width="2.140625" style="19" customWidth="1"/>
    <col min="2" max="2" width="8.8515625" style="19" customWidth="1"/>
    <col min="3" max="3" width="56.140625" style="20" customWidth="1"/>
    <col min="4" max="4" width="10.28125" style="19" customWidth="1"/>
    <col min="5" max="5" width="11.8515625" style="19" customWidth="1"/>
    <col min="6" max="6" width="10.7109375" style="20" customWidth="1"/>
    <col min="7" max="7" width="9.421875" style="19" customWidth="1"/>
    <col min="8" max="8" width="45.28125" style="19" customWidth="1"/>
    <col min="9" max="9" width="31.140625" style="19" customWidth="1"/>
    <col min="10" max="10" width="5.421875" style="19" customWidth="1"/>
    <col min="11" max="11" width="74.00390625" style="19" customWidth="1"/>
    <col min="12" max="12" width="11.7109375" style="21" hidden="1" customWidth="1"/>
    <col min="13" max="13" width="11.7109375" style="22" hidden="1" customWidth="1"/>
    <col min="14" max="14" width="17.57421875" style="22" hidden="1" customWidth="1"/>
    <col min="15" max="15" width="19.8515625" style="22" hidden="1" customWidth="1"/>
    <col min="16" max="16" width="13.8515625" style="19" hidden="1" customWidth="1"/>
    <col min="17" max="17" width="18.140625" style="19" hidden="1" customWidth="1"/>
    <col min="18" max="18" width="0" style="19" hidden="1" customWidth="1"/>
    <col min="19" max="16384" width="9.140625" style="19" customWidth="1"/>
  </cols>
  <sheetData>
    <row r="1" spans="2:17" s="1" customFormat="1" ht="19.5" customHeight="1">
      <c r="B1" s="36" t="s">
        <v>0</v>
      </c>
      <c r="C1" s="37" t="s">
        <v>1</v>
      </c>
      <c r="D1" s="37" t="s">
        <v>2</v>
      </c>
      <c r="E1" s="49" t="s">
        <v>45</v>
      </c>
      <c r="F1" s="38" t="s">
        <v>46</v>
      </c>
      <c r="L1" s="10" t="s">
        <v>48</v>
      </c>
      <c r="M1" s="10" t="s">
        <v>49</v>
      </c>
      <c r="N1" s="10" t="s">
        <v>54</v>
      </c>
      <c r="O1" s="10" t="s">
        <v>73</v>
      </c>
      <c r="P1" s="10" t="s">
        <v>62</v>
      </c>
      <c r="Q1" s="10" t="s">
        <v>76</v>
      </c>
    </row>
    <row r="2" spans="2:17" s="1" customFormat="1" ht="17.25" customHeight="1">
      <c r="B2" s="39" t="s">
        <v>3</v>
      </c>
      <c r="C2" s="27" t="s">
        <v>4</v>
      </c>
      <c r="D2" s="28">
        <v>86000</v>
      </c>
      <c r="E2" s="29">
        <f>IF((SUM(E4:E20)&gt;=60),1,0)</f>
        <v>0</v>
      </c>
      <c r="F2" s="40">
        <f>D2*E2</f>
        <v>0</v>
      </c>
      <c r="H2" s="11" t="s">
        <v>85</v>
      </c>
      <c r="L2" s="5">
        <v>1</v>
      </c>
      <c r="M2" s="5">
        <v>1</v>
      </c>
      <c r="N2" s="5">
        <v>1</v>
      </c>
      <c r="O2" s="5">
        <v>1</v>
      </c>
      <c r="P2" s="5">
        <v>1</v>
      </c>
      <c r="Q2" s="5">
        <v>1</v>
      </c>
    </row>
    <row r="3" spans="2:17" s="1" customFormat="1" ht="17.25" customHeight="1">
      <c r="B3" s="39" t="s">
        <v>5</v>
      </c>
      <c r="C3" s="27" t="s">
        <v>6</v>
      </c>
      <c r="D3" s="28">
        <v>49000</v>
      </c>
      <c r="E3" s="29">
        <f>IF(AND(SUM(E4:E20)&gt;0,SUM(E4:E20)&lt;60),1,0)</f>
        <v>0</v>
      </c>
      <c r="F3" s="40">
        <f aca="true" t="shared" si="0" ref="F3:F23">D3*E3</f>
        <v>0</v>
      </c>
      <c r="H3" s="11" t="s">
        <v>49</v>
      </c>
      <c r="L3" s="6">
        <f aca="true" t="shared" si="1" ref="L3:Q3">L2-1</f>
        <v>0</v>
      </c>
      <c r="M3" s="6">
        <f t="shared" si="1"/>
        <v>0</v>
      </c>
      <c r="N3" s="6">
        <f t="shared" si="1"/>
        <v>0</v>
      </c>
      <c r="O3" s="6">
        <f t="shared" si="1"/>
        <v>0</v>
      </c>
      <c r="P3" s="6">
        <f t="shared" si="1"/>
        <v>0</v>
      </c>
      <c r="Q3" s="6">
        <f t="shared" si="1"/>
        <v>0</v>
      </c>
    </row>
    <row r="4" spans="2:17" s="1" customFormat="1" ht="17.25" customHeight="1">
      <c r="B4" s="39" t="s">
        <v>7</v>
      </c>
      <c r="C4" s="27" t="s">
        <v>47</v>
      </c>
      <c r="D4" s="28">
        <v>13500</v>
      </c>
      <c r="E4" s="29">
        <f>IF(L3&gt;0,1+ROUNDDOWN(L3/3,0),0)</f>
        <v>0</v>
      </c>
      <c r="F4" s="40">
        <f t="shared" si="0"/>
        <v>0</v>
      </c>
      <c r="H4" s="11" t="s">
        <v>54</v>
      </c>
      <c r="L4" s="7" t="s">
        <v>53</v>
      </c>
      <c r="M4" s="7" t="s">
        <v>53</v>
      </c>
      <c r="N4" s="7" t="s">
        <v>50</v>
      </c>
      <c r="O4" s="7" t="s">
        <v>50</v>
      </c>
      <c r="P4" s="7" t="s">
        <v>50</v>
      </c>
      <c r="Q4" s="7" t="s">
        <v>50</v>
      </c>
    </row>
    <row r="5" spans="2:17" s="1" customFormat="1" ht="17.25" customHeight="1">
      <c r="B5" s="39" t="s">
        <v>8</v>
      </c>
      <c r="C5" s="27" t="s">
        <v>9</v>
      </c>
      <c r="D5" s="28">
        <v>9500</v>
      </c>
      <c r="E5" s="29">
        <f>IF(L3&gt;1,1,0)</f>
        <v>0</v>
      </c>
      <c r="F5" s="40">
        <f t="shared" si="0"/>
        <v>0</v>
      </c>
      <c r="H5" s="11" t="s">
        <v>62</v>
      </c>
      <c r="L5" s="7">
        <v>1</v>
      </c>
      <c r="M5" s="7">
        <v>1</v>
      </c>
      <c r="N5" s="7" t="s">
        <v>52</v>
      </c>
      <c r="O5" s="7" t="s">
        <v>55</v>
      </c>
      <c r="P5" s="7" t="s">
        <v>63</v>
      </c>
      <c r="Q5" s="7" t="s">
        <v>63</v>
      </c>
    </row>
    <row r="6" spans="2:17" s="1" customFormat="1" ht="17.25" customHeight="1">
      <c r="B6" s="39" t="s">
        <v>10</v>
      </c>
      <c r="C6" s="27" t="s">
        <v>11</v>
      </c>
      <c r="D6" s="28">
        <v>9500</v>
      </c>
      <c r="E6" s="29">
        <f>IF(N14&gt;0,1+ROUNDDOWN(L3/2,0),0)</f>
        <v>0</v>
      </c>
      <c r="F6" s="40">
        <f t="shared" si="0"/>
        <v>0</v>
      </c>
      <c r="H6" s="11" t="s">
        <v>76</v>
      </c>
      <c r="L6" s="7">
        <v>2</v>
      </c>
      <c r="M6" s="7">
        <v>2</v>
      </c>
      <c r="N6" s="7" t="s">
        <v>51</v>
      </c>
      <c r="O6" s="7" t="s">
        <v>56</v>
      </c>
      <c r="P6" s="7" t="s">
        <v>64</v>
      </c>
      <c r="Q6" s="7" t="s">
        <v>64</v>
      </c>
    </row>
    <row r="7" spans="2:17" s="1" customFormat="1" ht="17.25" customHeight="1">
      <c r="B7" s="39" t="s">
        <v>12</v>
      </c>
      <c r="C7" s="27" t="s">
        <v>13</v>
      </c>
      <c r="D7" s="28">
        <v>15000</v>
      </c>
      <c r="E7" s="29">
        <f>IF(N14&gt;0,1+ROUNDDOWN(L3/2,0),0)</f>
        <v>0</v>
      </c>
      <c r="F7" s="40">
        <f t="shared" si="0"/>
        <v>0</v>
      </c>
      <c r="H7" s="11" t="s">
        <v>73</v>
      </c>
      <c r="L7" s="7">
        <v>3</v>
      </c>
      <c r="M7" s="7">
        <v>3</v>
      </c>
      <c r="O7" s="7" t="s">
        <v>57</v>
      </c>
      <c r="P7" s="7" t="s">
        <v>65</v>
      </c>
      <c r="Q7" s="7" t="s">
        <v>65</v>
      </c>
    </row>
    <row r="8" spans="2:17" s="1" customFormat="1" ht="17.25" customHeight="1">
      <c r="B8" s="39" t="s">
        <v>14</v>
      </c>
      <c r="C8" s="27" t="s">
        <v>15</v>
      </c>
      <c r="D8" s="28">
        <v>13500</v>
      </c>
      <c r="E8" s="29">
        <f>L3</f>
        <v>0</v>
      </c>
      <c r="F8" s="40">
        <f t="shared" si="0"/>
        <v>0</v>
      </c>
      <c r="H8" s="11" t="s">
        <v>86</v>
      </c>
      <c r="L8" s="7">
        <v>4</v>
      </c>
      <c r="M8" s="7">
        <v>4</v>
      </c>
      <c r="O8" s="7" t="s">
        <v>58</v>
      </c>
      <c r="P8" s="7" t="s">
        <v>66</v>
      </c>
      <c r="Q8" s="7" t="s">
        <v>66</v>
      </c>
    </row>
    <row r="9" spans="2:17" s="1" customFormat="1" ht="17.25" customHeight="1">
      <c r="B9" s="39" t="s">
        <v>16</v>
      </c>
      <c r="C9" s="27" t="s">
        <v>17</v>
      </c>
      <c r="D9" s="28">
        <v>13500</v>
      </c>
      <c r="E9" s="29">
        <f>IF(N14&gt;0,ROUNDDOWN(L3/2,0),0)</f>
        <v>0</v>
      </c>
      <c r="F9" s="40">
        <f t="shared" si="0"/>
        <v>0</v>
      </c>
      <c r="L9" s="7">
        <v>5</v>
      </c>
      <c r="M9" s="7">
        <v>5</v>
      </c>
      <c r="N9"/>
      <c r="O9" s="7" t="s">
        <v>59</v>
      </c>
      <c r="P9" s="7" t="s">
        <v>67</v>
      </c>
      <c r="Q9" s="7" t="s">
        <v>67</v>
      </c>
    </row>
    <row r="10" spans="2:17" s="1" customFormat="1" ht="17.25" customHeight="1">
      <c r="B10" s="39" t="s">
        <v>18</v>
      </c>
      <c r="C10" s="27" t="s">
        <v>19</v>
      </c>
      <c r="D10" s="28">
        <v>18500</v>
      </c>
      <c r="E10" s="29">
        <f>IF(L3&gt;2,1,0)</f>
        <v>0</v>
      </c>
      <c r="F10" s="40">
        <f t="shared" si="0"/>
        <v>0</v>
      </c>
      <c r="H10" s="25"/>
      <c r="I10" s="26"/>
      <c r="L10" s="7">
        <v>6</v>
      </c>
      <c r="M10"/>
      <c r="O10" s="7" t="s">
        <v>60</v>
      </c>
      <c r="P10" s="7" t="s">
        <v>68</v>
      </c>
      <c r="Q10" s="7" t="s">
        <v>68</v>
      </c>
    </row>
    <row r="11" spans="2:17" s="1" customFormat="1" ht="17.25" customHeight="1">
      <c r="B11" s="39" t="s">
        <v>20</v>
      </c>
      <c r="C11" s="27" t="s">
        <v>21</v>
      </c>
      <c r="D11" s="28">
        <v>9500</v>
      </c>
      <c r="E11" s="29">
        <f>IF(L3&gt;2,2,IF(L3&gt;0,1,0))</f>
        <v>0</v>
      </c>
      <c r="F11" s="40">
        <f t="shared" si="0"/>
        <v>0</v>
      </c>
      <c r="H11" s="47" t="str">
        <f>IF(E3+E2=0,O20,IF(Q3&gt;0,O23,IF(N3=1,O21,IF(N3=2,O22,""))))</f>
        <v>Компания "Смарт Комплекс" представляет систему Умного дома - Livicom.    С помощью конструктора можете создать и рассчитать свой проект.  Установка и настройка оборудования Livicom проводится бесплатно.    Также со стороны производителя есть гарантия на оборудование на 5 лет.</v>
      </c>
      <c r="I11" s="47"/>
      <c r="L11" s="7">
        <v>7</v>
      </c>
      <c r="M11"/>
      <c r="N11"/>
      <c r="O11" s="7" t="s">
        <v>61</v>
      </c>
      <c r="P11" s="7" t="s">
        <v>69</v>
      </c>
      <c r="Q11" s="7" t="s">
        <v>69</v>
      </c>
    </row>
    <row r="12" spans="2:17" s="1" customFormat="1" ht="17.25" customHeight="1">
      <c r="B12" s="39" t="s">
        <v>22</v>
      </c>
      <c r="C12" s="27" t="s">
        <v>23</v>
      </c>
      <c r="D12" s="28">
        <v>13500</v>
      </c>
      <c r="E12" s="29">
        <f>IF(L3&gt;5,2,IF(L3&gt;0,1,0))</f>
        <v>0</v>
      </c>
      <c r="F12" s="40">
        <f t="shared" si="0"/>
        <v>0</v>
      </c>
      <c r="H12" s="47"/>
      <c r="I12" s="47"/>
      <c r="J12"/>
      <c r="L12" s="7">
        <v>8</v>
      </c>
      <c r="M12"/>
      <c r="N12" s="10" t="s">
        <v>74</v>
      </c>
      <c r="O12"/>
      <c r="P12" s="7" t="s">
        <v>70</v>
      </c>
      <c r="Q12" s="7" t="s">
        <v>70</v>
      </c>
    </row>
    <row r="13" spans="2:17" s="1" customFormat="1" ht="17.25" customHeight="1">
      <c r="B13" s="39" t="s">
        <v>24</v>
      </c>
      <c r="C13" s="27" t="s">
        <v>25</v>
      </c>
      <c r="D13" s="28">
        <v>18500</v>
      </c>
      <c r="E13" s="29">
        <f>Q3</f>
        <v>0</v>
      </c>
      <c r="F13" s="40">
        <f t="shared" si="0"/>
        <v>0</v>
      </c>
      <c r="H13" s="47"/>
      <c r="I13" s="47"/>
      <c r="J13"/>
      <c r="L13" s="7">
        <v>9</v>
      </c>
      <c r="M13"/>
      <c r="N13" s="5">
        <v>1</v>
      </c>
      <c r="O13"/>
      <c r="P13" s="7" t="s">
        <v>71</v>
      </c>
      <c r="Q13" s="7" t="s">
        <v>71</v>
      </c>
    </row>
    <row r="14" spans="2:17" s="1" customFormat="1" ht="17.25" customHeight="1">
      <c r="B14" s="39" t="s">
        <v>26</v>
      </c>
      <c r="C14" s="27" t="s">
        <v>27</v>
      </c>
      <c r="D14" s="28">
        <v>9500</v>
      </c>
      <c r="E14" s="29">
        <f>IF(N3=2,L3,0)+E21+E22+E23+P3</f>
        <v>0</v>
      </c>
      <c r="F14" s="40">
        <f t="shared" si="0"/>
        <v>0</v>
      </c>
      <c r="H14" s="47"/>
      <c r="I14" s="47"/>
      <c r="J14"/>
      <c r="L14" s="7">
        <v>10</v>
      </c>
      <c r="M14"/>
      <c r="N14" s="6">
        <f>N13-1</f>
        <v>0</v>
      </c>
      <c r="O14"/>
      <c r="P14" s="7" t="s">
        <v>72</v>
      </c>
      <c r="Q14" s="7" t="s">
        <v>72</v>
      </c>
    </row>
    <row r="15" spans="2:15" s="1" customFormat="1" ht="17.25" customHeight="1">
      <c r="B15" s="39">
        <v>11250</v>
      </c>
      <c r="C15" s="27" t="s">
        <v>28</v>
      </c>
      <c r="D15" s="28">
        <v>9500</v>
      </c>
      <c r="E15" s="29">
        <f>IF(N3&gt;0,1,0)</f>
        <v>0</v>
      </c>
      <c r="F15" s="40">
        <f t="shared" si="0"/>
        <v>0</v>
      </c>
      <c r="H15" s="47"/>
      <c r="I15" s="47"/>
      <c r="J15"/>
      <c r="L15" s="3"/>
      <c r="M15" s="4"/>
      <c r="N15" s="7" t="s">
        <v>50</v>
      </c>
      <c r="O15" s="4"/>
    </row>
    <row r="16" spans="2:15" s="1" customFormat="1" ht="17.25" customHeight="1">
      <c r="B16" s="39" t="s">
        <v>29</v>
      </c>
      <c r="C16" s="27" t="s">
        <v>30</v>
      </c>
      <c r="D16" s="28">
        <v>9500</v>
      </c>
      <c r="E16" s="29">
        <f>IF(N14=1,1,0)+IF(N3=2,L3,0)+IF(N3=1,1,0)</f>
        <v>0</v>
      </c>
      <c r="F16" s="40">
        <f t="shared" si="0"/>
        <v>0</v>
      </c>
      <c r="H16" s="47"/>
      <c r="I16" s="47"/>
      <c r="J16"/>
      <c r="L16" s="3"/>
      <c r="M16" s="4"/>
      <c r="N16" s="7" t="s">
        <v>75</v>
      </c>
      <c r="O16" s="4"/>
    </row>
    <row r="17" spans="2:14" s="1" customFormat="1" ht="17.25" customHeight="1">
      <c r="B17" s="39" t="s">
        <v>31</v>
      </c>
      <c r="C17" s="27" t="s">
        <v>32</v>
      </c>
      <c r="D17" s="28">
        <v>9500</v>
      </c>
      <c r="E17" s="29">
        <f>IF(N14&gt;0,1,0)</f>
        <v>0</v>
      </c>
      <c r="F17" s="40">
        <f t="shared" si="0"/>
        <v>0</v>
      </c>
      <c r="H17" s="47"/>
      <c r="I17" s="47"/>
      <c r="L17" s="3"/>
      <c r="M17" s="4"/>
      <c r="N17" s="4"/>
    </row>
    <row r="18" spans="2:14" s="1" customFormat="1" ht="17.25" customHeight="1">
      <c r="B18" s="39" t="s">
        <v>33</v>
      </c>
      <c r="C18" s="27" t="s">
        <v>34</v>
      </c>
      <c r="D18" s="28">
        <v>9500</v>
      </c>
      <c r="E18" s="29">
        <f>M3</f>
        <v>0</v>
      </c>
      <c r="F18" s="40">
        <f t="shared" si="0"/>
        <v>0</v>
      </c>
      <c r="H18" s="47"/>
      <c r="I18" s="47"/>
      <c r="L18" s="3"/>
      <c r="M18" s="4"/>
      <c r="N18" s="4"/>
    </row>
    <row r="19" spans="2:14" s="1" customFormat="1" ht="17.25" customHeight="1">
      <c r="B19" s="39" t="s">
        <v>35</v>
      </c>
      <c r="C19" s="27" t="s">
        <v>36</v>
      </c>
      <c r="D19" s="28">
        <v>15000</v>
      </c>
      <c r="E19" s="29"/>
      <c r="F19" s="40">
        <f t="shared" si="0"/>
        <v>0</v>
      </c>
      <c r="H19" s="47"/>
      <c r="I19" s="47"/>
      <c r="L19" s="3"/>
      <c r="M19" s="4"/>
      <c r="N19" s="4"/>
    </row>
    <row r="20" spans="2:15" s="1" customFormat="1" ht="17.25" customHeight="1">
      <c r="B20" s="39" t="s">
        <v>37</v>
      </c>
      <c r="C20" s="27" t="s">
        <v>38</v>
      </c>
      <c r="D20" s="28">
        <v>9500</v>
      </c>
      <c r="E20" s="29">
        <f>IF(N14&gt;0,1,0)</f>
        <v>0</v>
      </c>
      <c r="F20" s="40">
        <f t="shared" si="0"/>
        <v>0</v>
      </c>
      <c r="H20" s="48"/>
      <c r="I20" s="48"/>
      <c r="L20" s="3"/>
      <c r="M20" s="4"/>
      <c r="N20" s="4"/>
      <c r="O20" s="45" t="s">
        <v>89</v>
      </c>
    </row>
    <row r="21" spans="2:15" s="1" customFormat="1" ht="17.25" customHeight="1">
      <c r="B21" s="39" t="s">
        <v>39</v>
      </c>
      <c r="C21" s="27" t="s">
        <v>40</v>
      </c>
      <c r="D21" s="28">
        <v>9000</v>
      </c>
      <c r="E21" s="29">
        <f>IF(OR(O3=1,O3=2),O3+1,O3)</f>
        <v>0</v>
      </c>
      <c r="F21" s="40">
        <f t="shared" si="0"/>
        <v>0</v>
      </c>
      <c r="L21" s="3"/>
      <c r="M21" s="4"/>
      <c r="N21" s="4"/>
      <c r="O21" s="45" t="s">
        <v>88</v>
      </c>
    </row>
    <row r="22" spans="2:15" s="1" customFormat="1" ht="17.25" customHeight="1">
      <c r="B22" s="39" t="s">
        <v>41</v>
      </c>
      <c r="C22" s="27" t="s">
        <v>42</v>
      </c>
      <c r="D22" s="28">
        <v>11000</v>
      </c>
      <c r="E22" s="29">
        <f>IF(OR(O3=3,O3=4),1,0)</f>
        <v>0</v>
      </c>
      <c r="F22" s="40">
        <f t="shared" si="0"/>
        <v>0</v>
      </c>
      <c r="H22" s="46" t="s">
        <v>90</v>
      </c>
      <c r="I22" s="46"/>
      <c r="L22" s="3"/>
      <c r="M22" s="4"/>
      <c r="N22" s="4"/>
      <c r="O22" s="45" t="s">
        <v>87</v>
      </c>
    </row>
    <row r="23" spans="2:15" s="1" customFormat="1" ht="14.25">
      <c r="B23" s="41" t="s">
        <v>43</v>
      </c>
      <c r="C23" s="27" t="s">
        <v>44</v>
      </c>
      <c r="D23" s="42">
        <v>15000</v>
      </c>
      <c r="E23" s="43">
        <f>IF(O3&gt;4,1,0)</f>
        <v>0</v>
      </c>
      <c r="F23" s="44">
        <f t="shared" si="0"/>
        <v>0</v>
      </c>
      <c r="H23" s="23" t="s">
        <v>78</v>
      </c>
      <c r="I23" s="30" t="s">
        <v>80</v>
      </c>
      <c r="L23" s="3"/>
      <c r="M23" s="4"/>
      <c r="N23" s="4"/>
      <c r="O23" s="45" t="s">
        <v>91</v>
      </c>
    </row>
    <row r="24" spans="2:15" s="1" customFormat="1" ht="14.25">
      <c r="B24" s="13"/>
      <c r="C24" s="14"/>
      <c r="D24" s="15"/>
      <c r="E24" s="16"/>
      <c r="F24" s="17"/>
      <c r="H24" s="23" t="s">
        <v>81</v>
      </c>
      <c r="I24" s="30" t="s">
        <v>82</v>
      </c>
      <c r="L24" s="3"/>
      <c r="M24" s="4"/>
      <c r="N24" s="4"/>
      <c r="O24" s="4"/>
    </row>
    <row r="25" spans="3:15" s="1" customFormat="1" ht="15">
      <c r="C25" s="2"/>
      <c r="E25" s="18">
        <f>IF(SUM(F2:F23)&gt;300000,"Скидка 4%",IF(SUM(F2:F23)&gt;200000,"Скидка 3%",IF(SUM(F2:F23)&gt;100000,"Скидка 2%","")))</f>
      </c>
      <c r="F25" s="12">
        <f>IF(SUM(F2:F23)&gt;300000,-SUM(F2:F23)*4%,IF(SUM(F2:F23)&gt;200000,-SUM(F2:F23)*3%,IF(SUM(F2:F23)&gt;100000,-SUM(F2:F23)*2%,"")))</f>
      </c>
      <c r="H25" s="23" t="s">
        <v>79</v>
      </c>
      <c r="I25" s="31" t="s">
        <v>77</v>
      </c>
      <c r="L25" s="3"/>
      <c r="M25" s="4"/>
      <c r="N25" s="4"/>
      <c r="O25" s="4"/>
    </row>
    <row r="26" spans="2:15" s="1" customFormat="1" ht="15">
      <c r="B26" s="2"/>
      <c r="C26" s="2"/>
      <c r="D26" s="2"/>
      <c r="E26" s="33">
        <f>IF(SUM(F2:F23)&gt;0,"Итого:","")</f>
      </c>
      <c r="F26" s="34">
        <f>SUM(F2:F25)</f>
        <v>0</v>
      </c>
      <c r="G26" s="35">
        <f>IF(F26&gt;0,"драм","")</f>
      </c>
      <c r="H26" s="24" t="s">
        <v>83</v>
      </c>
      <c r="I26" s="32" t="s">
        <v>84</v>
      </c>
      <c r="L26" s="3"/>
      <c r="M26" s="4"/>
      <c r="N26" s="4"/>
      <c r="O26" s="4"/>
    </row>
    <row r="27" spans="3:15" s="1" customFormat="1" ht="15">
      <c r="C27" s="2"/>
      <c r="F27" s="2"/>
      <c r="L27" s="3"/>
      <c r="M27" s="4"/>
      <c r="N27" s="4"/>
      <c r="O27" s="4"/>
    </row>
    <row r="28" spans="2:15" s="2" customFormat="1" ht="15">
      <c r="B28" s="1"/>
      <c r="D28" s="1"/>
      <c r="E28" s="1"/>
      <c r="G28" s="1"/>
      <c r="L28" s="8"/>
      <c r="M28" s="9"/>
      <c r="N28" s="9"/>
      <c r="O28" s="9"/>
    </row>
  </sheetData>
  <sheetProtection/>
  <mergeCells count="2">
    <mergeCell ref="H22:I22"/>
    <mergeCell ref="H11:I20"/>
  </mergeCells>
  <conditionalFormatting sqref="C2">
    <cfRule type="expression" priority="3" dxfId="2" stopIfTrue="1">
      <formula>E2&gt;0</formula>
    </cfRule>
  </conditionalFormatting>
  <conditionalFormatting sqref="C3:C23">
    <cfRule type="expression" priority="1" dxfId="2" stopIfTrue="1">
      <formula>E3&gt;0</formula>
    </cfRule>
  </conditionalFormatting>
  <hyperlinks>
    <hyperlink ref="I25" r:id="rId1" display="www.smartcomplex.am"/>
    <hyperlink ref="I26" r:id="rId2" display="info@smartcomplex.am"/>
  </hyperlinks>
  <printOptions/>
  <pageMargins left="0.7" right="0.7" top="0.75" bottom="0.75" header="0.3" footer="0.3"/>
  <pageSetup horizontalDpi="600" verticalDpi="600" orientation="portrait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Vahan</dc:creator>
  <cp:keywords/>
  <dc:description/>
  <cp:lastModifiedBy>Vahan</cp:lastModifiedBy>
  <dcterms:created xsi:type="dcterms:W3CDTF">2019-07-16T07:18:20Z</dcterms:created>
  <dcterms:modified xsi:type="dcterms:W3CDTF">2019-07-17T11:44:26Z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