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100" activeTab="0"/>
  </bookViews>
  <sheets>
    <sheet name="Форма 4" sheetId="1" r:id="rId1"/>
  </sheets>
  <definedNames>
    <definedName name="_xlnm.Print_Area" localSheetId="0">'Форма 4'!$A:$H</definedName>
  </definedNames>
  <calcPr fullCalcOnLoad="1"/>
</workbook>
</file>

<file path=xl/comments1.xml><?xml version="1.0" encoding="utf-8"?>
<comments xmlns="http://schemas.openxmlformats.org/spreadsheetml/2006/main">
  <authors>
    <author>Админ</author>
  </authors>
  <commentList>
    <comment ref="I16" authorId="0">
      <text>
        <r>
          <rPr>
            <b/>
            <sz val="8"/>
            <rFont val="Tahoma"/>
            <family val="0"/>
          </rPr>
          <t>&lt;Итого по расчету тыс.руб.&gt;</t>
        </r>
      </text>
    </comment>
    <comment ref="I17" authorId="0">
      <text>
        <r>
          <rPr>
            <b/>
            <sz val="8"/>
            <rFont val="Tahoma"/>
            <family val="0"/>
          </rPr>
          <t>&lt;Трудоемкость тыс.чел.ч&gt;</t>
        </r>
      </text>
    </comment>
    <comment ref="I18" authorId="0">
      <text>
        <r>
          <rPr>
            <b/>
            <sz val="8"/>
            <rFont val="Tahoma"/>
            <family val="0"/>
          </rPr>
          <t>&lt;Сметная ЗП тыс.руб.&gt;</t>
        </r>
      </text>
    </comment>
    <comment ref="C9" authorId="0">
      <text>
        <r>
          <rPr>
            <b/>
            <sz val="8"/>
            <rFont val="Tahoma"/>
            <family val="0"/>
          </rPr>
          <t>&lt;Локальная Название&gt;</t>
        </r>
      </text>
    </comment>
    <comment ref="B2" authorId="0">
      <text>
        <r>
          <rPr>
            <b/>
            <sz val="8"/>
            <rFont val="Tahoma"/>
            <family val="0"/>
          </rPr>
          <t>&lt;Стройка&gt;</t>
        </r>
      </text>
    </comment>
    <comment ref="B3" authorId="0">
      <text>
        <r>
          <rPr>
            <b/>
            <sz val="8"/>
            <rFont val="Tahoma"/>
            <family val="0"/>
          </rPr>
          <t>&lt;Объект&gt;</t>
        </r>
      </text>
    </comment>
    <comment ref="B4" authorId="0">
      <text>
        <r>
          <rPr>
            <b/>
            <sz val="8"/>
            <rFont val="Tahoma"/>
            <family val="0"/>
          </rPr>
          <t>&lt;Заказчик&gt;</t>
        </r>
      </text>
    </comment>
    <comment ref="B5" authorId="0">
      <text>
        <r>
          <rPr>
            <b/>
            <sz val="8"/>
            <rFont val="Tahoma"/>
            <family val="0"/>
          </rPr>
          <t>&lt;Подрядчик&gt;</t>
        </r>
      </text>
    </comment>
  </commentList>
</comments>
</file>

<file path=xl/sharedStrings.xml><?xml version="1.0" encoding="utf-8"?>
<sst xmlns="http://schemas.openxmlformats.org/spreadsheetml/2006/main" count="256" uniqueCount="172">
  <si>
    <t>ЛОКАЛЬНАЯ СМЕТА</t>
  </si>
  <si>
    <t>Стоим. ед., руб.</t>
  </si>
  <si>
    <t>Общая стоимость, руб.</t>
  </si>
  <si>
    <t>всего</t>
  </si>
  <si>
    <t>экс. маш.</t>
  </si>
  <si>
    <t>Сметная стоимость:</t>
  </si>
  <si>
    <t>Сметная заработная плата:</t>
  </si>
  <si>
    <t>№ поз</t>
  </si>
  <si>
    <t>Шифр и № позиции норматива, Наименование работ и затрат, Единица измерения</t>
  </si>
  <si>
    <t>Количе-ство</t>
  </si>
  <si>
    <t>оплата труда осн. раб.</t>
  </si>
  <si>
    <t>в т.ч. опл. труда мех.</t>
  </si>
  <si>
    <t>К2 - коэффициент пересчета основной заработной платы;</t>
  </si>
  <si>
    <t>К3 - коэффициент пересчета эксплуатации строительных машин;</t>
  </si>
  <si>
    <t>К4 - в т.ч. оплата механизаторов;</t>
  </si>
  <si>
    <t>К5 - коэффициент пересчета стоимости материалов.</t>
  </si>
  <si>
    <t>К6 - коэффициент пересчета стоимости оборудования.</t>
  </si>
  <si>
    <t>тыс. руб.</t>
  </si>
  <si>
    <t>Hормативная трудоемкость:</t>
  </si>
  <si>
    <t>тыс.чел.ч</t>
  </si>
  <si>
    <t>на общестроительные работы</t>
  </si>
  <si>
    <t>150294,038</t>
  </si>
  <si>
    <t>224,234</t>
  </si>
  <si>
    <t>23226,522</t>
  </si>
  <si>
    <t>1.</t>
  </si>
  <si>
    <t>Разработка котлованов под установки</t>
  </si>
  <si>
    <t>2.</t>
  </si>
  <si>
    <t>Е01-01-014-6</t>
  </si>
  <si>
    <t>Разработка грунта с погрузкой на автомобили-самосвалы экскаваторами с ковшом вместимостью 0,25 м3, группа грунтов: 3, 1000 м3</t>
  </si>
  <si>
    <t>- К2 = 6,23; К3 = 2,81; К5 = 3,05</t>
  </si>
  <si>
    <t xml:space="preserve">Поправки: ОЗП: *1,15*1,15; ЭМ: *1,15*1,25; ЗПМ: *1,15*1,25; </t>
  </si>
  <si>
    <t>3.</t>
  </si>
  <si>
    <t>Е01-02-055-8</t>
  </si>
  <si>
    <t>Разработка грунта вручную с креплениями в траншеях шириной до 2 м, глубиной до 3 м, группа грунтов: 2, 100 м3</t>
  </si>
  <si>
    <t>4.</t>
  </si>
  <si>
    <t>Е01-02-057-2</t>
  </si>
  <si>
    <t>Доработка грунта вручную, 100 м3</t>
  </si>
  <si>
    <t>5.</t>
  </si>
  <si>
    <t>Е01-02-068-2</t>
  </si>
  <si>
    <t>Водоотлив из котлованов, 100 м3</t>
  </si>
  <si>
    <t>6.</t>
  </si>
  <si>
    <t>Х403-1-20</t>
  </si>
  <si>
    <t>Вывоз лишнего грунта на расстояние 20 км. (класс груза 1), т</t>
  </si>
  <si>
    <t>- К2 = 6,23; К3 = 2,81; К5 = 2,9</t>
  </si>
  <si>
    <t>7.</t>
  </si>
  <si>
    <t>Демонтажные работы</t>
  </si>
  <si>
    <t>8.</t>
  </si>
  <si>
    <t>Е66-26-6</t>
  </si>
  <si>
    <t>Демонтаж задвижек диаметром до 400 мм, шт.</t>
  </si>
  <si>
    <t xml:space="preserve">Поправки: ОЗП: *1,15; ЭМ: *1,15; ЗПМ: *1,15; </t>
  </si>
  <si>
    <t>9.</t>
  </si>
  <si>
    <t>Е66-26-5</t>
  </si>
  <si>
    <t>Демонтаж задвижек диаметром до 300 мм, шт.</t>
  </si>
  <si>
    <t>10.</t>
  </si>
  <si>
    <t>Е66-26-4</t>
  </si>
  <si>
    <t>Демонтаж задвижек диаметром до 200 мм, шт.</t>
  </si>
  <si>
    <t>11.</t>
  </si>
  <si>
    <t>Е66-26-3</t>
  </si>
  <si>
    <t>Демонтаж задвижек диаметром до 150 мм, шт.</t>
  </si>
  <si>
    <t>12.</t>
  </si>
  <si>
    <t>Сантехнические работы</t>
  </si>
  <si>
    <t>13.</t>
  </si>
  <si>
    <t>Е52-11-3</t>
  </si>
  <si>
    <t>Водоотлив слитой воды  электрическими (механическими) насосами, 100 м3</t>
  </si>
  <si>
    <t>14.</t>
  </si>
  <si>
    <t>Е66-31-14</t>
  </si>
  <si>
    <t>Бестраншейная замена труб полиэтиленовыми трубами с изменением диаметра с dу 400 мм на dн 400 мм, 100 м</t>
  </si>
  <si>
    <t xml:space="preserve">Вычт.ресурсы: C530-0059 :[M-(180673,5=17207*10,5)]; </t>
  </si>
  <si>
    <t>15.</t>
  </si>
  <si>
    <t>Стоимость</t>
  </si>
  <si>
    <t>Труба ПЭ 100PN10  d400*23.7 Wavin, м</t>
  </si>
  <si>
    <t>- К2 = 1; К3 = 1; К5 = 1</t>
  </si>
  <si>
    <t>16.</t>
  </si>
  <si>
    <t>Е66-31-10</t>
  </si>
  <si>
    <t>Бестраншейная замена труб полиэтиленовыми трубами с изменением диаметра с dу 300 мм на dн 315 мм, 100 м</t>
  </si>
  <si>
    <t xml:space="preserve">Вычт.ресурсы: C530-0057 :[M-(110313=10506*10,5)]; </t>
  </si>
  <si>
    <t>17.</t>
  </si>
  <si>
    <t>Труба ПЭ 100PN10  d315*18.7 Wavin, м</t>
  </si>
  <si>
    <t>18.</t>
  </si>
  <si>
    <t>Е66-31-8</t>
  </si>
  <si>
    <t>Бестраншейная замена труб полиэтиленовыми трубами с изменением диаметра с dу 250 мм на dн 250 мм, 100 м</t>
  </si>
  <si>
    <t xml:space="preserve">Вычт.ресурсы: C530-0055 :[M-(70120,05=6678,1*10,5)]; </t>
  </si>
  <si>
    <t>19.</t>
  </si>
  <si>
    <t>Труба ПЭ 100 PN 10 d250*11,9, м</t>
  </si>
  <si>
    <t>20.</t>
  </si>
  <si>
    <t>Е66-31-6</t>
  </si>
  <si>
    <t>Бестраншейная замена труб полиэтиленовыми трубами с изменением диаметра с dу 200 мм на dн 225 мм, 100 м</t>
  </si>
  <si>
    <t xml:space="preserve">Вычт.ресурсы: C530-0054 :[M-(64902,6=6181,2*10,5)]; </t>
  </si>
  <si>
    <t>21.</t>
  </si>
  <si>
    <t>Труба ПЭ 100 PN 10 d200*11,9, м</t>
  </si>
  <si>
    <t>22.</t>
  </si>
  <si>
    <t>Е66-31-4</t>
  </si>
  <si>
    <t>Бестраншейная замена труб полиэтиленовыми трубами с изменением диаметра с dу 150 мм на 180 мм, 100 м</t>
  </si>
  <si>
    <t xml:space="preserve">Вычт.ресурсы: C530-0052 :[M-(36207,15=3448,3*10,5)]; </t>
  </si>
  <si>
    <t>23.</t>
  </si>
  <si>
    <t>Труба ПЭ 100 PN 10 d160*9,5, м</t>
  </si>
  <si>
    <t>24.</t>
  </si>
  <si>
    <t>Е66-27-3</t>
  </si>
  <si>
    <t>Промывка трубопроводов диаметром до 450 мм, 100 м</t>
  </si>
  <si>
    <t>25.</t>
  </si>
  <si>
    <t>Е66-27-2</t>
  </si>
  <si>
    <t>Промывка трубопроводов диаметром до 300 мм, 100 м</t>
  </si>
  <si>
    <t>26.</t>
  </si>
  <si>
    <t>Е66-27-1</t>
  </si>
  <si>
    <t>Промывка трубопроводов диаметром до 150 мм, 100 м</t>
  </si>
  <si>
    <t>27.</t>
  </si>
  <si>
    <t>Е22-04-001-2</t>
  </si>
  <si>
    <t>Устройство круглых колодцев из сборного железобетона в грунтах мокрых, 10 м3</t>
  </si>
  <si>
    <t>28.</t>
  </si>
  <si>
    <t>Люк канализационный круглый DN 600 А15-5т ОР-600, шт.</t>
  </si>
  <si>
    <t>29.</t>
  </si>
  <si>
    <t>Устройство камер водопроводных, 10 м3</t>
  </si>
  <si>
    <t>30.</t>
  </si>
  <si>
    <t>31.</t>
  </si>
  <si>
    <t>Е22-03-007-7</t>
  </si>
  <si>
    <t>Установка задвижек или клапанов обратных стальных диаметром 400 мм, шт.</t>
  </si>
  <si>
    <t xml:space="preserve">Вычт.ресурсы: C300-1717 :[M-(10806=10806*1)]; </t>
  </si>
  <si>
    <t>32.</t>
  </si>
  <si>
    <t>Задвижка фланцевая короткая DN 400 PN10  Belgicast, шт.</t>
  </si>
  <si>
    <t>33.</t>
  </si>
  <si>
    <t>Е22-03-007-6</t>
  </si>
  <si>
    <t>Установка задвижек или клапанов обратных стальных диаметром 300 мм, шт.</t>
  </si>
  <si>
    <t xml:space="preserve">Вычт.ресурсы: C300-1716 :[M-(7316,5=7316,5*1)]; </t>
  </si>
  <si>
    <t>34.</t>
  </si>
  <si>
    <t>Задвижка фланцевая короткая DN 300 PN10  Belgicast, шт.</t>
  </si>
  <si>
    <t>35.</t>
  </si>
  <si>
    <t>Е22-03-007-5</t>
  </si>
  <si>
    <t>Установка задвижек или клапанов обратных стальных диаметром 250 мм, шт.</t>
  </si>
  <si>
    <t xml:space="preserve">Вычт.ресурсы: C300-1715 :[M-(6170,8=6170,8*1)]; </t>
  </si>
  <si>
    <t>36.</t>
  </si>
  <si>
    <t>Задвижка фланцевая короткая DN 250 PN10  Belgicast, шт.</t>
  </si>
  <si>
    <t>37.</t>
  </si>
  <si>
    <t>Е22-03-007-4</t>
  </si>
  <si>
    <t>Установка задвижек или клапанов обратных стальных диаметром 200 мм, шт.</t>
  </si>
  <si>
    <t xml:space="preserve">Вычт.ресурсы: C300-1714 :[M-(5689,1=5689,1*1)]; </t>
  </si>
  <si>
    <t>38.</t>
  </si>
  <si>
    <t>Задвижка фланцевая короткая DN 200 PN10  Belgicast, шт.</t>
  </si>
  <si>
    <t>39.</t>
  </si>
  <si>
    <t>Е22-03-007-3</t>
  </si>
  <si>
    <t>Установка задвижек или клапанов обратных стальных диаметром 150 мм, шт.</t>
  </si>
  <si>
    <t xml:space="preserve">Вычт.ресурсы: C300-1713 :[M-(3800=3800*1)]; </t>
  </si>
  <si>
    <t>40.</t>
  </si>
  <si>
    <t>Задвижка фланцевая короткая DN 150 PN10  Belgicast, шт.</t>
  </si>
  <si>
    <t>41.</t>
  </si>
  <si>
    <t>Е22-03-011-3</t>
  </si>
  <si>
    <t>Установка гидрантов пожарных, шт.</t>
  </si>
  <si>
    <t xml:space="preserve">Вычт.ресурсы: C300-1113 :[M-(2409,6=2409,6*1)]; </t>
  </si>
  <si>
    <t>42.</t>
  </si>
  <si>
    <t>Гидрант, шт.</t>
  </si>
  <si>
    <t>43.</t>
  </si>
  <si>
    <t>Е66-28-1</t>
  </si>
  <si>
    <t>Телевизионное инспекционное обследование трубопровода после промывки с одновременной сушкой диаметром до 150 мм, 100 м</t>
  </si>
  <si>
    <t>44.</t>
  </si>
  <si>
    <t>Е66-28-2</t>
  </si>
  <si>
    <t>Телевизионное инспекционное обследование трубопровода после промывки с одновременной сушкой диаметром до 300 мм, 100 м</t>
  </si>
  <si>
    <t>45.</t>
  </si>
  <si>
    <t>Е66-28-3</t>
  </si>
  <si>
    <t>Телевизионное инспекционное обследование трубопровода после промывки с одновременной сушкой диаметром до 450 мм, 100 м</t>
  </si>
  <si>
    <t>.  ИТОГО</t>
  </si>
  <si>
    <t>.   СТОИМОСТЬ ОБЩЕСТРОИТЕЛЬНЫХ РАБОТ</t>
  </si>
  <si>
    <t>.  НАКЛАДНЫЕ РАСХОДЫ -  ( % = 101,52 по стр. 14, 16, 18, 20, 22, 24-26, 43-45; % = 122,2 по стр. 27, 29, 31, 33, 35, 37, 39, 41; % = 87,42 по стр. 13; % = 89,3 по стр. 2; % = 75,2 по стр. 3-5; % = 69,56 по стр. 8-11)</t>
  </si>
  <si>
    <t>.  СМЕТНАЯ ПРИБЫЛЬ -  ( % = 68 по стр. 14, 16, 18, 20, 22, 24-26, 43-45; % = 75,65 по стр. 27, 29, 31, 33, 35, 37, 39, 41; % = 75 по стр. 13; % = 42,5 по стр. 2; % = 38,25 по стр. 3-5; % = 50 по стр. 8-11)</t>
  </si>
  <si>
    <t>ВСЕГО, СТОИМОСТЬ ОБЩЕСТРОИТЕЛЬНЫХ РАБОТ</t>
  </si>
  <si>
    <t>.   МАТЕРИАЛОВ</t>
  </si>
  <si>
    <t>ВСЕГО, МАТЕРИАЛОВ</t>
  </si>
  <si>
    <t>Всего по смете</t>
  </si>
  <si>
    <t xml:space="preserve">Составил:   </t>
  </si>
  <si>
    <t xml:space="preserve">Проверил:   </t>
  </si>
  <si>
    <t xml:space="preserve">      Стройка:</t>
  </si>
  <si>
    <t xml:space="preserve">       Объект: </t>
  </si>
  <si>
    <t xml:space="preserve">   Заказчик: </t>
  </si>
  <si>
    <t>Подрядчик: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</si>
</sst>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8"/>
      <name val="Arial Cyr"/>
      <family val="0"/>
    </font>
    <font>
      <b/>
      <sz val="8"/>
      <name val="Tahoma"/>
      <family val="0"/>
    </font>
    <font>
      <sz val="8"/>
      <name val="Verdana"/>
      <family val="2"/>
    </font>
    <font>
      <b/>
      <sz val="8"/>
      <name val="Verdana"/>
      <family val="2"/>
    </font>
    <font>
      <u val="single"/>
      <sz val="8"/>
      <name val="Verdana"/>
      <family val="2"/>
    </font>
    <font>
      <i/>
      <sz val="8"/>
      <name val="Verdana"/>
      <family val="2"/>
    </font>
    <font>
      <b/>
      <u val="single"/>
      <sz val="8"/>
      <name val="Verdan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3" fillId="0" borderId="1" xfId="0" applyNumberFormat="1" applyFont="1" applyAlignment="1">
      <alignment horizontal="center" vertical="center" wrapText="1"/>
    </xf>
    <xf numFmtId="0" fontId="3" fillId="0" borderId="2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right" vertical="top" wrapText="1"/>
    </xf>
    <xf numFmtId="0" fontId="3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 vertical="top"/>
    </xf>
    <xf numFmtId="0" fontId="4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 wrapText="1"/>
    </xf>
    <xf numFmtId="0" fontId="4" fillId="0" borderId="0" xfId="0" applyNumberFormat="1" applyFont="1" applyAlignment="1" quotePrefix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4" fontId="5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3" fillId="0" borderId="3" xfId="0" applyFont="1" applyBorder="1" applyAlignment="1">
      <alignment/>
    </xf>
    <xf numFmtId="4" fontId="4" fillId="0" borderId="0" xfId="0" applyNumberFormat="1" applyFont="1" applyAlignment="1">
      <alignment horizontal="right" vertical="top"/>
    </xf>
    <xf numFmtId="0" fontId="4" fillId="0" borderId="0" xfId="0" applyFont="1" applyAlignment="1">
      <alignment horizontal="left" vertical="top"/>
    </xf>
    <xf numFmtId="4" fontId="7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 quotePrefix="1">
      <alignment horizontal="right" vertical="top"/>
    </xf>
    <xf numFmtId="0" fontId="3" fillId="0" borderId="0" xfId="0" applyFont="1" applyAlignment="1">
      <alignment horizontal="right" vertical="top"/>
    </xf>
    <xf numFmtId="4" fontId="3" fillId="0" borderId="0" xfId="0" applyNumberFormat="1" applyFont="1" applyAlignment="1">
      <alignment horizontal="right" vertical="top"/>
    </xf>
    <xf numFmtId="4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 wrapText="1"/>
    </xf>
    <xf numFmtId="0" fontId="3" fillId="0" borderId="4" xfId="0" applyNumberFormat="1" applyFont="1" applyAlignment="1">
      <alignment horizontal="center" vertical="top" wrapText="1"/>
    </xf>
    <xf numFmtId="0" fontId="3" fillId="0" borderId="5" xfId="0" applyNumberFormat="1" applyFont="1" applyAlignment="1">
      <alignment horizontal="center" vertical="top" wrapText="1"/>
    </xf>
    <xf numFmtId="0" fontId="3" fillId="0" borderId="6" xfId="0" applyNumberFormat="1" applyFont="1" applyAlignment="1">
      <alignment horizontal="center" vertical="center" wrapText="1"/>
    </xf>
    <xf numFmtId="0" fontId="3" fillId="0" borderId="7" xfId="0" applyNumberFormat="1" applyFont="1" applyAlignment="1">
      <alignment horizontal="center" vertical="center" wrapText="1"/>
    </xf>
    <xf numFmtId="0" fontId="3" fillId="0" borderId="8" xfId="0" applyNumberFormat="1" applyFont="1" applyAlignment="1">
      <alignment horizontal="center" vertical="center" wrapText="1"/>
    </xf>
    <xf numFmtId="0" fontId="3" fillId="0" borderId="9" xfId="0" applyNumberFormat="1" applyFont="1" applyAlignment="1">
      <alignment horizontal="center" vertical="center" wrapText="1"/>
    </xf>
    <xf numFmtId="0" fontId="3" fillId="0" borderId="10" xfId="0" applyNumberFormat="1" applyFont="1" applyAlignment="1">
      <alignment horizontal="center" vertical="center" wrapText="1"/>
    </xf>
    <xf numFmtId="0" fontId="3" fillId="0" borderId="11" xfId="0" applyNumberFormat="1" applyFont="1" applyAlignment="1">
      <alignment horizontal="center" vertical="center" wrapText="1"/>
    </xf>
    <xf numFmtId="0" fontId="3" fillId="0" borderId="12" xfId="0" applyNumberFormat="1" applyFont="1" applyAlignment="1">
      <alignment horizontal="center" vertical="center" wrapText="1"/>
    </xf>
    <xf numFmtId="0" fontId="3" fillId="0" borderId="13" xfId="0" applyNumberFormat="1" applyFont="1" applyAlignment="1">
      <alignment horizontal="center" vertical="center" wrapText="1"/>
    </xf>
    <xf numFmtId="0" fontId="3" fillId="0" borderId="14" xfId="0" applyNumberFormat="1" applyFont="1" applyAlignment="1">
      <alignment horizontal="center" vertical="center" wrapText="1"/>
    </xf>
    <xf numFmtId="0" fontId="3" fillId="0" borderId="15" xfId="0" applyNumberFormat="1" applyFont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52"/>
  <sheetViews>
    <sheetView tabSelected="1" zoomScaleSheetLayoutView="85" workbookViewId="0" topLeftCell="A1">
      <selection activeCell="B9" sqref="B9"/>
    </sheetView>
  </sheetViews>
  <sheetFormatPr defaultColWidth="9.00390625" defaultRowHeight="12.75"/>
  <cols>
    <col min="1" max="1" width="4.125" style="1" customWidth="1"/>
    <col min="2" max="2" width="63.125" style="1" customWidth="1"/>
    <col min="3" max="3" width="9.375" style="1" customWidth="1"/>
    <col min="4" max="5" width="12.00390625" style="1" customWidth="1"/>
    <col min="6" max="6" width="17.75390625" style="1" customWidth="1"/>
    <col min="7" max="7" width="12.00390625" style="1" customWidth="1"/>
    <col min="8" max="9" width="5.625" style="1" customWidth="1"/>
    <col min="10" max="16384" width="9.125" style="1" customWidth="1"/>
  </cols>
  <sheetData>
    <row r="1" ht="10.5"/>
    <row r="2" ht="10.5">
      <c r="B2" s="8" t="s">
        <v>168</v>
      </c>
    </row>
    <row r="3" ht="10.5">
      <c r="B3" s="8" t="s">
        <v>169</v>
      </c>
    </row>
    <row r="4" ht="10.5">
      <c r="B4" s="8" t="s">
        <v>170</v>
      </c>
    </row>
    <row r="5" ht="10.5">
      <c r="B5" s="3" t="s">
        <v>171</v>
      </c>
    </row>
    <row r="6" ht="10.5">
      <c r="B6" s="2"/>
    </row>
    <row r="7" spans="1:2" ht="10.5">
      <c r="A7" s="4"/>
      <c r="B7" s="5"/>
    </row>
    <row r="8" spans="2:8" ht="10.5">
      <c r="B8" s="6"/>
      <c r="C8" s="7" t="s">
        <v>0</v>
      </c>
      <c r="D8" s="6"/>
      <c r="E8" s="6"/>
      <c r="F8" s="6"/>
      <c r="G8" s="6"/>
      <c r="H8" s="6"/>
    </row>
    <row r="9" spans="1:8" ht="10.5">
      <c r="A9" s="6"/>
      <c r="B9" s="6"/>
      <c r="C9" s="7" t="s">
        <v>20</v>
      </c>
      <c r="D9" s="6"/>
      <c r="E9" s="6"/>
      <c r="F9" s="6"/>
      <c r="G9" s="6"/>
      <c r="H9" s="6"/>
    </row>
    <row r="10" ht="10.5"/>
    <row r="11" spans="1:10" ht="10.5">
      <c r="A11" s="11" t="s">
        <v>12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10.5">
      <c r="A12" s="11" t="s">
        <v>13</v>
      </c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0.5">
      <c r="A13" s="11" t="s">
        <v>14</v>
      </c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0.5">
      <c r="A14" s="11" t="s">
        <v>15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0.5">
      <c r="A15" s="11" t="s">
        <v>16</v>
      </c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0.5">
      <c r="A16" s="12"/>
      <c r="B16" s="12"/>
      <c r="C16" s="12"/>
      <c r="D16" s="12"/>
      <c r="F16" s="13" t="s">
        <v>5</v>
      </c>
      <c r="G16" s="15"/>
      <c r="H16" s="15"/>
      <c r="I16" s="17" t="s">
        <v>21</v>
      </c>
      <c r="J16" s="14" t="s">
        <v>17</v>
      </c>
    </row>
    <row r="17" spans="1:10" ht="10.5">
      <c r="A17" s="12"/>
      <c r="B17" s="12"/>
      <c r="C17" s="12"/>
      <c r="D17" s="12"/>
      <c r="F17" s="13" t="s">
        <v>18</v>
      </c>
      <c r="G17" s="15"/>
      <c r="H17" s="15"/>
      <c r="I17" s="17" t="s">
        <v>22</v>
      </c>
      <c r="J17" s="14" t="s">
        <v>19</v>
      </c>
    </row>
    <row r="18" spans="1:10" ht="10.5">
      <c r="A18" s="12"/>
      <c r="B18" s="12"/>
      <c r="C18" s="12"/>
      <c r="D18" s="12"/>
      <c r="F18" s="13" t="s">
        <v>6</v>
      </c>
      <c r="G18" s="15"/>
      <c r="H18" s="15"/>
      <c r="I18" s="17" t="s">
        <v>23</v>
      </c>
      <c r="J18" s="14" t="s">
        <v>17</v>
      </c>
    </row>
    <row r="19" spans="1:8" ht="10.5">
      <c r="A19" s="6"/>
      <c r="B19" s="6"/>
      <c r="C19" s="6"/>
      <c r="D19" s="6"/>
      <c r="E19" s="6"/>
      <c r="F19" s="6"/>
      <c r="G19" s="6"/>
      <c r="H19" s="6"/>
    </row>
    <row r="20" spans="1:8" ht="10.5">
      <c r="A20" s="16"/>
      <c r="B20" s="16"/>
      <c r="C20" s="16"/>
      <c r="D20" s="16"/>
      <c r="E20" s="16"/>
      <c r="F20" s="16"/>
      <c r="G20" s="16"/>
      <c r="H20" s="16"/>
    </row>
    <row r="21" spans="1:10" ht="15" customHeight="1">
      <c r="A21" s="41" t="s">
        <v>7</v>
      </c>
      <c r="B21" s="41" t="s">
        <v>8</v>
      </c>
      <c r="C21" s="41" t="s">
        <v>9</v>
      </c>
      <c r="D21" s="44" t="s">
        <v>1</v>
      </c>
      <c r="E21" s="45"/>
      <c r="F21" s="44" t="s">
        <v>2</v>
      </c>
      <c r="G21" s="46"/>
      <c r="H21" s="46"/>
      <c r="I21" s="46"/>
      <c r="J21" s="45"/>
    </row>
    <row r="22" spans="1:10" ht="13.5" customHeight="1">
      <c r="A22" s="42"/>
      <c r="B22" s="42"/>
      <c r="C22" s="42"/>
      <c r="D22" s="9" t="s">
        <v>3</v>
      </c>
      <c r="E22" s="9" t="s">
        <v>4</v>
      </c>
      <c r="F22" s="41" t="s">
        <v>3</v>
      </c>
      <c r="G22" s="47" t="s">
        <v>10</v>
      </c>
      <c r="H22" s="48"/>
      <c r="I22" s="44" t="s">
        <v>4</v>
      </c>
      <c r="J22" s="45"/>
    </row>
    <row r="23" spans="1:10" ht="21" customHeight="1" thickBot="1">
      <c r="A23" s="43"/>
      <c r="B23" s="43"/>
      <c r="C23" s="43"/>
      <c r="D23" s="9" t="s">
        <v>10</v>
      </c>
      <c r="E23" s="9" t="s">
        <v>11</v>
      </c>
      <c r="F23" s="43"/>
      <c r="G23" s="49"/>
      <c r="H23" s="50"/>
      <c r="I23" s="44" t="s">
        <v>11</v>
      </c>
      <c r="J23" s="45"/>
    </row>
    <row r="24" spans="1:10" ht="11.25" thickTop="1">
      <c r="A24" s="10">
        <v>1</v>
      </c>
      <c r="B24" s="10">
        <v>2</v>
      </c>
      <c r="C24" s="10">
        <v>3</v>
      </c>
      <c r="D24" s="10">
        <v>4</v>
      </c>
      <c r="E24" s="10">
        <v>5</v>
      </c>
      <c r="F24" s="10">
        <v>6</v>
      </c>
      <c r="G24" s="39">
        <v>7</v>
      </c>
      <c r="H24" s="40"/>
      <c r="I24" s="39">
        <v>8</v>
      </c>
      <c r="J24" s="40"/>
    </row>
    <row r="26" spans="1:9" ht="10.5">
      <c r="A26" s="33" t="s">
        <v>24</v>
      </c>
      <c r="B26" s="38" t="s">
        <v>25</v>
      </c>
      <c r="C26" s="31"/>
      <c r="D26" s="31"/>
      <c r="E26" s="31"/>
      <c r="F26" s="31"/>
      <c r="G26" s="31"/>
      <c r="H26" s="31"/>
      <c r="I26" s="31"/>
    </row>
    <row r="27" ht="10.5">
      <c r="A27" s="33"/>
    </row>
    <row r="28" spans="1:10" ht="10.5">
      <c r="A28" s="33" t="s">
        <v>26</v>
      </c>
      <c r="B28" s="19" t="s">
        <v>27</v>
      </c>
      <c r="C28" s="34">
        <f>ROUND(1.9244,5)</f>
        <v>1.9244</v>
      </c>
      <c r="D28" s="22">
        <f>ROUND(40734.88,2)</f>
        <v>40734.88</v>
      </c>
      <c r="E28" s="22">
        <f>ROUND(37724.81,2)</f>
        <v>37724.81</v>
      </c>
      <c r="F28" s="35">
        <f>ROUND(78390.2031,2)</f>
        <v>78390.2</v>
      </c>
      <c r="G28" s="36">
        <f>ROUND(5726.5498,2)</f>
        <v>5726.55</v>
      </c>
      <c r="H28" s="36"/>
      <c r="I28" s="37">
        <f>ROUND(72597.6172,2)</f>
        <v>72597.62</v>
      </c>
      <c r="J28" s="37"/>
    </row>
    <row r="29" spans="1:10" ht="31.5">
      <c r="A29" s="33"/>
      <c r="B29" s="19" t="s">
        <v>28</v>
      </c>
      <c r="C29" s="34"/>
      <c r="D29" s="23">
        <f>ROUND(2975.76,2)</f>
        <v>2975.76</v>
      </c>
      <c r="E29" s="22">
        <f>ROUND(14996.73,2)</f>
        <v>14996.73</v>
      </c>
      <c r="F29" s="35"/>
      <c r="G29" s="23"/>
      <c r="H29" s="23"/>
      <c r="I29" s="34">
        <f>ROUND(28859.7109,2)</f>
        <v>28859.71</v>
      </c>
      <c r="J29" s="34"/>
    </row>
    <row r="30" spans="2:10" ht="10.5">
      <c r="B30" s="31" t="s">
        <v>29</v>
      </c>
      <c r="C30" s="31"/>
      <c r="D30" s="31"/>
      <c r="E30" s="31"/>
      <c r="F30" s="31"/>
      <c r="G30" s="31"/>
      <c r="H30" s="31"/>
      <c r="I30" s="31"/>
      <c r="J30" s="31"/>
    </row>
    <row r="31" spans="2:10" ht="10.5">
      <c r="B31" s="32" t="s">
        <v>30</v>
      </c>
      <c r="C31" s="32"/>
      <c r="D31" s="32"/>
      <c r="E31" s="32"/>
      <c r="F31" s="32"/>
      <c r="G31" s="32"/>
      <c r="H31" s="32"/>
      <c r="I31" s="32"/>
      <c r="J31" s="32"/>
    </row>
    <row r="33" spans="1:10" ht="10.5">
      <c r="A33" s="33" t="s">
        <v>31</v>
      </c>
      <c r="B33" s="19" t="s">
        <v>32</v>
      </c>
      <c r="C33" s="34">
        <f>ROUND(0.9622,5)</f>
        <v>0.9622</v>
      </c>
      <c r="D33" s="22">
        <f>ROUND(19336.99,2)</f>
        <v>19336.99</v>
      </c>
      <c r="E33" s="22"/>
      <c r="F33" s="35">
        <f>ROUND(18606.0508,2)</f>
        <v>18606.05</v>
      </c>
      <c r="G33" s="36">
        <f>ROUND(18606.0508,2)</f>
        <v>18606.05</v>
      </c>
      <c r="H33" s="36"/>
      <c r="I33" s="37"/>
      <c r="J33" s="37"/>
    </row>
    <row r="34" spans="1:10" ht="21">
      <c r="A34" s="33"/>
      <c r="B34" s="19" t="s">
        <v>33</v>
      </c>
      <c r="C34" s="34"/>
      <c r="D34" s="23">
        <f>ROUND(19336.99,2)</f>
        <v>19336.99</v>
      </c>
      <c r="E34" s="22"/>
      <c r="F34" s="35"/>
      <c r="G34" s="23"/>
      <c r="H34" s="23"/>
      <c r="I34" s="34"/>
      <c r="J34" s="34"/>
    </row>
    <row r="35" spans="2:10" ht="10.5">
      <c r="B35" s="31" t="s">
        <v>29</v>
      </c>
      <c r="C35" s="31"/>
      <c r="D35" s="31"/>
      <c r="E35" s="31"/>
      <c r="F35" s="31"/>
      <c r="G35" s="31"/>
      <c r="H35" s="31"/>
      <c r="I35" s="31"/>
      <c r="J35" s="31"/>
    </row>
    <row r="36" spans="2:10" ht="10.5">
      <c r="B36" s="32" t="s">
        <v>30</v>
      </c>
      <c r="C36" s="32"/>
      <c r="D36" s="32"/>
      <c r="E36" s="32"/>
      <c r="F36" s="32"/>
      <c r="G36" s="32"/>
      <c r="H36" s="32"/>
      <c r="I36" s="32"/>
      <c r="J36" s="32"/>
    </row>
    <row r="38" spans="1:10" ht="10.5">
      <c r="A38" s="33" t="s">
        <v>34</v>
      </c>
      <c r="B38" s="19" t="s">
        <v>35</v>
      </c>
      <c r="C38" s="34">
        <f>ROUND(1.4433,5)</f>
        <v>1.4433</v>
      </c>
      <c r="D38" s="22">
        <f>ROUND(10505.96,2)</f>
        <v>10505.96</v>
      </c>
      <c r="E38" s="22"/>
      <c r="F38" s="35">
        <f>ROUND(15163.25,2)</f>
        <v>15163.25</v>
      </c>
      <c r="G38" s="36">
        <f>ROUND(15163.25,2)</f>
        <v>15163.25</v>
      </c>
      <c r="H38" s="36"/>
      <c r="I38" s="37"/>
      <c r="J38" s="37"/>
    </row>
    <row r="39" spans="1:10" ht="10.5">
      <c r="A39" s="33"/>
      <c r="B39" s="19" t="s">
        <v>36</v>
      </c>
      <c r="C39" s="34"/>
      <c r="D39" s="23">
        <f>ROUND(10505.96,2)</f>
        <v>10505.96</v>
      </c>
      <c r="E39" s="22"/>
      <c r="F39" s="35"/>
      <c r="G39" s="23"/>
      <c r="H39" s="23"/>
      <c r="I39" s="34"/>
      <c r="J39" s="34"/>
    </row>
    <row r="40" spans="2:10" ht="10.5">
      <c r="B40" s="31" t="s">
        <v>29</v>
      </c>
      <c r="C40" s="31"/>
      <c r="D40" s="31"/>
      <c r="E40" s="31"/>
      <c r="F40" s="31"/>
      <c r="G40" s="31"/>
      <c r="H40" s="31"/>
      <c r="I40" s="31"/>
      <c r="J40" s="31"/>
    </row>
    <row r="41" spans="2:10" ht="10.5">
      <c r="B41" s="32" t="s">
        <v>30</v>
      </c>
      <c r="C41" s="32"/>
      <c r="D41" s="32"/>
      <c r="E41" s="32"/>
      <c r="F41" s="32"/>
      <c r="G41" s="32"/>
      <c r="H41" s="32"/>
      <c r="I41" s="32"/>
      <c r="J41" s="32"/>
    </row>
    <row r="43" spans="1:10" ht="10.5">
      <c r="A43" s="33" t="s">
        <v>37</v>
      </c>
      <c r="B43" s="19" t="s">
        <v>38</v>
      </c>
      <c r="C43" s="34">
        <f>ROUND(5.7732,5)</f>
        <v>5.7732</v>
      </c>
      <c r="D43" s="22">
        <f>ROUND(11189.39,2)</f>
        <v>11189.39</v>
      </c>
      <c r="E43" s="22">
        <f>ROUND(11189.39,2)</f>
        <v>11189.39</v>
      </c>
      <c r="F43" s="35">
        <f>ROUND(64598.5898,2)</f>
        <v>64598.59</v>
      </c>
      <c r="G43" s="36"/>
      <c r="H43" s="36"/>
      <c r="I43" s="37">
        <f>ROUND(64598.5898,2)</f>
        <v>64598.59</v>
      </c>
      <c r="J43" s="37"/>
    </row>
    <row r="44" spans="1:10" ht="10.5">
      <c r="A44" s="33"/>
      <c r="B44" s="19" t="s">
        <v>39</v>
      </c>
      <c r="C44" s="34"/>
      <c r="D44" s="23"/>
      <c r="E44" s="22">
        <f>ROUND(11635.52,2)</f>
        <v>11635.52</v>
      </c>
      <c r="F44" s="35"/>
      <c r="G44" s="23"/>
      <c r="H44" s="23"/>
      <c r="I44" s="34">
        <f>ROUND(67174.1797,2)</f>
        <v>67174.18</v>
      </c>
      <c r="J44" s="34"/>
    </row>
    <row r="45" spans="2:10" ht="10.5">
      <c r="B45" s="31" t="s">
        <v>29</v>
      </c>
      <c r="C45" s="31"/>
      <c r="D45" s="31"/>
      <c r="E45" s="31"/>
      <c r="F45" s="31"/>
      <c r="G45" s="31"/>
      <c r="H45" s="31"/>
      <c r="I45" s="31"/>
      <c r="J45" s="31"/>
    </row>
    <row r="46" spans="2:10" ht="10.5">
      <c r="B46" s="32" t="s">
        <v>30</v>
      </c>
      <c r="C46" s="32"/>
      <c r="D46" s="32"/>
      <c r="E46" s="32"/>
      <c r="F46" s="32"/>
      <c r="G46" s="32"/>
      <c r="H46" s="32"/>
      <c r="I46" s="32"/>
      <c r="J46" s="32"/>
    </row>
    <row r="48" spans="1:10" ht="10.5">
      <c r="A48" s="33" t="s">
        <v>40</v>
      </c>
      <c r="B48" s="19" t="s">
        <v>41</v>
      </c>
      <c r="C48" s="34">
        <f>ROUND(4570.45,5)</f>
        <v>4570.45</v>
      </c>
      <c r="D48" s="22">
        <f>ROUND(98.66,2)</f>
        <v>98.66</v>
      </c>
      <c r="E48" s="22">
        <f>ROUND(98.66,2)</f>
        <v>98.66</v>
      </c>
      <c r="F48" s="35">
        <f>ROUND(450920.625,2)</f>
        <v>450920.63</v>
      </c>
      <c r="G48" s="36"/>
      <c r="H48" s="36"/>
      <c r="I48" s="37">
        <f>ROUND(450920.625,2)</f>
        <v>450920.63</v>
      </c>
      <c r="J48" s="37"/>
    </row>
    <row r="49" spans="1:10" ht="10.5">
      <c r="A49" s="33"/>
      <c r="B49" s="19" t="s">
        <v>42</v>
      </c>
      <c r="C49" s="34"/>
      <c r="D49" s="23"/>
      <c r="E49" s="22"/>
      <c r="F49" s="35"/>
      <c r="G49" s="23"/>
      <c r="H49" s="23"/>
      <c r="I49" s="34"/>
      <c r="J49" s="34"/>
    </row>
    <row r="50" spans="2:10" ht="10.5">
      <c r="B50" s="31" t="s">
        <v>43</v>
      </c>
      <c r="C50" s="31"/>
      <c r="D50" s="31"/>
      <c r="E50" s="31"/>
      <c r="F50" s="31"/>
      <c r="G50" s="31"/>
      <c r="H50" s="31"/>
      <c r="I50" s="31"/>
      <c r="J50" s="31"/>
    </row>
    <row r="52" spans="1:9" ht="10.5">
      <c r="A52" s="33" t="s">
        <v>44</v>
      </c>
      <c r="B52" s="38" t="s">
        <v>45</v>
      </c>
      <c r="C52" s="31"/>
      <c r="D52" s="31"/>
      <c r="E52" s="31"/>
      <c r="F52" s="31"/>
      <c r="G52" s="31"/>
      <c r="H52" s="31"/>
      <c r="I52" s="31"/>
    </row>
    <row r="53" ht="10.5">
      <c r="A53" s="33"/>
    </row>
    <row r="54" spans="1:10" ht="10.5">
      <c r="A54" s="33" t="s">
        <v>46</v>
      </c>
      <c r="B54" s="19" t="s">
        <v>47</v>
      </c>
      <c r="C54" s="34">
        <f>ROUND(16,5)</f>
        <v>16</v>
      </c>
      <c r="D54" s="22">
        <f>ROUND(894.95,2)</f>
        <v>894.95</v>
      </c>
      <c r="E54" s="22">
        <f>ROUND(513.86,2)</f>
        <v>513.86</v>
      </c>
      <c r="F54" s="35">
        <f>ROUND(14319.2002,2)</f>
        <v>14319.2</v>
      </c>
      <c r="G54" s="36">
        <f>ROUND(6097.4399,2)</f>
        <v>6097.44</v>
      </c>
      <c r="H54" s="36"/>
      <c r="I54" s="37">
        <f>ROUND(8221.7598,2)</f>
        <v>8221.76</v>
      </c>
      <c r="J54" s="37"/>
    </row>
    <row r="55" spans="1:10" ht="10.5">
      <c r="A55" s="33"/>
      <c r="B55" s="19" t="s">
        <v>48</v>
      </c>
      <c r="C55" s="34"/>
      <c r="D55" s="23">
        <f>ROUND(381.09,2)</f>
        <v>381.09</v>
      </c>
      <c r="E55" s="22">
        <f>ROUND(140.42,2)</f>
        <v>140.42</v>
      </c>
      <c r="F55" s="35"/>
      <c r="G55" s="23"/>
      <c r="H55" s="23"/>
      <c r="I55" s="34">
        <f>ROUND(2246.72,2)</f>
        <v>2246.72</v>
      </c>
      <c r="J55" s="34"/>
    </row>
    <row r="56" spans="2:10" ht="10.5">
      <c r="B56" s="31" t="s">
        <v>29</v>
      </c>
      <c r="C56" s="31"/>
      <c r="D56" s="31"/>
      <c r="E56" s="31"/>
      <c r="F56" s="31"/>
      <c r="G56" s="31"/>
      <c r="H56" s="31"/>
      <c r="I56" s="31"/>
      <c r="J56" s="31"/>
    </row>
    <row r="57" spans="2:10" ht="10.5">
      <c r="B57" s="32" t="s">
        <v>49</v>
      </c>
      <c r="C57" s="32"/>
      <c r="D57" s="32"/>
      <c r="E57" s="32"/>
      <c r="F57" s="32"/>
      <c r="G57" s="32"/>
      <c r="H57" s="32"/>
      <c r="I57" s="32"/>
      <c r="J57" s="32"/>
    </row>
    <row r="59" spans="1:10" ht="10.5">
      <c r="A59" s="33" t="s">
        <v>50</v>
      </c>
      <c r="B59" s="19" t="s">
        <v>51</v>
      </c>
      <c r="C59" s="34">
        <f>ROUND(44,5)</f>
        <v>44</v>
      </c>
      <c r="D59" s="22">
        <f>ROUND(618.55,2)</f>
        <v>618.55</v>
      </c>
      <c r="E59" s="22">
        <f>ROUND(403.68,2)</f>
        <v>403.68</v>
      </c>
      <c r="F59" s="35">
        <f>ROUND(27216.1992,2)</f>
        <v>27216.2</v>
      </c>
      <c r="G59" s="36">
        <f>ROUND(9454.2803,2)</f>
        <v>9454.28</v>
      </c>
      <c r="H59" s="36"/>
      <c r="I59" s="37">
        <f>ROUND(17761.9199,2)</f>
        <v>17761.92</v>
      </c>
      <c r="J59" s="37"/>
    </row>
    <row r="60" spans="1:10" ht="10.5">
      <c r="A60" s="33"/>
      <c r="B60" s="19" t="s">
        <v>52</v>
      </c>
      <c r="C60" s="34"/>
      <c r="D60" s="23">
        <f>ROUND(214.87,2)</f>
        <v>214.87</v>
      </c>
      <c r="E60" s="22">
        <f>ROUND(108.03,2)</f>
        <v>108.03</v>
      </c>
      <c r="F60" s="35"/>
      <c r="G60" s="23"/>
      <c r="H60" s="23"/>
      <c r="I60" s="34">
        <f>ROUND(4753.3198,2)</f>
        <v>4753.32</v>
      </c>
      <c r="J60" s="34"/>
    </row>
    <row r="61" spans="2:10" ht="10.5">
      <c r="B61" s="31" t="s">
        <v>29</v>
      </c>
      <c r="C61" s="31"/>
      <c r="D61" s="31"/>
      <c r="E61" s="31"/>
      <c r="F61" s="31"/>
      <c r="G61" s="31"/>
      <c r="H61" s="31"/>
      <c r="I61" s="31"/>
      <c r="J61" s="31"/>
    </row>
    <row r="62" spans="2:10" ht="10.5">
      <c r="B62" s="32" t="s">
        <v>49</v>
      </c>
      <c r="C62" s="32"/>
      <c r="D62" s="32"/>
      <c r="E62" s="32"/>
      <c r="F62" s="32"/>
      <c r="G62" s="32"/>
      <c r="H62" s="32"/>
      <c r="I62" s="32"/>
      <c r="J62" s="32"/>
    </row>
    <row r="64" spans="1:10" ht="10.5">
      <c r="A64" s="33" t="s">
        <v>53</v>
      </c>
      <c r="B64" s="19" t="s">
        <v>54</v>
      </c>
      <c r="C64" s="34">
        <f>ROUND(72,5)</f>
        <v>72</v>
      </c>
      <c r="D64" s="22">
        <f>ROUND(333.2,2)</f>
        <v>333.2</v>
      </c>
      <c r="E64" s="22">
        <f>ROUND(172.22,2)</f>
        <v>172.22</v>
      </c>
      <c r="F64" s="35">
        <f>ROUND(23990.4004,2)</f>
        <v>23990.4</v>
      </c>
      <c r="G64" s="36">
        <f>ROUND(11590.5596,2)</f>
        <v>11590.56</v>
      </c>
      <c r="H64" s="36"/>
      <c r="I64" s="37">
        <f>ROUND(12399.8398,2)</f>
        <v>12399.84</v>
      </c>
      <c r="J64" s="37"/>
    </row>
    <row r="65" spans="1:10" ht="10.5">
      <c r="A65" s="33"/>
      <c r="B65" s="19" t="s">
        <v>55</v>
      </c>
      <c r="C65" s="34"/>
      <c r="D65" s="23">
        <f>ROUND(160.98,2)</f>
        <v>160.98</v>
      </c>
      <c r="E65" s="22">
        <f>ROUND(40,2)</f>
        <v>40</v>
      </c>
      <c r="F65" s="35"/>
      <c r="G65" s="23"/>
      <c r="H65" s="23"/>
      <c r="I65" s="34">
        <f>ROUND(2880,2)</f>
        <v>2880</v>
      </c>
      <c r="J65" s="34"/>
    </row>
    <row r="66" spans="2:10" ht="10.5">
      <c r="B66" s="31" t="s">
        <v>29</v>
      </c>
      <c r="C66" s="31"/>
      <c r="D66" s="31"/>
      <c r="E66" s="31"/>
      <c r="F66" s="31"/>
      <c r="G66" s="31"/>
      <c r="H66" s="31"/>
      <c r="I66" s="31"/>
      <c r="J66" s="31"/>
    </row>
    <row r="67" spans="2:10" ht="10.5">
      <c r="B67" s="32" t="s">
        <v>49</v>
      </c>
      <c r="C67" s="32"/>
      <c r="D67" s="32"/>
      <c r="E67" s="32"/>
      <c r="F67" s="32"/>
      <c r="G67" s="32"/>
      <c r="H67" s="32"/>
      <c r="I67" s="32"/>
      <c r="J67" s="32"/>
    </row>
    <row r="69" spans="1:10" ht="10.5">
      <c r="A69" s="33" t="s">
        <v>56</v>
      </c>
      <c r="B69" s="19" t="s">
        <v>57</v>
      </c>
      <c r="C69" s="34">
        <f>ROUND(81,5)</f>
        <v>81</v>
      </c>
      <c r="D69" s="22">
        <f>ROUND(158.56,2)</f>
        <v>158.56</v>
      </c>
      <c r="E69" s="22">
        <f>ROUND(36.33,2)</f>
        <v>36.33</v>
      </c>
      <c r="F69" s="35">
        <f>ROUND(12843.3604,2)</f>
        <v>12843.36</v>
      </c>
      <c r="G69" s="36">
        <f>ROUND(9900.6299,2)</f>
        <v>9900.63</v>
      </c>
      <c r="H69" s="36"/>
      <c r="I69" s="37">
        <f>ROUND(2942.73,2)</f>
        <v>2942.73</v>
      </c>
      <c r="J69" s="37"/>
    </row>
    <row r="70" spans="1:10" ht="10.5">
      <c r="A70" s="33"/>
      <c r="B70" s="19" t="s">
        <v>58</v>
      </c>
      <c r="C70" s="34"/>
      <c r="D70" s="23">
        <f>ROUND(122.23,2)</f>
        <v>122.23</v>
      </c>
      <c r="E70" s="22"/>
      <c r="F70" s="35"/>
      <c r="G70" s="23"/>
      <c r="H70" s="23"/>
      <c r="I70" s="34"/>
      <c r="J70" s="34"/>
    </row>
    <row r="71" spans="2:10" ht="10.5">
      <c r="B71" s="31" t="s">
        <v>29</v>
      </c>
      <c r="C71" s="31"/>
      <c r="D71" s="31"/>
      <c r="E71" s="31"/>
      <c r="F71" s="31"/>
      <c r="G71" s="31"/>
      <c r="H71" s="31"/>
      <c r="I71" s="31"/>
      <c r="J71" s="31"/>
    </row>
    <row r="72" spans="2:10" ht="10.5">
      <c r="B72" s="32" t="s">
        <v>49</v>
      </c>
      <c r="C72" s="32"/>
      <c r="D72" s="32"/>
      <c r="E72" s="32"/>
      <c r="F72" s="32"/>
      <c r="G72" s="32"/>
      <c r="H72" s="32"/>
      <c r="I72" s="32"/>
      <c r="J72" s="32"/>
    </row>
    <row r="74" spans="1:9" ht="10.5">
      <c r="A74" s="33" t="s">
        <v>59</v>
      </c>
      <c r="B74" s="38" t="s">
        <v>60</v>
      </c>
      <c r="C74" s="31"/>
      <c r="D74" s="31"/>
      <c r="E74" s="31"/>
      <c r="F74" s="31"/>
      <c r="G74" s="31"/>
      <c r="H74" s="31"/>
      <c r="I74" s="31"/>
    </row>
    <row r="75" ht="10.5">
      <c r="A75" s="33"/>
    </row>
    <row r="76" spans="1:10" ht="10.5">
      <c r="A76" s="33" t="s">
        <v>61</v>
      </c>
      <c r="B76" s="19" t="s">
        <v>62</v>
      </c>
      <c r="C76" s="34">
        <f>ROUND(18,5)</f>
        <v>18</v>
      </c>
      <c r="D76" s="22">
        <f>ROUND(449.48,2)</f>
        <v>449.48</v>
      </c>
      <c r="E76" s="22">
        <f>ROUND(34.25,2)</f>
        <v>34.25</v>
      </c>
      <c r="F76" s="35">
        <f>ROUND(8090.6401,2)</f>
        <v>8090.64</v>
      </c>
      <c r="G76" s="36">
        <f>ROUND(7474.1401,2)</f>
        <v>7474.14</v>
      </c>
      <c r="H76" s="36"/>
      <c r="I76" s="37">
        <f>ROUND(616.5,2)</f>
        <v>616.5</v>
      </c>
      <c r="J76" s="37"/>
    </row>
    <row r="77" spans="1:10" ht="21">
      <c r="A77" s="33"/>
      <c r="B77" s="19" t="s">
        <v>63</v>
      </c>
      <c r="C77" s="34"/>
      <c r="D77" s="23">
        <f>ROUND(415.23,2)</f>
        <v>415.23</v>
      </c>
      <c r="E77" s="22">
        <f>ROUND(35.64,2)</f>
        <v>35.64</v>
      </c>
      <c r="F77" s="35"/>
      <c r="G77" s="23"/>
      <c r="H77" s="23"/>
      <c r="I77" s="34">
        <f>ROUND(641.52,2)</f>
        <v>641.52</v>
      </c>
      <c r="J77" s="34"/>
    </row>
    <row r="78" spans="2:10" ht="10.5">
      <c r="B78" s="31" t="s">
        <v>29</v>
      </c>
      <c r="C78" s="31"/>
      <c r="D78" s="31"/>
      <c r="E78" s="31"/>
      <c r="F78" s="31"/>
      <c r="G78" s="31"/>
      <c r="H78" s="31"/>
      <c r="I78" s="31"/>
      <c r="J78" s="31"/>
    </row>
    <row r="79" spans="2:10" ht="10.5">
      <c r="B79" s="32" t="s">
        <v>49</v>
      </c>
      <c r="C79" s="32"/>
      <c r="D79" s="32"/>
      <c r="E79" s="32"/>
      <c r="F79" s="32"/>
      <c r="G79" s="32"/>
      <c r="H79" s="32"/>
      <c r="I79" s="32"/>
      <c r="J79" s="32"/>
    </row>
    <row r="81" spans="1:10" ht="10.5">
      <c r="A81" s="33" t="s">
        <v>64</v>
      </c>
      <c r="B81" s="19" t="s">
        <v>65</v>
      </c>
      <c r="C81" s="34">
        <f>ROUND(100,5)</f>
        <v>100</v>
      </c>
      <c r="D81" s="22">
        <f>ROUND(143948.2,2)</f>
        <v>143948.2</v>
      </c>
      <c r="E81" s="22">
        <f>ROUND(99157.51,2)</f>
        <v>99157.51</v>
      </c>
      <c r="F81" s="35">
        <f>ROUND(14394822,2)</f>
        <v>14394822</v>
      </c>
      <c r="G81" s="36">
        <f>ROUND(3832764.75,2)</f>
        <v>3832764.75</v>
      </c>
      <c r="H81" s="36"/>
      <c r="I81" s="37">
        <f>ROUND(9915751,2)</f>
        <v>9915751</v>
      </c>
      <c r="J81" s="37"/>
    </row>
    <row r="82" spans="1:10" ht="21">
      <c r="A82" s="33"/>
      <c r="B82" s="19" t="s">
        <v>66</v>
      </c>
      <c r="C82" s="34"/>
      <c r="D82" s="23">
        <f>ROUND(38327.65,2)</f>
        <v>38327.65</v>
      </c>
      <c r="E82" s="22">
        <f>ROUND(18212.72,2)</f>
        <v>18212.72</v>
      </c>
      <c r="F82" s="35"/>
      <c r="G82" s="23"/>
      <c r="H82" s="23"/>
      <c r="I82" s="34">
        <f>ROUND(1821272.125,2)</f>
        <v>1821272.13</v>
      </c>
      <c r="J82" s="34"/>
    </row>
    <row r="83" spans="2:10" ht="10.5">
      <c r="B83" s="31" t="s">
        <v>29</v>
      </c>
      <c r="C83" s="31"/>
      <c r="D83" s="31"/>
      <c r="E83" s="31"/>
      <c r="F83" s="31"/>
      <c r="G83" s="31"/>
      <c r="H83" s="31"/>
      <c r="I83" s="31"/>
      <c r="J83" s="31"/>
    </row>
    <row r="84" spans="2:10" ht="10.5">
      <c r="B84" s="32" t="s">
        <v>67</v>
      </c>
      <c r="C84" s="32"/>
      <c r="D84" s="32"/>
      <c r="E84" s="32"/>
      <c r="F84" s="32"/>
      <c r="G84" s="32"/>
      <c r="H84" s="32"/>
      <c r="I84" s="32"/>
      <c r="J84" s="32"/>
    </row>
    <row r="85" spans="2:10" ht="10.5">
      <c r="B85" s="32" t="s">
        <v>49</v>
      </c>
      <c r="C85" s="32"/>
      <c r="D85" s="32"/>
      <c r="E85" s="32"/>
      <c r="F85" s="32"/>
      <c r="G85" s="32"/>
      <c r="H85" s="32"/>
      <c r="I85" s="32"/>
      <c r="J85" s="32"/>
    </row>
    <row r="87" spans="1:10" ht="10.5">
      <c r="A87" s="33" t="s">
        <v>68</v>
      </c>
      <c r="B87" s="19" t="s">
        <v>69</v>
      </c>
      <c r="C87" s="34">
        <f>ROUND(10500,5)</f>
        <v>10500</v>
      </c>
      <c r="D87" s="22">
        <f>ROUND(3056.05,2)</f>
        <v>3056.05</v>
      </c>
      <c r="E87" s="22"/>
      <c r="F87" s="35">
        <f>ROUND(32088526,2)</f>
        <v>32088526</v>
      </c>
      <c r="G87" s="36"/>
      <c r="H87" s="36"/>
      <c r="I87" s="37"/>
      <c r="J87" s="37"/>
    </row>
    <row r="88" spans="1:10" ht="10.5">
      <c r="A88" s="33"/>
      <c r="B88" s="19" t="s">
        <v>70</v>
      </c>
      <c r="C88" s="34"/>
      <c r="D88" s="23"/>
      <c r="E88" s="22"/>
      <c r="F88" s="35"/>
      <c r="G88" s="23"/>
      <c r="H88" s="23"/>
      <c r="I88" s="34"/>
      <c r="J88" s="34"/>
    </row>
    <row r="89" spans="2:10" ht="10.5">
      <c r="B89" s="31" t="s">
        <v>71</v>
      </c>
      <c r="C89" s="31"/>
      <c r="D89" s="31"/>
      <c r="E89" s="31"/>
      <c r="F89" s="31"/>
      <c r="G89" s="31"/>
      <c r="H89" s="31"/>
      <c r="I89" s="31"/>
      <c r="J89" s="31"/>
    </row>
    <row r="91" spans="1:10" ht="10.5">
      <c r="A91" s="33" t="s">
        <v>72</v>
      </c>
      <c r="B91" s="19" t="s">
        <v>73</v>
      </c>
      <c r="C91" s="34">
        <f>ROUND(12.8,5)</f>
        <v>12.8</v>
      </c>
      <c r="D91" s="22">
        <f>ROUND(101377.4,2)</f>
        <v>101377.4</v>
      </c>
      <c r="E91" s="22">
        <f>ROUND(69578.91,2)</f>
        <v>69578.91</v>
      </c>
      <c r="F91" s="35">
        <f>ROUND(1297630.625,2)</f>
        <v>1297630.63</v>
      </c>
      <c r="G91" s="36">
        <f>ROUND(341828.2188,2)</f>
        <v>341828.22</v>
      </c>
      <c r="H91" s="36"/>
      <c r="I91" s="37">
        <f>ROUND(890610,2)</f>
        <v>890610</v>
      </c>
      <c r="J91" s="37"/>
    </row>
    <row r="92" spans="1:10" ht="21">
      <c r="A92" s="33"/>
      <c r="B92" s="19" t="s">
        <v>74</v>
      </c>
      <c r="C92" s="34"/>
      <c r="D92" s="23">
        <f>ROUND(26705.33,2)</f>
        <v>26705.33</v>
      </c>
      <c r="E92" s="22">
        <f>ROUND(13160.44,2)</f>
        <v>13160.44</v>
      </c>
      <c r="F92" s="35"/>
      <c r="G92" s="23"/>
      <c r="H92" s="23"/>
      <c r="I92" s="34">
        <f>ROUND(168453.6406,2)</f>
        <v>168453.64</v>
      </c>
      <c r="J92" s="34"/>
    </row>
    <row r="93" spans="2:10" ht="10.5">
      <c r="B93" s="31" t="s">
        <v>29</v>
      </c>
      <c r="C93" s="31"/>
      <c r="D93" s="31"/>
      <c r="E93" s="31"/>
      <c r="F93" s="31"/>
      <c r="G93" s="31"/>
      <c r="H93" s="31"/>
      <c r="I93" s="31"/>
      <c r="J93" s="31"/>
    </row>
    <row r="94" spans="2:10" ht="10.5">
      <c r="B94" s="32" t="s">
        <v>75</v>
      </c>
      <c r="C94" s="32"/>
      <c r="D94" s="32"/>
      <c r="E94" s="32"/>
      <c r="F94" s="32"/>
      <c r="G94" s="32"/>
      <c r="H94" s="32"/>
      <c r="I94" s="32"/>
      <c r="J94" s="32"/>
    </row>
    <row r="95" spans="2:10" ht="10.5">
      <c r="B95" s="32" t="s">
        <v>49</v>
      </c>
      <c r="C95" s="32"/>
      <c r="D95" s="32"/>
      <c r="E95" s="32"/>
      <c r="F95" s="32"/>
      <c r="G95" s="32"/>
      <c r="H95" s="32"/>
      <c r="I95" s="32"/>
      <c r="J95" s="32"/>
    </row>
    <row r="97" spans="1:10" ht="10.5">
      <c r="A97" s="33" t="s">
        <v>76</v>
      </c>
      <c r="B97" s="19" t="s">
        <v>69</v>
      </c>
      <c r="C97" s="34">
        <f>ROUND(1344,5)</f>
        <v>1344</v>
      </c>
      <c r="D97" s="22">
        <f>ROUND(1914.26,2)</f>
        <v>1914.26</v>
      </c>
      <c r="E97" s="22"/>
      <c r="F97" s="35">
        <f>ROUND(2572765.5,2)</f>
        <v>2572765.5</v>
      </c>
      <c r="G97" s="36"/>
      <c r="H97" s="36"/>
      <c r="I97" s="37"/>
      <c r="J97" s="37"/>
    </row>
    <row r="98" spans="1:10" ht="10.5">
      <c r="A98" s="33"/>
      <c r="B98" s="19" t="s">
        <v>77</v>
      </c>
      <c r="C98" s="34"/>
      <c r="D98" s="23"/>
      <c r="E98" s="22"/>
      <c r="F98" s="35"/>
      <c r="G98" s="23"/>
      <c r="H98" s="23"/>
      <c r="I98" s="34"/>
      <c r="J98" s="34"/>
    </row>
    <row r="99" spans="2:10" ht="10.5">
      <c r="B99" s="31" t="s">
        <v>71</v>
      </c>
      <c r="C99" s="31"/>
      <c r="D99" s="31"/>
      <c r="E99" s="31"/>
      <c r="F99" s="31"/>
      <c r="G99" s="31"/>
      <c r="H99" s="31"/>
      <c r="I99" s="31"/>
      <c r="J99" s="31"/>
    </row>
    <row r="101" spans="1:10" ht="10.5">
      <c r="A101" s="33" t="s">
        <v>78</v>
      </c>
      <c r="B101" s="19" t="s">
        <v>79</v>
      </c>
      <c r="C101" s="34">
        <f>ROUND(7,5)</f>
        <v>7</v>
      </c>
      <c r="D101" s="22">
        <f>ROUND(93386.98,2)</f>
        <v>93386.98</v>
      </c>
      <c r="E101" s="22">
        <f>ROUND(60314.18,2)</f>
        <v>60314.18</v>
      </c>
      <c r="F101" s="35">
        <f>ROUND(653708.8125,2)</f>
        <v>653708.81</v>
      </c>
      <c r="G101" s="36">
        <f>ROUND(174679.8906,2)</f>
        <v>174679.89</v>
      </c>
      <c r="H101" s="36"/>
      <c r="I101" s="37">
        <f>ROUND(422199.25,2)</f>
        <v>422199.25</v>
      </c>
      <c r="J101" s="37"/>
    </row>
    <row r="102" spans="1:10" ht="21">
      <c r="A102" s="33"/>
      <c r="B102" s="19" t="s">
        <v>80</v>
      </c>
      <c r="C102" s="34"/>
      <c r="D102" s="23">
        <f>ROUND(24954.27,2)</f>
        <v>24954.27</v>
      </c>
      <c r="E102" s="22">
        <f>ROUND(11557.02,2)</f>
        <v>11557.02</v>
      </c>
      <c r="F102" s="35"/>
      <c r="G102" s="23"/>
      <c r="H102" s="23"/>
      <c r="I102" s="34">
        <f>ROUND(80899.1406,2)</f>
        <v>80899.14</v>
      </c>
      <c r="J102" s="34"/>
    </row>
    <row r="103" spans="2:10" ht="10.5">
      <c r="B103" s="31" t="s">
        <v>29</v>
      </c>
      <c r="C103" s="31"/>
      <c r="D103" s="31"/>
      <c r="E103" s="31"/>
      <c r="F103" s="31"/>
      <c r="G103" s="31"/>
      <c r="H103" s="31"/>
      <c r="I103" s="31"/>
      <c r="J103" s="31"/>
    </row>
    <row r="104" spans="2:10" ht="10.5">
      <c r="B104" s="32" t="s">
        <v>81</v>
      </c>
      <c r="C104" s="32"/>
      <c r="D104" s="32"/>
      <c r="E104" s="32"/>
      <c r="F104" s="32"/>
      <c r="G104" s="32"/>
      <c r="H104" s="32"/>
      <c r="I104" s="32"/>
      <c r="J104" s="32"/>
    </row>
    <row r="105" spans="2:10" ht="10.5">
      <c r="B105" s="32" t="s">
        <v>49</v>
      </c>
      <c r="C105" s="32"/>
      <c r="D105" s="32"/>
      <c r="E105" s="32"/>
      <c r="F105" s="32"/>
      <c r="G105" s="32"/>
      <c r="H105" s="32"/>
      <c r="I105" s="32"/>
      <c r="J105" s="32"/>
    </row>
    <row r="107" spans="1:10" ht="10.5">
      <c r="A107" s="33" t="s">
        <v>82</v>
      </c>
      <c r="B107" s="19" t="s">
        <v>69</v>
      </c>
      <c r="C107" s="34">
        <f>ROUND(735,5)</f>
        <v>735</v>
      </c>
      <c r="D107" s="22">
        <f>ROUND(975.92,2)</f>
        <v>975.92</v>
      </c>
      <c r="E107" s="22"/>
      <c r="F107" s="35">
        <f>ROUND(717301.1875,2)</f>
        <v>717301.19</v>
      </c>
      <c r="G107" s="36"/>
      <c r="H107" s="36"/>
      <c r="I107" s="37"/>
      <c r="J107" s="37"/>
    </row>
    <row r="108" spans="1:10" ht="10.5">
      <c r="A108" s="33"/>
      <c r="B108" s="19" t="s">
        <v>83</v>
      </c>
      <c r="C108" s="34"/>
      <c r="D108" s="23"/>
      <c r="E108" s="22"/>
      <c r="F108" s="35"/>
      <c r="G108" s="23"/>
      <c r="H108" s="23"/>
      <c r="I108" s="34"/>
      <c r="J108" s="34"/>
    </row>
    <row r="109" spans="2:10" ht="10.5">
      <c r="B109" s="31" t="s">
        <v>71</v>
      </c>
      <c r="C109" s="31"/>
      <c r="D109" s="31"/>
      <c r="E109" s="31"/>
      <c r="F109" s="31"/>
      <c r="G109" s="31"/>
      <c r="H109" s="31"/>
      <c r="I109" s="31"/>
      <c r="J109" s="31"/>
    </row>
    <row r="111" spans="1:10" ht="10.5">
      <c r="A111" s="33" t="s">
        <v>84</v>
      </c>
      <c r="B111" s="19" t="s">
        <v>85</v>
      </c>
      <c r="C111" s="34">
        <f>ROUND(116.5,5)</f>
        <v>116.5</v>
      </c>
      <c r="D111" s="22">
        <f>ROUND(72182.25,2)</f>
        <v>72182.25</v>
      </c>
      <c r="E111" s="22">
        <f>ROUND(44828.04,2)</f>
        <v>44828.04</v>
      </c>
      <c r="F111" s="35">
        <f>ROUND(8409232,2)</f>
        <v>8409232</v>
      </c>
      <c r="G111" s="36">
        <f>ROUND(2702795.5,2)</f>
        <v>2702795.5</v>
      </c>
      <c r="H111" s="36"/>
      <c r="I111" s="37">
        <f>ROUND(5222466.5,2)</f>
        <v>5222466.5</v>
      </c>
      <c r="J111" s="37"/>
    </row>
    <row r="112" spans="1:10" ht="21">
      <c r="A112" s="33"/>
      <c r="B112" s="19" t="s">
        <v>86</v>
      </c>
      <c r="C112" s="34"/>
      <c r="D112" s="23">
        <f>ROUND(23199.96,2)</f>
        <v>23199.96</v>
      </c>
      <c r="E112" s="22">
        <f>ROUND(10383.23,2)</f>
        <v>10383.23</v>
      </c>
      <c r="F112" s="35"/>
      <c r="G112" s="23"/>
      <c r="H112" s="23"/>
      <c r="I112" s="34">
        <f>ROUND(1209646.375,2)</f>
        <v>1209646.38</v>
      </c>
      <c r="J112" s="34"/>
    </row>
    <row r="113" spans="2:10" ht="10.5">
      <c r="B113" s="31" t="s">
        <v>29</v>
      </c>
      <c r="C113" s="31"/>
      <c r="D113" s="31"/>
      <c r="E113" s="31"/>
      <c r="F113" s="31"/>
      <c r="G113" s="31"/>
      <c r="H113" s="31"/>
      <c r="I113" s="31"/>
      <c r="J113" s="31"/>
    </row>
    <row r="114" spans="2:10" ht="10.5">
      <c r="B114" s="32" t="s">
        <v>87</v>
      </c>
      <c r="C114" s="32"/>
      <c r="D114" s="32"/>
      <c r="E114" s="32"/>
      <c r="F114" s="32"/>
      <c r="G114" s="32"/>
      <c r="H114" s="32"/>
      <c r="I114" s="32"/>
      <c r="J114" s="32"/>
    </row>
    <row r="115" spans="2:10" ht="10.5">
      <c r="B115" s="32" t="s">
        <v>49</v>
      </c>
      <c r="C115" s="32"/>
      <c r="D115" s="32"/>
      <c r="E115" s="32"/>
      <c r="F115" s="32"/>
      <c r="G115" s="32"/>
      <c r="H115" s="32"/>
      <c r="I115" s="32"/>
      <c r="J115" s="32"/>
    </row>
    <row r="117" spans="1:10" ht="10.5">
      <c r="A117" s="33" t="s">
        <v>88</v>
      </c>
      <c r="B117" s="19" t="s">
        <v>69</v>
      </c>
      <c r="C117" s="34">
        <f>ROUND(12232.5,5)</f>
        <v>12232.5</v>
      </c>
      <c r="D117" s="22">
        <f>ROUND(771.73,2)</f>
        <v>771.73</v>
      </c>
      <c r="E117" s="22"/>
      <c r="F117" s="35">
        <f>ROUND(9440187,2)</f>
        <v>9440187</v>
      </c>
      <c r="G117" s="36"/>
      <c r="H117" s="36"/>
      <c r="I117" s="37"/>
      <c r="J117" s="37"/>
    </row>
    <row r="118" spans="1:10" ht="10.5">
      <c r="A118" s="33"/>
      <c r="B118" s="19" t="s">
        <v>89</v>
      </c>
      <c r="C118" s="34"/>
      <c r="D118" s="23"/>
      <c r="E118" s="22"/>
      <c r="F118" s="35"/>
      <c r="G118" s="23"/>
      <c r="H118" s="23"/>
      <c r="I118" s="34"/>
      <c r="J118" s="34"/>
    </row>
    <row r="119" spans="2:10" ht="10.5">
      <c r="B119" s="31" t="s">
        <v>71</v>
      </c>
      <c r="C119" s="31"/>
      <c r="D119" s="31"/>
      <c r="E119" s="31"/>
      <c r="F119" s="31"/>
      <c r="G119" s="31"/>
      <c r="H119" s="31"/>
      <c r="I119" s="31"/>
      <c r="J119" s="31"/>
    </row>
    <row r="121" spans="1:10" ht="10.5">
      <c r="A121" s="33" t="s">
        <v>90</v>
      </c>
      <c r="B121" s="19" t="s">
        <v>91</v>
      </c>
      <c r="C121" s="34">
        <f>ROUND(43.3,5)</f>
        <v>43.3</v>
      </c>
      <c r="D121" s="22">
        <f>ROUND(65703.95,2)</f>
        <v>65703.95</v>
      </c>
      <c r="E121" s="22">
        <f>ROUND(40559.62,2)</f>
        <v>40559.62</v>
      </c>
      <c r="F121" s="35">
        <f>ROUND(2844981,2)</f>
        <v>2844981</v>
      </c>
      <c r="G121" s="36">
        <f>ROUND(911372.6875,2)</f>
        <v>911372.69</v>
      </c>
      <c r="H121" s="36"/>
      <c r="I121" s="37">
        <f>ROUND(1756231.5,2)</f>
        <v>1756231.5</v>
      </c>
      <c r="J121" s="37"/>
    </row>
    <row r="122" spans="1:10" ht="21">
      <c r="A122" s="33"/>
      <c r="B122" s="19" t="s">
        <v>92</v>
      </c>
      <c r="C122" s="34"/>
      <c r="D122" s="23">
        <f>ROUND(21047.87,2)</f>
        <v>21047.87</v>
      </c>
      <c r="E122" s="22">
        <f>ROUND(9394.78,2)</f>
        <v>9394.78</v>
      </c>
      <c r="F122" s="35"/>
      <c r="G122" s="23"/>
      <c r="H122" s="23"/>
      <c r="I122" s="34">
        <f>ROUND(406793.9688,2)</f>
        <v>406793.97</v>
      </c>
      <c r="J122" s="34"/>
    </row>
    <row r="123" spans="2:10" ht="10.5">
      <c r="B123" s="31" t="s">
        <v>29</v>
      </c>
      <c r="C123" s="31"/>
      <c r="D123" s="31"/>
      <c r="E123" s="31"/>
      <c r="F123" s="31"/>
      <c r="G123" s="31"/>
      <c r="H123" s="31"/>
      <c r="I123" s="31"/>
      <c r="J123" s="31"/>
    </row>
    <row r="124" spans="2:10" ht="10.5">
      <c r="B124" s="32" t="s">
        <v>93</v>
      </c>
      <c r="C124" s="32"/>
      <c r="D124" s="32"/>
      <c r="E124" s="32"/>
      <c r="F124" s="32"/>
      <c r="G124" s="32"/>
      <c r="H124" s="32"/>
      <c r="I124" s="32"/>
      <c r="J124" s="32"/>
    </row>
    <row r="125" spans="2:10" ht="10.5">
      <c r="B125" s="32" t="s">
        <v>49</v>
      </c>
      <c r="C125" s="32"/>
      <c r="D125" s="32"/>
      <c r="E125" s="32"/>
      <c r="F125" s="32"/>
      <c r="G125" s="32"/>
      <c r="H125" s="32"/>
      <c r="I125" s="32"/>
      <c r="J125" s="32"/>
    </row>
    <row r="127" spans="1:10" ht="10.5">
      <c r="A127" s="33" t="s">
        <v>94</v>
      </c>
      <c r="B127" s="19" t="s">
        <v>69</v>
      </c>
      <c r="C127" s="34">
        <f>ROUND(4546.5,5)</f>
        <v>4546.5</v>
      </c>
      <c r="D127" s="22">
        <f>ROUND(497.49,2)</f>
        <v>497.49</v>
      </c>
      <c r="E127" s="22"/>
      <c r="F127" s="35">
        <f>ROUND(2261838.25,2)</f>
        <v>2261838.25</v>
      </c>
      <c r="G127" s="36"/>
      <c r="H127" s="36"/>
      <c r="I127" s="37"/>
      <c r="J127" s="37"/>
    </row>
    <row r="128" spans="1:10" ht="10.5">
      <c r="A128" s="33"/>
      <c r="B128" s="19" t="s">
        <v>95</v>
      </c>
      <c r="C128" s="34"/>
      <c r="D128" s="23"/>
      <c r="E128" s="22"/>
      <c r="F128" s="35"/>
      <c r="G128" s="23"/>
      <c r="H128" s="23"/>
      <c r="I128" s="34"/>
      <c r="J128" s="34"/>
    </row>
    <row r="129" spans="2:10" ht="10.5">
      <c r="B129" s="31" t="s">
        <v>71</v>
      </c>
      <c r="C129" s="31"/>
      <c r="D129" s="31"/>
      <c r="E129" s="31"/>
      <c r="F129" s="31"/>
      <c r="G129" s="31"/>
      <c r="H129" s="31"/>
      <c r="I129" s="31"/>
      <c r="J129" s="31"/>
    </row>
    <row r="131" spans="1:10" ht="10.5">
      <c r="A131" s="33" t="s">
        <v>96</v>
      </c>
      <c r="B131" s="19" t="s">
        <v>97</v>
      </c>
      <c r="C131" s="34">
        <f>ROUND(100,5)</f>
        <v>100</v>
      </c>
      <c r="D131" s="22">
        <f>ROUND(86609.33,2)</f>
        <v>86609.33</v>
      </c>
      <c r="E131" s="22">
        <f>ROUND(63716.64,2)</f>
        <v>63716.64</v>
      </c>
      <c r="F131" s="35">
        <f>ROUND(8660933,2)</f>
        <v>8660933</v>
      </c>
      <c r="G131" s="36">
        <f>ROUND(2078452.875,2)</f>
        <v>2078452.88</v>
      </c>
      <c r="H131" s="36"/>
      <c r="I131" s="37">
        <f>ROUND(6371664,2)</f>
        <v>6371664</v>
      </c>
      <c r="J131" s="37"/>
    </row>
    <row r="132" spans="1:10" ht="10.5">
      <c r="A132" s="33"/>
      <c r="B132" s="19" t="s">
        <v>98</v>
      </c>
      <c r="C132" s="34"/>
      <c r="D132" s="23">
        <f>ROUND(20784.53,2)</f>
        <v>20784.53</v>
      </c>
      <c r="E132" s="22">
        <f>ROUND(19068.47,2)</f>
        <v>19068.47</v>
      </c>
      <c r="F132" s="35"/>
      <c r="G132" s="23"/>
      <c r="H132" s="23"/>
      <c r="I132" s="34">
        <f>ROUND(1906847.125,2)</f>
        <v>1906847.13</v>
      </c>
      <c r="J132" s="34"/>
    </row>
    <row r="133" spans="2:10" ht="10.5">
      <c r="B133" s="31" t="s">
        <v>29</v>
      </c>
      <c r="C133" s="31"/>
      <c r="D133" s="31"/>
      <c r="E133" s="31"/>
      <c r="F133" s="31"/>
      <c r="G133" s="31"/>
      <c r="H133" s="31"/>
      <c r="I133" s="31"/>
      <c r="J133" s="31"/>
    </row>
    <row r="134" spans="2:10" ht="10.5">
      <c r="B134" s="32" t="s">
        <v>49</v>
      </c>
      <c r="C134" s="32"/>
      <c r="D134" s="32"/>
      <c r="E134" s="32"/>
      <c r="F134" s="32"/>
      <c r="G134" s="32"/>
      <c r="H134" s="32"/>
      <c r="I134" s="32"/>
      <c r="J134" s="32"/>
    </row>
    <row r="136" spans="1:10" ht="10.5">
      <c r="A136" s="33" t="s">
        <v>99</v>
      </c>
      <c r="B136" s="19" t="s">
        <v>100</v>
      </c>
      <c r="C136" s="34">
        <f>ROUND(136.3,5)</f>
        <v>136.3</v>
      </c>
      <c r="D136" s="22">
        <f>ROUND(69077.13,2)</f>
        <v>69077.13</v>
      </c>
      <c r="E136" s="22">
        <f>ROUND(50763.04,2)</f>
        <v>50763.04</v>
      </c>
      <c r="F136" s="35">
        <f>ROUND(9415213,2)</f>
        <v>9415213</v>
      </c>
      <c r="G136" s="36">
        <f>ROUND(2266336.5,2)</f>
        <v>2266336.5</v>
      </c>
      <c r="H136" s="36"/>
      <c r="I136" s="37">
        <f>ROUND(6919002.5,2)</f>
        <v>6919002.5</v>
      </c>
      <c r="J136" s="37"/>
    </row>
    <row r="137" spans="1:10" ht="10.5">
      <c r="A137" s="33"/>
      <c r="B137" s="19" t="s">
        <v>101</v>
      </c>
      <c r="C137" s="34"/>
      <c r="D137" s="23">
        <f>ROUND(16627.56,2)</f>
        <v>16627.56</v>
      </c>
      <c r="E137" s="22">
        <f>ROUND(15233.16,2)</f>
        <v>15233.16</v>
      </c>
      <c r="F137" s="35"/>
      <c r="G137" s="23"/>
      <c r="H137" s="23"/>
      <c r="I137" s="34">
        <f>ROUND(2076279.75,2)</f>
        <v>2076279.75</v>
      </c>
      <c r="J137" s="34"/>
    </row>
    <row r="138" spans="2:10" ht="10.5">
      <c r="B138" s="31" t="s">
        <v>29</v>
      </c>
      <c r="C138" s="31"/>
      <c r="D138" s="31"/>
      <c r="E138" s="31"/>
      <c r="F138" s="31"/>
      <c r="G138" s="31"/>
      <c r="H138" s="31"/>
      <c r="I138" s="31"/>
      <c r="J138" s="31"/>
    </row>
    <row r="139" spans="2:10" ht="10.5">
      <c r="B139" s="32" t="s">
        <v>49</v>
      </c>
      <c r="C139" s="32"/>
      <c r="D139" s="32"/>
      <c r="E139" s="32"/>
      <c r="F139" s="32"/>
      <c r="G139" s="32"/>
      <c r="H139" s="32"/>
      <c r="I139" s="32"/>
      <c r="J139" s="32"/>
    </row>
    <row r="141" spans="1:10" ht="10.5">
      <c r="A141" s="33" t="s">
        <v>102</v>
      </c>
      <c r="B141" s="19" t="s">
        <v>103</v>
      </c>
      <c r="C141" s="34">
        <f>ROUND(43.3,5)</f>
        <v>43.3</v>
      </c>
      <c r="D141" s="22">
        <f>ROUND(52792.83,2)</f>
        <v>52792.83</v>
      </c>
      <c r="E141" s="22">
        <f>ROUND(38860.78,2)</f>
        <v>38860.78</v>
      </c>
      <c r="F141" s="35">
        <f>ROUND(2285929.5,2)</f>
        <v>2285929.5</v>
      </c>
      <c r="G141" s="36">
        <f>ROUND(548487.625,2)</f>
        <v>548487.63</v>
      </c>
      <c r="H141" s="36"/>
      <c r="I141" s="37">
        <f>ROUND(1682671.75,2)</f>
        <v>1682671.75</v>
      </c>
      <c r="J141" s="37"/>
    </row>
    <row r="142" spans="1:10" ht="10.5">
      <c r="A142" s="33"/>
      <c r="B142" s="19" t="s">
        <v>104</v>
      </c>
      <c r="C142" s="34"/>
      <c r="D142" s="23">
        <f>ROUND(12667.15,2)</f>
        <v>12667.15</v>
      </c>
      <c r="E142" s="22">
        <f>ROUND(11505.88,2)</f>
        <v>11505.88</v>
      </c>
      <c r="F142" s="35"/>
      <c r="G142" s="23"/>
      <c r="H142" s="23"/>
      <c r="I142" s="34">
        <f>ROUND(498204.5938,2)</f>
        <v>498204.59</v>
      </c>
      <c r="J142" s="34"/>
    </row>
    <row r="143" spans="2:10" ht="10.5">
      <c r="B143" s="31" t="s">
        <v>29</v>
      </c>
      <c r="C143" s="31"/>
      <c r="D143" s="31"/>
      <c r="E143" s="31"/>
      <c r="F143" s="31"/>
      <c r="G143" s="31"/>
      <c r="H143" s="31"/>
      <c r="I143" s="31"/>
      <c r="J143" s="31"/>
    </row>
    <row r="144" spans="2:10" ht="10.5">
      <c r="B144" s="32" t="s">
        <v>49</v>
      </c>
      <c r="C144" s="32"/>
      <c r="D144" s="32"/>
      <c r="E144" s="32"/>
      <c r="F144" s="32"/>
      <c r="G144" s="32"/>
      <c r="H144" s="32"/>
      <c r="I144" s="32"/>
      <c r="J144" s="32"/>
    </row>
    <row r="146" spans="1:10" ht="10.5">
      <c r="A146" s="33" t="s">
        <v>105</v>
      </c>
      <c r="B146" s="19" t="s">
        <v>106</v>
      </c>
      <c r="C146" s="34">
        <f>ROUND(25.41,5)</f>
        <v>25.41</v>
      </c>
      <c r="D146" s="22">
        <f>ROUND(127030.5,2)</f>
        <v>127030.5</v>
      </c>
      <c r="E146" s="22">
        <f>ROUND(17513.55,2)</f>
        <v>17513.55</v>
      </c>
      <c r="F146" s="35">
        <f>ROUND(3227844.5,2)</f>
        <v>3227844.5</v>
      </c>
      <c r="G146" s="36">
        <f>ROUND(360012.4375,2)</f>
        <v>360012.44</v>
      </c>
      <c r="H146" s="36"/>
      <c r="I146" s="37">
        <f>ROUND(445019.3125,2)</f>
        <v>445019.31</v>
      </c>
      <c r="J146" s="37"/>
    </row>
    <row r="147" spans="1:10" ht="21">
      <c r="A147" s="33"/>
      <c r="B147" s="19" t="s">
        <v>107</v>
      </c>
      <c r="C147" s="34"/>
      <c r="D147" s="23">
        <f>ROUND(14168.14,2)</f>
        <v>14168.14</v>
      </c>
      <c r="E147" s="22">
        <f>ROUND(3680.06,2)</f>
        <v>3680.06</v>
      </c>
      <c r="F147" s="35"/>
      <c r="G147" s="23"/>
      <c r="H147" s="23"/>
      <c r="I147" s="34">
        <f>ROUND(93510.3281,2)</f>
        <v>93510.33</v>
      </c>
      <c r="J147" s="34"/>
    </row>
    <row r="148" spans="2:10" ht="10.5">
      <c r="B148" s="31" t="s">
        <v>29</v>
      </c>
      <c r="C148" s="31"/>
      <c r="D148" s="31"/>
      <c r="E148" s="31"/>
      <c r="F148" s="31"/>
      <c r="G148" s="31"/>
      <c r="H148" s="31"/>
      <c r="I148" s="31"/>
      <c r="J148" s="31"/>
    </row>
    <row r="149" spans="2:10" ht="10.5">
      <c r="B149" s="32" t="s">
        <v>30</v>
      </c>
      <c r="C149" s="32"/>
      <c r="D149" s="32"/>
      <c r="E149" s="32"/>
      <c r="F149" s="32"/>
      <c r="G149" s="32"/>
      <c r="H149" s="32"/>
      <c r="I149" s="32"/>
      <c r="J149" s="32"/>
    </row>
    <row r="151" spans="1:10" ht="10.5">
      <c r="A151" s="33" t="s">
        <v>108</v>
      </c>
      <c r="B151" s="19" t="s">
        <v>69</v>
      </c>
      <c r="C151" s="34">
        <f>ROUND(12,5)</f>
        <v>12</v>
      </c>
      <c r="D151" s="22">
        <f>ROUND(1524.4,2)</f>
        <v>1524.4</v>
      </c>
      <c r="E151" s="22"/>
      <c r="F151" s="35">
        <f>ROUND(18292.8008,2)</f>
        <v>18292.8</v>
      </c>
      <c r="G151" s="36"/>
      <c r="H151" s="36"/>
      <c r="I151" s="37"/>
      <c r="J151" s="37"/>
    </row>
    <row r="152" spans="1:10" ht="10.5">
      <c r="A152" s="33"/>
      <c r="B152" s="19" t="s">
        <v>109</v>
      </c>
      <c r="C152" s="34"/>
      <c r="D152" s="23"/>
      <c r="E152" s="22"/>
      <c r="F152" s="35"/>
      <c r="G152" s="23"/>
      <c r="H152" s="23"/>
      <c r="I152" s="34"/>
      <c r="J152" s="34"/>
    </row>
    <row r="153" spans="2:10" ht="10.5">
      <c r="B153" s="31" t="s">
        <v>71</v>
      </c>
      <c r="C153" s="31"/>
      <c r="D153" s="31"/>
      <c r="E153" s="31"/>
      <c r="F153" s="31"/>
      <c r="G153" s="31"/>
      <c r="H153" s="31"/>
      <c r="I153" s="31"/>
      <c r="J153" s="31"/>
    </row>
    <row r="155" spans="1:10" ht="10.5">
      <c r="A155" s="33" t="s">
        <v>110</v>
      </c>
      <c r="B155" s="19" t="s">
        <v>106</v>
      </c>
      <c r="C155" s="34">
        <f>ROUND(5.15,5)</f>
        <v>5.15</v>
      </c>
      <c r="D155" s="22">
        <f>ROUND(127030.5,2)</f>
        <v>127030.5</v>
      </c>
      <c r="E155" s="22">
        <f>ROUND(17513.55,2)</f>
        <v>17513.55</v>
      </c>
      <c r="F155" s="35">
        <f>ROUND(654206.9375,2)</f>
        <v>654206.94</v>
      </c>
      <c r="G155" s="36">
        <f>ROUND(72965.9219,2)</f>
        <v>72965.92</v>
      </c>
      <c r="H155" s="36"/>
      <c r="I155" s="37">
        <f>ROUND(90194.7891,2)</f>
        <v>90194.79</v>
      </c>
      <c r="J155" s="37"/>
    </row>
    <row r="156" spans="1:10" ht="10.5">
      <c r="A156" s="33"/>
      <c r="B156" s="19" t="s">
        <v>111</v>
      </c>
      <c r="C156" s="34"/>
      <c r="D156" s="23">
        <f>ROUND(14168.14,2)</f>
        <v>14168.14</v>
      </c>
      <c r="E156" s="22">
        <f>ROUND(3680.06,2)</f>
        <v>3680.06</v>
      </c>
      <c r="F156" s="35"/>
      <c r="G156" s="23"/>
      <c r="H156" s="23"/>
      <c r="I156" s="34">
        <f>ROUND(18952.3105,2)</f>
        <v>18952.31</v>
      </c>
      <c r="J156" s="34"/>
    </row>
    <row r="157" spans="2:10" ht="10.5">
      <c r="B157" s="31" t="s">
        <v>29</v>
      </c>
      <c r="C157" s="31"/>
      <c r="D157" s="31"/>
      <c r="E157" s="31"/>
      <c r="F157" s="31"/>
      <c r="G157" s="31"/>
      <c r="H157" s="31"/>
      <c r="I157" s="31"/>
      <c r="J157" s="31"/>
    </row>
    <row r="158" spans="2:10" ht="10.5">
      <c r="B158" s="32" t="s">
        <v>30</v>
      </c>
      <c r="C158" s="32"/>
      <c r="D158" s="32"/>
      <c r="E158" s="32"/>
      <c r="F158" s="32"/>
      <c r="G158" s="32"/>
      <c r="H158" s="32"/>
      <c r="I158" s="32"/>
      <c r="J158" s="32"/>
    </row>
    <row r="160" spans="1:10" ht="10.5">
      <c r="A160" s="33" t="s">
        <v>112</v>
      </c>
      <c r="B160" s="19" t="s">
        <v>69</v>
      </c>
      <c r="C160" s="34">
        <f>ROUND(4,5)</f>
        <v>4</v>
      </c>
      <c r="D160" s="22">
        <f>ROUND(1524.4,2)</f>
        <v>1524.4</v>
      </c>
      <c r="E160" s="22"/>
      <c r="F160" s="35">
        <f>ROUND(6097.6001,2)</f>
        <v>6097.6</v>
      </c>
      <c r="G160" s="36"/>
      <c r="H160" s="36"/>
      <c r="I160" s="37"/>
      <c r="J160" s="37"/>
    </row>
    <row r="161" spans="1:10" ht="10.5">
      <c r="A161" s="33"/>
      <c r="B161" s="19" t="s">
        <v>109</v>
      </c>
      <c r="C161" s="34"/>
      <c r="D161" s="23"/>
      <c r="E161" s="22"/>
      <c r="F161" s="35"/>
      <c r="G161" s="23"/>
      <c r="H161" s="23"/>
      <c r="I161" s="34"/>
      <c r="J161" s="34"/>
    </row>
    <row r="162" spans="2:10" ht="10.5">
      <c r="B162" s="31" t="s">
        <v>71</v>
      </c>
      <c r="C162" s="31"/>
      <c r="D162" s="31"/>
      <c r="E162" s="31"/>
      <c r="F162" s="31"/>
      <c r="G162" s="31"/>
      <c r="H162" s="31"/>
      <c r="I162" s="31"/>
      <c r="J162" s="31"/>
    </row>
    <row r="164" spans="1:10" ht="10.5">
      <c r="A164" s="33" t="s">
        <v>113</v>
      </c>
      <c r="B164" s="19" t="s">
        <v>114</v>
      </c>
      <c r="C164" s="34">
        <f>ROUND(16,5)</f>
        <v>16</v>
      </c>
      <c r="D164" s="22">
        <f>ROUND(2548.26,2)</f>
        <v>2548.26</v>
      </c>
      <c r="E164" s="22">
        <f>ROUND(1004.88,2)</f>
        <v>1004.88</v>
      </c>
      <c r="F164" s="35">
        <f>ROUND(40772.1602,2)</f>
        <v>40772.16</v>
      </c>
      <c r="G164" s="36">
        <f>ROUND(18535.5195,2)</f>
        <v>18535.52</v>
      </c>
      <c r="H164" s="36"/>
      <c r="I164" s="37">
        <f>ROUND(16078.0801,2)</f>
        <v>16078.08</v>
      </c>
      <c r="J164" s="37"/>
    </row>
    <row r="165" spans="1:10" ht="21">
      <c r="A165" s="33"/>
      <c r="B165" s="19" t="s">
        <v>115</v>
      </c>
      <c r="C165" s="34"/>
      <c r="D165" s="23">
        <f>ROUND(1158.47,2)</f>
        <v>1158.47</v>
      </c>
      <c r="E165" s="22">
        <f>ROUND(230.82,2)</f>
        <v>230.82</v>
      </c>
      <c r="F165" s="35"/>
      <c r="G165" s="23"/>
      <c r="H165" s="23"/>
      <c r="I165" s="34">
        <f>ROUND(3693.1201,2)</f>
        <v>3693.12</v>
      </c>
      <c r="J165" s="34"/>
    </row>
    <row r="166" spans="2:10" ht="10.5">
      <c r="B166" s="31" t="s">
        <v>29</v>
      </c>
      <c r="C166" s="31"/>
      <c r="D166" s="31"/>
      <c r="E166" s="31"/>
      <c r="F166" s="31"/>
      <c r="G166" s="31"/>
      <c r="H166" s="31"/>
      <c r="I166" s="31"/>
      <c r="J166" s="31"/>
    </row>
    <row r="167" spans="2:10" ht="10.5">
      <c r="B167" s="32" t="s">
        <v>116</v>
      </c>
      <c r="C167" s="32"/>
      <c r="D167" s="32"/>
      <c r="E167" s="32"/>
      <c r="F167" s="32"/>
      <c r="G167" s="32"/>
      <c r="H167" s="32"/>
      <c r="I167" s="32"/>
      <c r="J167" s="32"/>
    </row>
    <row r="168" spans="2:10" ht="10.5">
      <c r="B168" s="32" t="s">
        <v>30</v>
      </c>
      <c r="C168" s="32"/>
      <c r="D168" s="32"/>
      <c r="E168" s="32"/>
      <c r="F168" s="32"/>
      <c r="G168" s="32"/>
      <c r="H168" s="32"/>
      <c r="I168" s="32"/>
      <c r="J168" s="32"/>
    </row>
    <row r="170" spans="1:10" ht="10.5">
      <c r="A170" s="33" t="s">
        <v>117</v>
      </c>
      <c r="B170" s="19" t="s">
        <v>69</v>
      </c>
      <c r="C170" s="34">
        <f>ROUND(16,5)</f>
        <v>16</v>
      </c>
      <c r="D170" s="22">
        <f>ROUND(109437.5,2)</f>
        <v>109437.5</v>
      </c>
      <c r="E170" s="22"/>
      <c r="F170" s="35">
        <f>ROUND(1751000,2)</f>
        <v>1751000</v>
      </c>
      <c r="G170" s="36"/>
      <c r="H170" s="36"/>
      <c r="I170" s="37"/>
      <c r="J170" s="37"/>
    </row>
    <row r="171" spans="1:10" ht="10.5">
      <c r="A171" s="33"/>
      <c r="B171" s="19" t="s">
        <v>118</v>
      </c>
      <c r="C171" s="34"/>
      <c r="D171" s="23"/>
      <c r="E171" s="22"/>
      <c r="F171" s="35"/>
      <c r="G171" s="23"/>
      <c r="H171" s="23"/>
      <c r="I171" s="34"/>
      <c r="J171" s="34"/>
    </row>
    <row r="172" spans="2:10" ht="10.5">
      <c r="B172" s="31" t="s">
        <v>71</v>
      </c>
      <c r="C172" s="31"/>
      <c r="D172" s="31"/>
      <c r="E172" s="31"/>
      <c r="F172" s="31"/>
      <c r="G172" s="31"/>
      <c r="H172" s="31"/>
      <c r="I172" s="31"/>
      <c r="J172" s="31"/>
    </row>
    <row r="174" spans="1:10" ht="10.5">
      <c r="A174" s="33" t="s">
        <v>119</v>
      </c>
      <c r="B174" s="19" t="s">
        <v>120</v>
      </c>
      <c r="C174" s="34">
        <f>ROUND(18,5)</f>
        <v>18</v>
      </c>
      <c r="D174" s="22">
        <f>ROUND(1575.28,2)</f>
        <v>1575.28</v>
      </c>
      <c r="E174" s="22">
        <f>ROUND(470.39,2)</f>
        <v>470.39</v>
      </c>
      <c r="F174" s="35">
        <f>ROUND(28355.0391,2)</f>
        <v>28355.04</v>
      </c>
      <c r="G174" s="36">
        <f>ROUND(15314.9404,2)</f>
        <v>15314.94</v>
      </c>
      <c r="H174" s="36"/>
      <c r="I174" s="37">
        <f>ROUND(8467.0195,2)</f>
        <v>8467.02</v>
      </c>
      <c r="J174" s="37"/>
    </row>
    <row r="175" spans="1:10" ht="21">
      <c r="A175" s="33"/>
      <c r="B175" s="19" t="s">
        <v>121</v>
      </c>
      <c r="C175" s="34"/>
      <c r="D175" s="23">
        <f>ROUND(850.83,2)</f>
        <v>850.83</v>
      </c>
      <c r="E175" s="22">
        <f>ROUND(107.9,2)</f>
        <v>107.9</v>
      </c>
      <c r="F175" s="35"/>
      <c r="G175" s="23"/>
      <c r="H175" s="23"/>
      <c r="I175" s="34">
        <f>ROUND(1942.2,2)</f>
        <v>1942.2</v>
      </c>
      <c r="J175" s="34"/>
    </row>
    <row r="176" spans="2:10" ht="10.5">
      <c r="B176" s="31" t="s">
        <v>29</v>
      </c>
      <c r="C176" s="31"/>
      <c r="D176" s="31"/>
      <c r="E176" s="31"/>
      <c r="F176" s="31"/>
      <c r="G176" s="31"/>
      <c r="H176" s="31"/>
      <c r="I176" s="31"/>
      <c r="J176" s="31"/>
    </row>
    <row r="177" spans="2:10" ht="10.5">
      <c r="B177" s="32" t="s">
        <v>122</v>
      </c>
      <c r="C177" s="32"/>
      <c r="D177" s="32"/>
      <c r="E177" s="32"/>
      <c r="F177" s="32"/>
      <c r="G177" s="32"/>
      <c r="H177" s="32"/>
      <c r="I177" s="32"/>
      <c r="J177" s="32"/>
    </row>
    <row r="178" spans="2:10" ht="10.5">
      <c r="B178" s="32" t="s">
        <v>30</v>
      </c>
      <c r="C178" s="32"/>
      <c r="D178" s="32"/>
      <c r="E178" s="32"/>
      <c r="F178" s="32"/>
      <c r="G178" s="32"/>
      <c r="H178" s="32"/>
      <c r="I178" s="32"/>
      <c r="J178" s="32"/>
    </row>
    <row r="180" spans="1:10" ht="10.5">
      <c r="A180" s="33" t="s">
        <v>123</v>
      </c>
      <c r="B180" s="19" t="s">
        <v>69</v>
      </c>
      <c r="C180" s="34">
        <f>ROUND(18,5)</f>
        <v>18</v>
      </c>
      <c r="D180" s="22">
        <f>ROUND(99274.41,2)</f>
        <v>99274.41</v>
      </c>
      <c r="E180" s="22"/>
      <c r="F180" s="35">
        <f>ROUND(1786939.25,2)</f>
        <v>1786939.25</v>
      </c>
      <c r="G180" s="36"/>
      <c r="H180" s="36"/>
      <c r="I180" s="37"/>
      <c r="J180" s="37"/>
    </row>
    <row r="181" spans="1:10" ht="10.5">
      <c r="A181" s="33"/>
      <c r="B181" s="19" t="s">
        <v>124</v>
      </c>
      <c r="C181" s="34"/>
      <c r="D181" s="23"/>
      <c r="E181" s="22"/>
      <c r="F181" s="35"/>
      <c r="G181" s="23"/>
      <c r="H181" s="23"/>
      <c r="I181" s="34"/>
      <c r="J181" s="34"/>
    </row>
    <row r="182" spans="2:10" ht="10.5">
      <c r="B182" s="31" t="s">
        <v>71</v>
      </c>
      <c r="C182" s="31"/>
      <c r="D182" s="31"/>
      <c r="E182" s="31"/>
      <c r="F182" s="31"/>
      <c r="G182" s="31"/>
      <c r="H182" s="31"/>
      <c r="I182" s="31"/>
      <c r="J182" s="31"/>
    </row>
    <row r="184" spans="1:10" ht="10.5">
      <c r="A184" s="33" t="s">
        <v>125</v>
      </c>
      <c r="B184" s="19" t="s">
        <v>126</v>
      </c>
      <c r="C184" s="34">
        <f>ROUND(26,5)</f>
        <v>26</v>
      </c>
      <c r="D184" s="22">
        <f>ROUND(1267.67,2)</f>
        <v>1267.67</v>
      </c>
      <c r="E184" s="22">
        <f>ROUND(371.62,2)</f>
        <v>371.62</v>
      </c>
      <c r="F184" s="35">
        <f>ROUND(32959.4219,2)</f>
        <v>32959.42</v>
      </c>
      <c r="G184" s="36">
        <f>ROUND(16980.3398,2)</f>
        <v>16980.34</v>
      </c>
      <c r="H184" s="36"/>
      <c r="I184" s="37">
        <f>ROUND(9662.1201,2)</f>
        <v>9662.12</v>
      </c>
      <c r="J184" s="37"/>
    </row>
    <row r="185" spans="1:10" ht="21">
      <c r="A185" s="33"/>
      <c r="B185" s="19" t="s">
        <v>127</v>
      </c>
      <c r="C185" s="34"/>
      <c r="D185" s="23">
        <f>ROUND(653.09,2)</f>
        <v>653.09</v>
      </c>
      <c r="E185" s="22">
        <f>ROUND(85.04,2)</f>
        <v>85.04</v>
      </c>
      <c r="F185" s="35"/>
      <c r="G185" s="23"/>
      <c r="H185" s="23"/>
      <c r="I185" s="34">
        <f>ROUND(2211.04,2)</f>
        <v>2211.04</v>
      </c>
      <c r="J185" s="34"/>
    </row>
    <row r="186" spans="2:10" ht="10.5">
      <c r="B186" s="31" t="s">
        <v>29</v>
      </c>
      <c r="C186" s="31"/>
      <c r="D186" s="31"/>
      <c r="E186" s="31"/>
      <c r="F186" s="31"/>
      <c r="G186" s="31"/>
      <c r="H186" s="31"/>
      <c r="I186" s="31"/>
      <c r="J186" s="31"/>
    </row>
    <row r="187" spans="2:10" ht="10.5">
      <c r="B187" s="32" t="s">
        <v>128</v>
      </c>
      <c r="C187" s="32"/>
      <c r="D187" s="32"/>
      <c r="E187" s="32"/>
      <c r="F187" s="32"/>
      <c r="G187" s="32"/>
      <c r="H187" s="32"/>
      <c r="I187" s="32"/>
      <c r="J187" s="32"/>
    </row>
    <row r="188" spans="2:10" ht="10.5">
      <c r="B188" s="32" t="s">
        <v>30</v>
      </c>
      <c r="C188" s="32"/>
      <c r="D188" s="32"/>
      <c r="E188" s="32"/>
      <c r="F188" s="32"/>
      <c r="G188" s="32"/>
      <c r="H188" s="32"/>
      <c r="I188" s="32"/>
      <c r="J188" s="32"/>
    </row>
    <row r="190" spans="1:10" ht="10.5">
      <c r="A190" s="33" t="s">
        <v>129</v>
      </c>
      <c r="B190" s="19" t="s">
        <v>69</v>
      </c>
      <c r="C190" s="34">
        <f>ROUND(26,5)</f>
        <v>26</v>
      </c>
      <c r="D190" s="22">
        <f>ROUND(30117.2,2)</f>
        <v>30117.2</v>
      </c>
      <c r="E190" s="22"/>
      <c r="F190" s="35">
        <f>ROUND(783047.1875,2)</f>
        <v>783047.19</v>
      </c>
      <c r="G190" s="36"/>
      <c r="H190" s="36"/>
      <c r="I190" s="37"/>
      <c r="J190" s="37"/>
    </row>
    <row r="191" spans="1:10" ht="10.5">
      <c r="A191" s="33"/>
      <c r="B191" s="19" t="s">
        <v>130</v>
      </c>
      <c r="C191" s="34"/>
      <c r="D191" s="23"/>
      <c r="E191" s="22"/>
      <c r="F191" s="35"/>
      <c r="G191" s="23"/>
      <c r="H191" s="23"/>
      <c r="I191" s="34"/>
      <c r="J191" s="34"/>
    </row>
    <row r="192" spans="2:10" ht="10.5">
      <c r="B192" s="31" t="s">
        <v>71</v>
      </c>
      <c r="C192" s="31"/>
      <c r="D192" s="31"/>
      <c r="E192" s="31"/>
      <c r="F192" s="31"/>
      <c r="G192" s="31"/>
      <c r="H192" s="31"/>
      <c r="I192" s="31"/>
      <c r="J192" s="31"/>
    </row>
    <row r="194" spans="1:10" ht="10.5">
      <c r="A194" s="33" t="s">
        <v>131</v>
      </c>
      <c r="B194" s="19" t="s">
        <v>132</v>
      </c>
      <c r="C194" s="34">
        <f>ROUND(72,5)</f>
        <v>72</v>
      </c>
      <c r="D194" s="22">
        <f>ROUND(926.49,2)</f>
        <v>926.49</v>
      </c>
      <c r="E194" s="22">
        <f>ROUND(273.08,2)</f>
        <v>273.08</v>
      </c>
      <c r="F194" s="35">
        <f>ROUND(66707.2812,2)</f>
        <v>66707.28</v>
      </c>
      <c r="G194" s="36">
        <f>ROUND(34781.0391,2)</f>
        <v>34781.04</v>
      </c>
      <c r="H194" s="36"/>
      <c r="I194" s="37">
        <f>ROUND(19661.7598,2)</f>
        <v>19661.76</v>
      </c>
      <c r="J194" s="37"/>
    </row>
    <row r="195" spans="1:10" ht="21">
      <c r="A195" s="33"/>
      <c r="B195" s="19" t="s">
        <v>133</v>
      </c>
      <c r="C195" s="34"/>
      <c r="D195" s="23">
        <f>ROUND(483.07,2)</f>
        <v>483.07</v>
      </c>
      <c r="E195" s="22">
        <f>ROUND(62.61,2)</f>
        <v>62.61</v>
      </c>
      <c r="F195" s="35"/>
      <c r="G195" s="23"/>
      <c r="H195" s="23"/>
      <c r="I195" s="34">
        <f>ROUND(4507.9199,2)</f>
        <v>4507.92</v>
      </c>
      <c r="J195" s="34"/>
    </row>
    <row r="196" spans="2:10" ht="10.5">
      <c r="B196" s="31" t="s">
        <v>29</v>
      </c>
      <c r="C196" s="31"/>
      <c r="D196" s="31"/>
      <c r="E196" s="31"/>
      <c r="F196" s="31"/>
      <c r="G196" s="31"/>
      <c r="H196" s="31"/>
      <c r="I196" s="31"/>
      <c r="J196" s="31"/>
    </row>
    <row r="197" spans="2:10" ht="10.5">
      <c r="B197" s="32" t="s">
        <v>134</v>
      </c>
      <c r="C197" s="32"/>
      <c r="D197" s="32"/>
      <c r="E197" s="32"/>
      <c r="F197" s="32"/>
      <c r="G197" s="32"/>
      <c r="H197" s="32"/>
      <c r="I197" s="32"/>
      <c r="J197" s="32"/>
    </row>
    <row r="198" spans="2:10" ht="10.5">
      <c r="B198" s="32" t="s">
        <v>30</v>
      </c>
      <c r="C198" s="32"/>
      <c r="D198" s="32"/>
      <c r="E198" s="32"/>
      <c r="F198" s="32"/>
      <c r="G198" s="32"/>
      <c r="H198" s="32"/>
      <c r="I198" s="32"/>
      <c r="J198" s="32"/>
    </row>
    <row r="200" spans="1:10" ht="10.5">
      <c r="A200" s="33" t="s">
        <v>135</v>
      </c>
      <c r="B200" s="19" t="s">
        <v>69</v>
      </c>
      <c r="C200" s="34">
        <f>ROUND(72,5)</f>
        <v>72</v>
      </c>
      <c r="D200" s="22">
        <f>ROUND(23888.52,2)</f>
        <v>23888.52</v>
      </c>
      <c r="E200" s="22"/>
      <c r="F200" s="35">
        <f>ROUND(1719973.375,2)</f>
        <v>1719973.38</v>
      </c>
      <c r="G200" s="36"/>
      <c r="H200" s="36"/>
      <c r="I200" s="37"/>
      <c r="J200" s="37"/>
    </row>
    <row r="201" spans="1:10" ht="10.5">
      <c r="A201" s="33"/>
      <c r="B201" s="19" t="s">
        <v>136</v>
      </c>
      <c r="C201" s="34"/>
      <c r="D201" s="23"/>
      <c r="E201" s="22"/>
      <c r="F201" s="35"/>
      <c r="G201" s="23"/>
      <c r="H201" s="23"/>
      <c r="I201" s="34"/>
      <c r="J201" s="34"/>
    </row>
    <row r="202" spans="2:10" ht="10.5">
      <c r="B202" s="31" t="s">
        <v>71</v>
      </c>
      <c r="C202" s="31"/>
      <c r="D202" s="31"/>
      <c r="E202" s="31"/>
      <c r="F202" s="31"/>
      <c r="G202" s="31"/>
      <c r="H202" s="31"/>
      <c r="I202" s="31"/>
      <c r="J202" s="31"/>
    </row>
    <row r="204" spans="1:10" ht="10.5">
      <c r="A204" s="33" t="s">
        <v>137</v>
      </c>
      <c r="B204" s="19" t="s">
        <v>138</v>
      </c>
      <c r="C204" s="34">
        <f>ROUND(81,5)</f>
        <v>81</v>
      </c>
      <c r="D204" s="22">
        <f>ROUND(656.75,2)</f>
        <v>656.75</v>
      </c>
      <c r="E204" s="22">
        <f>ROUND(180.12,2)</f>
        <v>180.12</v>
      </c>
      <c r="F204" s="35">
        <f>ROUND(53196.75,2)</f>
        <v>53196.75</v>
      </c>
      <c r="G204" s="36">
        <f>ROUND(25740.9902,2)</f>
        <v>25740.99</v>
      </c>
      <c r="H204" s="36"/>
      <c r="I204" s="37">
        <f>ROUND(14589.7197,2)</f>
        <v>14589.72</v>
      </c>
      <c r="J204" s="37"/>
    </row>
    <row r="205" spans="1:10" ht="21">
      <c r="A205" s="33"/>
      <c r="B205" s="19" t="s">
        <v>139</v>
      </c>
      <c r="C205" s="34"/>
      <c r="D205" s="23">
        <f>ROUND(317.79,2)</f>
        <v>317.79</v>
      </c>
      <c r="E205" s="22">
        <f>ROUND(41.68,2)</f>
        <v>41.68</v>
      </c>
      <c r="F205" s="35"/>
      <c r="G205" s="23"/>
      <c r="H205" s="23"/>
      <c r="I205" s="34">
        <f>ROUND(3376.0801,2)</f>
        <v>3376.08</v>
      </c>
      <c r="J205" s="34"/>
    </row>
    <row r="206" spans="2:10" ht="10.5">
      <c r="B206" s="31" t="s">
        <v>29</v>
      </c>
      <c r="C206" s="31"/>
      <c r="D206" s="31"/>
      <c r="E206" s="31"/>
      <c r="F206" s="31"/>
      <c r="G206" s="31"/>
      <c r="H206" s="31"/>
      <c r="I206" s="31"/>
      <c r="J206" s="31"/>
    </row>
    <row r="207" spans="2:10" ht="10.5">
      <c r="B207" s="32" t="s">
        <v>140</v>
      </c>
      <c r="C207" s="32"/>
      <c r="D207" s="32"/>
      <c r="E207" s="32"/>
      <c r="F207" s="32"/>
      <c r="G207" s="32"/>
      <c r="H207" s="32"/>
      <c r="I207" s="32"/>
      <c r="J207" s="32"/>
    </row>
    <row r="208" spans="2:10" ht="10.5">
      <c r="B208" s="32" t="s">
        <v>30</v>
      </c>
      <c r="C208" s="32"/>
      <c r="D208" s="32"/>
      <c r="E208" s="32"/>
      <c r="F208" s="32"/>
      <c r="G208" s="32"/>
      <c r="H208" s="32"/>
      <c r="I208" s="32"/>
      <c r="J208" s="32"/>
    </row>
    <row r="210" spans="1:10" ht="10.5">
      <c r="A210" s="33" t="s">
        <v>141</v>
      </c>
      <c r="B210" s="19" t="s">
        <v>69</v>
      </c>
      <c r="C210" s="34">
        <f>ROUND(81,5)</f>
        <v>81</v>
      </c>
      <c r="D210" s="22">
        <f>ROUND(16182.55,2)</f>
        <v>16182.55</v>
      </c>
      <c r="E210" s="22"/>
      <c r="F210" s="35">
        <f>ROUND(1310786.5,2)</f>
        <v>1310786.5</v>
      </c>
      <c r="G210" s="36"/>
      <c r="H210" s="36"/>
      <c r="I210" s="37"/>
      <c r="J210" s="37"/>
    </row>
    <row r="211" spans="1:10" ht="10.5">
      <c r="A211" s="33"/>
      <c r="B211" s="19" t="s">
        <v>142</v>
      </c>
      <c r="C211" s="34"/>
      <c r="D211" s="23"/>
      <c r="E211" s="22"/>
      <c r="F211" s="35"/>
      <c r="G211" s="23"/>
      <c r="H211" s="23"/>
      <c r="I211" s="34"/>
      <c r="J211" s="34"/>
    </row>
    <row r="212" spans="2:10" ht="10.5">
      <c r="B212" s="31" t="s">
        <v>71</v>
      </c>
      <c r="C212" s="31"/>
      <c r="D212" s="31"/>
      <c r="E212" s="31"/>
      <c r="F212" s="31"/>
      <c r="G212" s="31"/>
      <c r="H212" s="31"/>
      <c r="I212" s="31"/>
      <c r="J212" s="31"/>
    </row>
    <row r="214" spans="1:10" ht="10.5">
      <c r="A214" s="33" t="s">
        <v>143</v>
      </c>
      <c r="B214" s="19" t="s">
        <v>144</v>
      </c>
      <c r="C214" s="34">
        <f>ROUND(16,5)</f>
        <v>16</v>
      </c>
      <c r="D214" s="22">
        <f>ROUND(382.36,2)</f>
        <v>382.36</v>
      </c>
      <c r="E214" s="22">
        <f>ROUND(28.49,2)</f>
        <v>28.49</v>
      </c>
      <c r="F214" s="35">
        <f>ROUND(6117.7598,2)</f>
        <v>6117.76</v>
      </c>
      <c r="G214" s="36">
        <f>ROUND(2716.3201,2)</f>
        <v>2716.32</v>
      </c>
      <c r="H214" s="36"/>
      <c r="I214" s="37">
        <f>ROUND(455.84,2)</f>
        <v>455.84</v>
      </c>
      <c r="J214" s="37"/>
    </row>
    <row r="215" spans="1:10" ht="10.5">
      <c r="A215" s="33"/>
      <c r="B215" s="19" t="s">
        <v>145</v>
      </c>
      <c r="C215" s="34"/>
      <c r="D215" s="23">
        <f>ROUND(169.77,2)</f>
        <v>169.77</v>
      </c>
      <c r="E215" s="22">
        <f>ROUND(3.36,2)</f>
        <v>3.36</v>
      </c>
      <c r="F215" s="35"/>
      <c r="G215" s="23"/>
      <c r="H215" s="23"/>
      <c r="I215" s="34">
        <f>ROUND(53.76,2)</f>
        <v>53.76</v>
      </c>
      <c r="J215" s="34"/>
    </row>
    <row r="216" spans="2:10" ht="10.5">
      <c r="B216" s="31" t="s">
        <v>29</v>
      </c>
      <c r="C216" s="31"/>
      <c r="D216" s="31"/>
      <c r="E216" s="31"/>
      <c r="F216" s="31"/>
      <c r="G216" s="31"/>
      <c r="H216" s="31"/>
      <c r="I216" s="31"/>
      <c r="J216" s="31"/>
    </row>
    <row r="217" spans="2:10" ht="10.5">
      <c r="B217" s="32" t="s">
        <v>146</v>
      </c>
      <c r="C217" s="32"/>
      <c r="D217" s="32"/>
      <c r="E217" s="32"/>
      <c r="F217" s="32"/>
      <c r="G217" s="32"/>
      <c r="H217" s="32"/>
      <c r="I217" s="32"/>
      <c r="J217" s="32"/>
    </row>
    <row r="218" spans="2:10" ht="10.5">
      <c r="B218" s="32" t="s">
        <v>30</v>
      </c>
      <c r="C218" s="32"/>
      <c r="D218" s="32"/>
      <c r="E218" s="32"/>
      <c r="F218" s="32"/>
      <c r="G218" s="32"/>
      <c r="H218" s="32"/>
      <c r="I218" s="32"/>
      <c r="J218" s="32"/>
    </row>
    <row r="220" spans="1:10" ht="10.5">
      <c r="A220" s="33" t="s">
        <v>147</v>
      </c>
      <c r="B220" s="19" t="s">
        <v>69</v>
      </c>
      <c r="C220" s="34">
        <f>ROUND(16,5)</f>
        <v>16</v>
      </c>
      <c r="D220" s="22">
        <f>ROUND(57489.96,2)</f>
        <v>57489.96</v>
      </c>
      <c r="E220" s="22"/>
      <c r="F220" s="35">
        <f>ROUND(919839.375,2)</f>
        <v>919839.38</v>
      </c>
      <c r="G220" s="36"/>
      <c r="H220" s="36"/>
      <c r="I220" s="37"/>
      <c r="J220" s="37"/>
    </row>
    <row r="221" spans="1:10" ht="10.5">
      <c r="A221" s="33"/>
      <c r="B221" s="19" t="s">
        <v>148</v>
      </c>
      <c r="C221" s="34"/>
      <c r="D221" s="23"/>
      <c r="E221" s="22"/>
      <c r="F221" s="35"/>
      <c r="G221" s="23"/>
      <c r="H221" s="23"/>
      <c r="I221" s="34"/>
      <c r="J221" s="34"/>
    </row>
    <row r="222" spans="2:10" ht="10.5">
      <c r="B222" s="31" t="s">
        <v>71</v>
      </c>
      <c r="C222" s="31"/>
      <c r="D222" s="31"/>
      <c r="E222" s="31"/>
      <c r="F222" s="31"/>
      <c r="G222" s="31"/>
      <c r="H222" s="31"/>
      <c r="I222" s="31"/>
      <c r="J222" s="31"/>
    </row>
    <row r="224" spans="1:10" ht="10.5">
      <c r="A224" s="33" t="s">
        <v>149</v>
      </c>
      <c r="B224" s="19" t="s">
        <v>150</v>
      </c>
      <c r="C224" s="34">
        <f>ROUND(43.3,5)</f>
        <v>43.3</v>
      </c>
      <c r="D224" s="22">
        <f>ROUND(8281.33,2)</f>
        <v>8281.33</v>
      </c>
      <c r="E224" s="22">
        <f>ROUND(6289.29,2)</f>
        <v>6289.29</v>
      </c>
      <c r="F224" s="35">
        <f>ROUND(358581.5938,2)</f>
        <v>358581.59</v>
      </c>
      <c r="G224" s="36">
        <f>ROUND(86255.3438,2)</f>
        <v>86255.34</v>
      </c>
      <c r="H224" s="36"/>
      <c r="I224" s="37">
        <f>ROUND(272326.25,2)</f>
        <v>272326.25</v>
      </c>
      <c r="J224" s="37"/>
    </row>
    <row r="225" spans="1:10" ht="21">
      <c r="A225" s="33"/>
      <c r="B225" s="19" t="s">
        <v>151</v>
      </c>
      <c r="C225" s="34"/>
      <c r="D225" s="23">
        <f>ROUND(1992.04,2)</f>
        <v>1992.04</v>
      </c>
      <c r="E225" s="22">
        <f>ROUND(2173.15,2)</f>
        <v>2173.15</v>
      </c>
      <c r="F225" s="35"/>
      <c r="G225" s="23"/>
      <c r="H225" s="23"/>
      <c r="I225" s="34">
        <f>ROUND(94097.3906,2)</f>
        <v>94097.39</v>
      </c>
      <c r="J225" s="34"/>
    </row>
    <row r="226" spans="2:10" ht="10.5">
      <c r="B226" s="31" t="s">
        <v>29</v>
      </c>
      <c r="C226" s="31"/>
      <c r="D226" s="31"/>
      <c r="E226" s="31"/>
      <c r="F226" s="31"/>
      <c r="G226" s="31"/>
      <c r="H226" s="31"/>
      <c r="I226" s="31"/>
      <c r="J226" s="31"/>
    </row>
    <row r="227" spans="2:10" ht="10.5">
      <c r="B227" s="32" t="s">
        <v>49</v>
      </c>
      <c r="C227" s="32"/>
      <c r="D227" s="32"/>
      <c r="E227" s="32"/>
      <c r="F227" s="32"/>
      <c r="G227" s="32"/>
      <c r="H227" s="32"/>
      <c r="I227" s="32"/>
      <c r="J227" s="32"/>
    </row>
    <row r="229" spans="1:10" ht="10.5">
      <c r="A229" s="33" t="s">
        <v>152</v>
      </c>
      <c r="B229" s="19" t="s">
        <v>153</v>
      </c>
      <c r="C229" s="34">
        <f>ROUND(136.3,5)</f>
        <v>136.3</v>
      </c>
      <c r="D229" s="22">
        <f>ROUND(9304.19,2)</f>
        <v>9304.19</v>
      </c>
      <c r="E229" s="22">
        <f>ROUND(7075.47,2)</f>
        <v>7075.47</v>
      </c>
      <c r="F229" s="35">
        <f>ROUND(1268161.125,2)</f>
        <v>1268161.13</v>
      </c>
      <c r="G229" s="36">
        <f>ROUND(303774.5312,2)</f>
        <v>303774.53</v>
      </c>
      <c r="H229" s="36"/>
      <c r="I229" s="37">
        <f>ROUND(964386.625,2)</f>
        <v>964386.63</v>
      </c>
      <c r="J229" s="37"/>
    </row>
    <row r="230" spans="1:10" ht="21">
      <c r="A230" s="33"/>
      <c r="B230" s="19" t="s">
        <v>154</v>
      </c>
      <c r="C230" s="34"/>
      <c r="D230" s="23">
        <f>ROUND(2228.72,2)</f>
        <v>2228.72</v>
      </c>
      <c r="E230" s="22">
        <f>ROUND(2444.84,2)</f>
        <v>2444.84</v>
      </c>
      <c r="F230" s="35"/>
      <c r="G230" s="23"/>
      <c r="H230" s="23"/>
      <c r="I230" s="34">
        <f>ROUND(333231.7188,2)</f>
        <v>333231.72</v>
      </c>
      <c r="J230" s="34"/>
    </row>
    <row r="231" spans="2:10" ht="10.5">
      <c r="B231" s="31" t="s">
        <v>29</v>
      </c>
      <c r="C231" s="31"/>
      <c r="D231" s="31"/>
      <c r="E231" s="31"/>
      <c r="F231" s="31"/>
      <c r="G231" s="31"/>
      <c r="H231" s="31"/>
      <c r="I231" s="31"/>
      <c r="J231" s="31"/>
    </row>
    <row r="232" spans="2:10" ht="10.5">
      <c r="B232" s="32" t="s">
        <v>49</v>
      </c>
      <c r="C232" s="32"/>
      <c r="D232" s="32"/>
      <c r="E232" s="32"/>
      <c r="F232" s="32"/>
      <c r="G232" s="32"/>
      <c r="H232" s="32"/>
      <c r="I232" s="32"/>
      <c r="J232" s="32"/>
    </row>
    <row r="234" spans="1:10" ht="10.5">
      <c r="A234" s="33" t="s">
        <v>155</v>
      </c>
      <c r="B234" s="19" t="s">
        <v>156</v>
      </c>
      <c r="C234" s="34">
        <f>ROUND(100,5)</f>
        <v>100</v>
      </c>
      <c r="D234" s="22">
        <f>ROUND(10327.05,2)</f>
        <v>10327.05</v>
      </c>
      <c r="E234" s="22">
        <f>ROUND(7861.59,2)</f>
        <v>7861.59</v>
      </c>
      <c r="F234" s="35">
        <f>ROUND(1032705,2)</f>
        <v>1032705</v>
      </c>
      <c r="G234" s="36">
        <f>ROUND(246546,2)</f>
        <v>246546</v>
      </c>
      <c r="H234" s="36"/>
      <c r="I234" s="37">
        <f>ROUND(786159,2)</f>
        <v>786159</v>
      </c>
      <c r="J234" s="37"/>
    </row>
    <row r="235" spans="1:10" ht="21">
      <c r="A235" s="33"/>
      <c r="B235" s="19" t="s">
        <v>157</v>
      </c>
      <c r="C235" s="34"/>
      <c r="D235" s="23">
        <f>ROUND(2465.46,2)</f>
        <v>2465.46</v>
      </c>
      <c r="E235" s="22">
        <f>ROUND(2716.4,2)</f>
        <v>2716.4</v>
      </c>
      <c r="F235" s="35"/>
      <c r="G235" s="23"/>
      <c r="H235" s="23"/>
      <c r="I235" s="34">
        <f>ROUND(271640,2)</f>
        <v>271640</v>
      </c>
      <c r="J235" s="34"/>
    </row>
    <row r="236" spans="2:10" ht="10.5">
      <c r="B236" s="31" t="s">
        <v>29</v>
      </c>
      <c r="C236" s="31"/>
      <c r="D236" s="31"/>
      <c r="E236" s="31"/>
      <c r="F236" s="31"/>
      <c r="G236" s="31"/>
      <c r="H236" s="31"/>
      <c r="I236" s="31"/>
      <c r="J236" s="31"/>
    </row>
    <row r="237" spans="2:10" ht="10.5">
      <c r="B237" s="32" t="s">
        <v>49</v>
      </c>
      <c r="C237" s="32"/>
      <c r="D237" s="32"/>
      <c r="E237" s="32"/>
      <c r="F237" s="32"/>
      <c r="G237" s="32"/>
      <c r="H237" s="32"/>
      <c r="I237" s="32"/>
      <c r="J237" s="32"/>
    </row>
    <row r="238" spans="2:10" ht="10.5">
      <c r="B238" s="29" t="s">
        <v>158</v>
      </c>
      <c r="C238" s="2"/>
      <c r="D238" s="2"/>
      <c r="E238" s="2"/>
      <c r="F238" s="24">
        <v>110822790.05</v>
      </c>
      <c r="G238" s="30">
        <v>14124354.33</v>
      </c>
      <c r="H238" s="28"/>
      <c r="I238" s="30">
        <v>36437656.6</v>
      </c>
      <c r="J238" s="28"/>
    </row>
    <row r="239" spans="2:10" ht="10.5">
      <c r="B239" s="29"/>
      <c r="C239" s="2"/>
      <c r="D239" s="2"/>
      <c r="E239" s="2"/>
      <c r="F239" s="24"/>
      <c r="G239" s="24"/>
      <c r="H239" s="24"/>
      <c r="I239" s="28">
        <v>9102168.04</v>
      </c>
      <c r="J239" s="28"/>
    </row>
    <row r="240" spans="2:14" ht="10.5">
      <c r="B240" s="29" t="s">
        <v>159</v>
      </c>
      <c r="C240" s="2"/>
      <c r="D240" s="2"/>
      <c r="E240" s="2"/>
      <c r="F240" s="24">
        <v>54995275.4</v>
      </c>
      <c r="G240" s="30">
        <v>14124354.33</v>
      </c>
      <c r="H240" s="28"/>
      <c r="I240" s="30">
        <v>35986735.97</v>
      </c>
      <c r="J240" s="28"/>
      <c r="K240" s="2"/>
      <c r="L240" s="2"/>
      <c r="M240" s="2"/>
      <c r="N240" s="2"/>
    </row>
    <row r="241" spans="2:14" ht="10.5">
      <c r="B241" s="29"/>
      <c r="C241" s="2"/>
      <c r="D241" s="2"/>
      <c r="E241" s="2"/>
      <c r="F241" s="24"/>
      <c r="G241" s="24"/>
      <c r="H241" s="24"/>
      <c r="I241" s="28">
        <v>9102168.04</v>
      </c>
      <c r="J241" s="28"/>
      <c r="K241" s="2"/>
      <c r="L241" s="2"/>
      <c r="M241" s="2"/>
      <c r="N241" s="2"/>
    </row>
    <row r="242" spans="2:14" ht="42">
      <c r="B242" s="20" t="s">
        <v>160</v>
      </c>
      <c r="C242" s="2"/>
      <c r="D242" s="2"/>
      <c r="E242" s="2"/>
      <c r="F242" s="24">
        <v>23672280.7</v>
      </c>
      <c r="G242" s="25"/>
      <c r="H242" s="24"/>
      <c r="I242" s="25"/>
      <c r="J242" s="24"/>
      <c r="K242" s="2"/>
      <c r="L242" s="2"/>
      <c r="M242" s="2"/>
      <c r="N242" s="2"/>
    </row>
    <row r="243" spans="2:14" ht="42">
      <c r="B243" s="20" t="s">
        <v>161</v>
      </c>
      <c r="C243" s="2"/>
      <c r="D243" s="2"/>
      <c r="E243" s="2"/>
      <c r="F243" s="24">
        <v>15798967</v>
      </c>
      <c r="G243" s="24"/>
      <c r="H243" s="24"/>
      <c r="I243" s="24"/>
      <c r="J243" s="24"/>
      <c r="K243" s="2"/>
      <c r="L243" s="2"/>
      <c r="M243" s="2"/>
      <c r="N243" s="2"/>
    </row>
    <row r="244" spans="2:14" ht="10.5">
      <c r="B244" s="20" t="s">
        <v>162</v>
      </c>
      <c r="C244" s="2"/>
      <c r="D244" s="2"/>
      <c r="E244" s="2"/>
      <c r="F244" s="24">
        <v>94466523.1</v>
      </c>
      <c r="G244" s="24"/>
      <c r="H244" s="24"/>
      <c r="I244" s="24"/>
      <c r="J244" s="24"/>
      <c r="K244" s="2"/>
      <c r="L244" s="2"/>
      <c r="M244" s="2"/>
      <c r="N244" s="2"/>
    </row>
    <row r="245" spans="2:14" ht="10.5">
      <c r="B245" s="29" t="s">
        <v>163</v>
      </c>
      <c r="C245" s="2"/>
      <c r="D245" s="2"/>
      <c r="E245" s="2"/>
      <c r="F245" s="24">
        <v>55827514.65</v>
      </c>
      <c r="G245" s="30"/>
      <c r="H245" s="28"/>
      <c r="I245" s="30">
        <v>450920.63</v>
      </c>
      <c r="J245" s="28"/>
      <c r="K245" s="2"/>
      <c r="L245" s="2"/>
      <c r="M245" s="2"/>
      <c r="N245" s="2"/>
    </row>
    <row r="246" spans="2:14" ht="10.5">
      <c r="B246" s="29"/>
      <c r="C246" s="2"/>
      <c r="D246" s="2"/>
      <c r="E246" s="2"/>
      <c r="F246" s="24"/>
      <c r="G246" s="24"/>
      <c r="H246" s="24"/>
      <c r="I246" s="28"/>
      <c r="J246" s="28"/>
      <c r="K246" s="2"/>
      <c r="L246" s="2"/>
      <c r="M246" s="2"/>
      <c r="N246" s="2"/>
    </row>
    <row r="247" spans="2:10" ht="10.5">
      <c r="B247" s="20" t="s">
        <v>164</v>
      </c>
      <c r="C247" s="2"/>
      <c r="D247" s="2"/>
      <c r="E247" s="2"/>
      <c r="F247" s="24">
        <v>55827514.65</v>
      </c>
      <c r="G247" s="24"/>
      <c r="H247" s="24"/>
      <c r="I247" s="24"/>
      <c r="J247" s="24"/>
    </row>
    <row r="248" spans="2:14" ht="10.5">
      <c r="B248" s="26" t="s">
        <v>165</v>
      </c>
      <c r="C248" s="26"/>
      <c r="D248" s="26"/>
      <c r="E248" s="26"/>
      <c r="F248" s="24">
        <v>150294037.75</v>
      </c>
      <c r="G248" s="24"/>
      <c r="H248" s="24"/>
      <c r="I248" s="24"/>
      <c r="J248" s="24"/>
      <c r="K248" s="18"/>
      <c r="L248" s="18"/>
      <c r="M248" s="18"/>
      <c r="N248" s="18"/>
    </row>
    <row r="250" spans="2:5" ht="10.5">
      <c r="B250" s="21" t="s">
        <v>166</v>
      </c>
      <c r="D250" s="27"/>
      <c r="E250" s="27"/>
    </row>
    <row r="252" spans="2:5" ht="10.5">
      <c r="B252" s="21" t="s">
        <v>167</v>
      </c>
      <c r="D252" s="27"/>
      <c r="E252" s="27"/>
    </row>
  </sheetData>
  <mergeCells count="362">
    <mergeCell ref="A21:A23"/>
    <mergeCell ref="C21:C23"/>
    <mergeCell ref="D21:E21"/>
    <mergeCell ref="F22:F23"/>
    <mergeCell ref="F21:J21"/>
    <mergeCell ref="G22:H23"/>
    <mergeCell ref="I23:J23"/>
    <mergeCell ref="G24:H24"/>
    <mergeCell ref="I24:J24"/>
    <mergeCell ref="B21:B23"/>
    <mergeCell ref="I22:J22"/>
    <mergeCell ref="A26:A27"/>
    <mergeCell ref="B26:I26"/>
    <mergeCell ref="A28:A29"/>
    <mergeCell ref="C28:C29"/>
    <mergeCell ref="F28:F29"/>
    <mergeCell ref="G28:H28"/>
    <mergeCell ref="I28:J28"/>
    <mergeCell ref="I29:J29"/>
    <mergeCell ref="B30:J30"/>
    <mergeCell ref="B31:J31"/>
    <mergeCell ref="A33:A34"/>
    <mergeCell ref="C33:C34"/>
    <mergeCell ref="F33:F34"/>
    <mergeCell ref="G33:H33"/>
    <mergeCell ref="I33:J33"/>
    <mergeCell ref="I34:J34"/>
    <mergeCell ref="B35:J35"/>
    <mergeCell ref="B36:J36"/>
    <mergeCell ref="A38:A39"/>
    <mergeCell ref="C38:C39"/>
    <mergeCell ref="F38:F39"/>
    <mergeCell ref="G38:H38"/>
    <mergeCell ref="I38:J38"/>
    <mergeCell ref="I39:J39"/>
    <mergeCell ref="B40:J40"/>
    <mergeCell ref="B41:J41"/>
    <mergeCell ref="A43:A44"/>
    <mergeCell ref="C43:C44"/>
    <mergeCell ref="F43:F44"/>
    <mergeCell ref="G43:H43"/>
    <mergeCell ref="I43:J43"/>
    <mergeCell ref="I44:J44"/>
    <mergeCell ref="B45:J45"/>
    <mergeCell ref="B46:J46"/>
    <mergeCell ref="A48:A49"/>
    <mergeCell ref="C48:C49"/>
    <mergeCell ref="F48:F49"/>
    <mergeCell ref="G48:H48"/>
    <mergeCell ref="I48:J48"/>
    <mergeCell ref="I49:J49"/>
    <mergeCell ref="B50:J50"/>
    <mergeCell ref="A52:A53"/>
    <mergeCell ref="B52:I52"/>
    <mergeCell ref="A54:A55"/>
    <mergeCell ref="C54:C55"/>
    <mergeCell ref="F54:F55"/>
    <mergeCell ref="G54:H54"/>
    <mergeCell ref="I54:J54"/>
    <mergeCell ref="I55:J55"/>
    <mergeCell ref="B56:J56"/>
    <mergeCell ref="B57:J57"/>
    <mergeCell ref="A59:A60"/>
    <mergeCell ref="C59:C60"/>
    <mergeCell ref="F59:F60"/>
    <mergeCell ref="G59:H59"/>
    <mergeCell ref="I59:J59"/>
    <mergeCell ref="I60:J60"/>
    <mergeCell ref="B61:J61"/>
    <mergeCell ref="B62:J62"/>
    <mergeCell ref="A64:A65"/>
    <mergeCell ref="C64:C65"/>
    <mergeCell ref="F64:F65"/>
    <mergeCell ref="G64:H64"/>
    <mergeCell ref="I64:J64"/>
    <mergeCell ref="I65:J65"/>
    <mergeCell ref="B66:J66"/>
    <mergeCell ref="B67:J67"/>
    <mergeCell ref="A69:A70"/>
    <mergeCell ref="C69:C70"/>
    <mergeCell ref="F69:F70"/>
    <mergeCell ref="G69:H69"/>
    <mergeCell ref="I69:J69"/>
    <mergeCell ref="I70:J70"/>
    <mergeCell ref="B71:J71"/>
    <mergeCell ref="B72:J72"/>
    <mergeCell ref="A74:A75"/>
    <mergeCell ref="B74:I74"/>
    <mergeCell ref="A76:A77"/>
    <mergeCell ref="C76:C77"/>
    <mergeCell ref="F76:F77"/>
    <mergeCell ref="G76:H76"/>
    <mergeCell ref="I76:J76"/>
    <mergeCell ref="I77:J77"/>
    <mergeCell ref="B78:J78"/>
    <mergeCell ref="B79:J79"/>
    <mergeCell ref="A81:A82"/>
    <mergeCell ref="C81:C82"/>
    <mergeCell ref="F81:F82"/>
    <mergeCell ref="G81:H81"/>
    <mergeCell ref="I81:J81"/>
    <mergeCell ref="I82:J82"/>
    <mergeCell ref="B83:J83"/>
    <mergeCell ref="B84:J84"/>
    <mergeCell ref="B85:J85"/>
    <mergeCell ref="A87:A88"/>
    <mergeCell ref="C87:C88"/>
    <mergeCell ref="F87:F88"/>
    <mergeCell ref="G87:H87"/>
    <mergeCell ref="I87:J87"/>
    <mergeCell ref="I88:J88"/>
    <mergeCell ref="B89:J89"/>
    <mergeCell ref="A91:A92"/>
    <mergeCell ref="C91:C92"/>
    <mergeCell ref="F91:F92"/>
    <mergeCell ref="G91:H91"/>
    <mergeCell ref="I91:J91"/>
    <mergeCell ref="I92:J92"/>
    <mergeCell ref="B93:J93"/>
    <mergeCell ref="B94:J94"/>
    <mergeCell ref="B95:J95"/>
    <mergeCell ref="A97:A98"/>
    <mergeCell ref="C97:C98"/>
    <mergeCell ref="F97:F98"/>
    <mergeCell ref="G97:H97"/>
    <mergeCell ref="I97:J97"/>
    <mergeCell ref="I98:J98"/>
    <mergeCell ref="B99:J99"/>
    <mergeCell ref="A101:A102"/>
    <mergeCell ref="C101:C102"/>
    <mergeCell ref="F101:F102"/>
    <mergeCell ref="G101:H101"/>
    <mergeCell ref="I101:J101"/>
    <mergeCell ref="I102:J102"/>
    <mergeCell ref="B103:J103"/>
    <mergeCell ref="B104:J104"/>
    <mergeCell ref="B105:J105"/>
    <mergeCell ref="A107:A108"/>
    <mergeCell ref="C107:C108"/>
    <mergeCell ref="F107:F108"/>
    <mergeCell ref="G107:H107"/>
    <mergeCell ref="I107:J107"/>
    <mergeCell ref="I108:J108"/>
    <mergeCell ref="B109:J109"/>
    <mergeCell ref="A111:A112"/>
    <mergeCell ref="C111:C112"/>
    <mergeCell ref="F111:F112"/>
    <mergeCell ref="G111:H111"/>
    <mergeCell ref="I111:J111"/>
    <mergeCell ref="I112:J112"/>
    <mergeCell ref="B113:J113"/>
    <mergeCell ref="B114:J114"/>
    <mergeCell ref="B115:J115"/>
    <mergeCell ref="A117:A118"/>
    <mergeCell ref="C117:C118"/>
    <mergeCell ref="F117:F118"/>
    <mergeCell ref="G117:H117"/>
    <mergeCell ref="I117:J117"/>
    <mergeCell ref="I118:J118"/>
    <mergeCell ref="B119:J119"/>
    <mergeCell ref="A121:A122"/>
    <mergeCell ref="C121:C122"/>
    <mergeCell ref="F121:F122"/>
    <mergeCell ref="G121:H121"/>
    <mergeCell ref="I121:J121"/>
    <mergeCell ref="I122:J122"/>
    <mergeCell ref="B123:J123"/>
    <mergeCell ref="B124:J124"/>
    <mergeCell ref="B125:J125"/>
    <mergeCell ref="A127:A128"/>
    <mergeCell ref="C127:C128"/>
    <mergeCell ref="F127:F128"/>
    <mergeCell ref="G127:H127"/>
    <mergeCell ref="I127:J127"/>
    <mergeCell ref="I128:J128"/>
    <mergeCell ref="B129:J129"/>
    <mergeCell ref="A131:A132"/>
    <mergeCell ref="C131:C132"/>
    <mergeCell ref="F131:F132"/>
    <mergeCell ref="G131:H131"/>
    <mergeCell ref="I131:J131"/>
    <mergeCell ref="I132:J132"/>
    <mergeCell ref="B133:J133"/>
    <mergeCell ref="B134:J134"/>
    <mergeCell ref="A136:A137"/>
    <mergeCell ref="C136:C137"/>
    <mergeCell ref="F136:F137"/>
    <mergeCell ref="G136:H136"/>
    <mergeCell ref="I136:J136"/>
    <mergeCell ref="I137:J137"/>
    <mergeCell ref="B138:J138"/>
    <mergeCell ref="B139:J139"/>
    <mergeCell ref="A141:A142"/>
    <mergeCell ref="C141:C142"/>
    <mergeCell ref="F141:F142"/>
    <mergeCell ref="G141:H141"/>
    <mergeCell ref="I141:J141"/>
    <mergeCell ref="I142:J142"/>
    <mergeCell ref="B143:J143"/>
    <mergeCell ref="B144:J144"/>
    <mergeCell ref="A146:A147"/>
    <mergeCell ref="C146:C147"/>
    <mergeCell ref="F146:F147"/>
    <mergeCell ref="G146:H146"/>
    <mergeCell ref="I146:J146"/>
    <mergeCell ref="I147:J147"/>
    <mergeCell ref="B148:J148"/>
    <mergeCell ref="B149:J149"/>
    <mergeCell ref="A151:A152"/>
    <mergeCell ref="C151:C152"/>
    <mergeCell ref="F151:F152"/>
    <mergeCell ref="G151:H151"/>
    <mergeCell ref="I151:J151"/>
    <mergeCell ref="I152:J152"/>
    <mergeCell ref="B153:J153"/>
    <mergeCell ref="A155:A156"/>
    <mergeCell ref="C155:C156"/>
    <mergeCell ref="F155:F156"/>
    <mergeCell ref="G155:H155"/>
    <mergeCell ref="I155:J155"/>
    <mergeCell ref="I156:J156"/>
    <mergeCell ref="B157:J157"/>
    <mergeCell ref="B158:J158"/>
    <mergeCell ref="A160:A161"/>
    <mergeCell ref="C160:C161"/>
    <mergeCell ref="F160:F161"/>
    <mergeCell ref="G160:H160"/>
    <mergeCell ref="I160:J160"/>
    <mergeCell ref="I161:J161"/>
    <mergeCell ref="B162:J162"/>
    <mergeCell ref="A164:A165"/>
    <mergeCell ref="C164:C165"/>
    <mergeCell ref="F164:F165"/>
    <mergeCell ref="G164:H164"/>
    <mergeCell ref="I164:J164"/>
    <mergeCell ref="I165:J165"/>
    <mergeCell ref="B166:J166"/>
    <mergeCell ref="B167:J167"/>
    <mergeCell ref="B168:J168"/>
    <mergeCell ref="A170:A171"/>
    <mergeCell ref="C170:C171"/>
    <mergeCell ref="F170:F171"/>
    <mergeCell ref="G170:H170"/>
    <mergeCell ref="I170:J170"/>
    <mergeCell ref="I171:J171"/>
    <mergeCell ref="B172:J172"/>
    <mergeCell ref="A174:A175"/>
    <mergeCell ref="C174:C175"/>
    <mergeCell ref="F174:F175"/>
    <mergeCell ref="G174:H174"/>
    <mergeCell ref="I174:J174"/>
    <mergeCell ref="I175:J175"/>
    <mergeCell ref="B176:J176"/>
    <mergeCell ref="B177:J177"/>
    <mergeCell ref="B178:J178"/>
    <mergeCell ref="A180:A181"/>
    <mergeCell ref="C180:C181"/>
    <mergeCell ref="F180:F181"/>
    <mergeCell ref="G180:H180"/>
    <mergeCell ref="I180:J180"/>
    <mergeCell ref="I181:J181"/>
    <mergeCell ref="B182:J182"/>
    <mergeCell ref="A184:A185"/>
    <mergeCell ref="C184:C185"/>
    <mergeCell ref="F184:F185"/>
    <mergeCell ref="G184:H184"/>
    <mergeCell ref="I184:J184"/>
    <mergeCell ref="I185:J185"/>
    <mergeCell ref="B186:J186"/>
    <mergeCell ref="B187:J187"/>
    <mergeCell ref="B188:J188"/>
    <mergeCell ref="A190:A191"/>
    <mergeCell ref="C190:C191"/>
    <mergeCell ref="F190:F191"/>
    <mergeCell ref="G190:H190"/>
    <mergeCell ref="I190:J190"/>
    <mergeCell ref="I191:J191"/>
    <mergeCell ref="B192:J192"/>
    <mergeCell ref="A194:A195"/>
    <mergeCell ref="C194:C195"/>
    <mergeCell ref="F194:F195"/>
    <mergeCell ref="G194:H194"/>
    <mergeCell ref="I194:J194"/>
    <mergeCell ref="I195:J195"/>
    <mergeCell ref="B196:J196"/>
    <mergeCell ref="B197:J197"/>
    <mergeCell ref="B198:J198"/>
    <mergeCell ref="A200:A201"/>
    <mergeCell ref="C200:C201"/>
    <mergeCell ref="F200:F201"/>
    <mergeCell ref="G200:H200"/>
    <mergeCell ref="I200:J200"/>
    <mergeCell ref="I201:J201"/>
    <mergeCell ref="B202:J202"/>
    <mergeCell ref="A204:A205"/>
    <mergeCell ref="C204:C205"/>
    <mergeCell ref="F204:F205"/>
    <mergeCell ref="G204:H204"/>
    <mergeCell ref="I204:J204"/>
    <mergeCell ref="I205:J205"/>
    <mergeCell ref="B206:J206"/>
    <mergeCell ref="B207:J207"/>
    <mergeCell ref="B208:J208"/>
    <mergeCell ref="A210:A211"/>
    <mergeCell ref="C210:C211"/>
    <mergeCell ref="F210:F211"/>
    <mergeCell ref="G210:H210"/>
    <mergeCell ref="I210:J210"/>
    <mergeCell ref="I211:J211"/>
    <mergeCell ref="B212:J212"/>
    <mergeCell ref="A214:A215"/>
    <mergeCell ref="C214:C215"/>
    <mergeCell ref="F214:F215"/>
    <mergeCell ref="G214:H214"/>
    <mergeCell ref="I214:J214"/>
    <mergeCell ref="I215:J215"/>
    <mergeCell ref="B216:J216"/>
    <mergeCell ref="B217:J217"/>
    <mergeCell ref="B218:J218"/>
    <mergeCell ref="A220:A221"/>
    <mergeCell ref="C220:C221"/>
    <mergeCell ref="F220:F221"/>
    <mergeCell ref="G220:H220"/>
    <mergeCell ref="I220:J220"/>
    <mergeCell ref="I221:J221"/>
    <mergeCell ref="B222:J222"/>
    <mergeCell ref="A224:A225"/>
    <mergeCell ref="C224:C225"/>
    <mergeCell ref="F224:F225"/>
    <mergeCell ref="G224:H224"/>
    <mergeCell ref="I224:J224"/>
    <mergeCell ref="I225:J225"/>
    <mergeCell ref="B226:J226"/>
    <mergeCell ref="B227:J227"/>
    <mergeCell ref="A229:A230"/>
    <mergeCell ref="C229:C230"/>
    <mergeCell ref="F229:F230"/>
    <mergeCell ref="G229:H229"/>
    <mergeCell ref="I229:J229"/>
    <mergeCell ref="I230:J230"/>
    <mergeCell ref="B231:J231"/>
    <mergeCell ref="B232:J232"/>
    <mergeCell ref="A234:A235"/>
    <mergeCell ref="C234:C235"/>
    <mergeCell ref="F234:F235"/>
    <mergeCell ref="G234:H234"/>
    <mergeCell ref="I234:J234"/>
    <mergeCell ref="I235:J235"/>
    <mergeCell ref="B236:J236"/>
    <mergeCell ref="B237:J237"/>
    <mergeCell ref="G238:H238"/>
    <mergeCell ref="I238:J238"/>
    <mergeCell ref="I239:J239"/>
    <mergeCell ref="B238:B239"/>
    <mergeCell ref="G240:H240"/>
    <mergeCell ref="I240:J240"/>
    <mergeCell ref="I246:J246"/>
    <mergeCell ref="B245:B246"/>
    <mergeCell ref="I241:J241"/>
    <mergeCell ref="B240:B241"/>
    <mergeCell ref="G245:H245"/>
    <mergeCell ref="I245:J245"/>
  </mergeCells>
  <printOptions/>
  <pageMargins left="0.17" right="0.17" top="0.17" bottom="0.16" header="0.17" footer="0.16"/>
  <pageSetup horizontalDpi="600" verticalDpi="600" orientation="landscape" paperSize="9" r:id="rId3"/>
  <headerFooter alignWithMargins="0"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2006-11-29T08:47:43Z</cp:lastPrinted>
  <dcterms:created xsi:type="dcterms:W3CDTF">2006-07-23T02:48:53Z</dcterms:created>
  <dcterms:modified xsi:type="dcterms:W3CDTF">2007-07-26T06:10:50Z</dcterms:modified>
  <cp:category/>
  <cp:version/>
  <cp:contentType/>
  <cp:contentStatus/>
</cp:coreProperties>
</file>