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rrick Xu\Desktop\Spring 2017\2.77 Precision Machine Design\Week 8\"/>
    </mc:Choice>
  </mc:AlternateContent>
  <bookViews>
    <workbookView xWindow="0" yWindow="0" windowWidth="20490" windowHeight="7755" tabRatio="744" firstSheet="1" activeTab="7"/>
  </bookViews>
  <sheets>
    <sheet name="FRDPARRC" sheetId="11" r:id="rId1"/>
    <sheet name="C1-Truss" sheetId="3" r:id="rId2"/>
    <sheet name="C2-Cantilever with leg" sheetId="2" r:id="rId3"/>
    <sheet name="C4-Cantilever" sheetId="4" r:id="rId4"/>
    <sheet name="Actuator" sheetId="1" r:id="rId5"/>
    <sheet name="Tapered cantilever" sheetId="9" r:id="rId6"/>
    <sheet name="Attachment_Slider" sheetId="13" r:id="rId7"/>
    <sheet name="Attachment_Base" sheetId="7" r:id="rId8"/>
    <sheet name="Rails" sheetId="8" r:id="rId9"/>
    <sheet name="Errors" sheetId="10" r:id="rId10"/>
  </sheets>
  <externalReferences>
    <externalReference r:id="rId11"/>
  </externalReferences>
  <definedNames>
    <definedName name="b_cantilever">'Tapered cantilever'!$C$19</definedName>
    <definedName name="c_1_c">'Tapered cantilever'!$C$26</definedName>
    <definedName name="cone_c">'Tapered cantilever'!$C$26</definedName>
    <definedName name="defl">'Tapered cantilever'!$C$30</definedName>
    <definedName name="dtot" localSheetId="6">#REF!</definedName>
    <definedName name="dtot">#REF!</definedName>
    <definedName name="E">'Tapered cantilever'!$C$18</definedName>
    <definedName name="E_cantilever">'Tapered cantilever'!$C$18</definedName>
    <definedName name="F">'Tapered cantilever'!$C$17</definedName>
    <definedName name="F_cantilever">'Tapered cantilever'!$C$17</definedName>
    <definedName name="fg" localSheetId="6">#REF!</definedName>
    <definedName name="fg">#REF!</definedName>
    <definedName name="fl" localSheetId="6">#REF!</definedName>
    <definedName name="fl">#REF!</definedName>
    <definedName name="fp" localSheetId="6">#REF!</definedName>
    <definedName name="fp">#REF!</definedName>
    <definedName name="ft" localSheetId="6">#REF!</definedName>
    <definedName name="ft">#REF!</definedName>
    <definedName name="Gamma">'Tapered cantilever'!$C$21</definedName>
    <definedName name="L">'Tapered cantilever'!$C$22</definedName>
    <definedName name="L_2">'Tapered cantilever'!$C$22</definedName>
    <definedName name="m_cantilever">'Tapered cantilever'!$C$25</definedName>
    <definedName name="maxs_cantilever">'Tapered cantilever'!$C$27</definedName>
    <definedName name="N" localSheetId="6">#REF!</definedName>
    <definedName name="N">#REF!</definedName>
    <definedName name="Tend">'Tapered cantilever'!$C$20</definedName>
    <definedName name="x_cantilever">'Tapered cantilever'!$C$23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3" l="1"/>
  <c r="C18" i="9"/>
  <c r="C30" i="9"/>
  <c r="C24" i="9"/>
  <c r="B13" i="3"/>
  <c r="B17" i="3"/>
  <c r="D17" i="3"/>
  <c r="B24" i="3"/>
  <c r="B26" i="3"/>
  <c r="B19" i="4"/>
  <c r="B20" i="4"/>
  <c r="B21" i="4"/>
  <c r="B23" i="4"/>
  <c r="B27" i="3"/>
  <c r="B30" i="3"/>
  <c r="B31" i="3"/>
  <c r="B18" i="3"/>
  <c r="B19" i="3"/>
  <c r="B32" i="3"/>
  <c r="B33" i="3"/>
  <c r="B8" i="3"/>
  <c r="B20" i="3"/>
  <c r="B63" i="3"/>
  <c r="B23" i="13"/>
  <c r="B26" i="13"/>
  <c r="B11" i="13"/>
  <c r="B16" i="13"/>
  <c r="B19" i="13"/>
  <c r="B28" i="13"/>
  <c r="C25" i="9"/>
  <c r="C26" i="9"/>
  <c r="C10" i="10"/>
  <c r="D27" i="10"/>
  <c r="C27" i="10"/>
  <c r="C25" i="10"/>
  <c r="B30" i="10"/>
  <c r="B29" i="10"/>
  <c r="E26" i="10"/>
  <c r="D26" i="10"/>
  <c r="E24" i="10"/>
  <c r="D24" i="10"/>
  <c r="C26" i="10"/>
  <c r="C24" i="10"/>
  <c r="B26" i="10"/>
  <c r="B24" i="10"/>
  <c r="B36" i="3"/>
  <c r="B40" i="3"/>
  <c r="B41" i="3"/>
  <c r="B38" i="3"/>
  <c r="C32" i="9"/>
  <c r="C33" i="9"/>
  <c r="D31" i="9"/>
  <c r="C31" i="9"/>
  <c r="C29" i="9"/>
  <c r="D28" i="9"/>
  <c r="C27" i="9"/>
  <c r="C28" i="9"/>
  <c r="H24" i="9"/>
  <c r="B26" i="8"/>
  <c r="B25" i="8"/>
  <c r="B34" i="7"/>
  <c r="B28" i="8"/>
  <c r="B30" i="8"/>
  <c r="B24" i="8"/>
  <c r="B20" i="8"/>
  <c r="B19" i="8"/>
  <c r="B12" i="8"/>
  <c r="B14" i="8"/>
  <c r="B11" i="8"/>
  <c r="B13" i="8"/>
  <c r="B5" i="8"/>
  <c r="B6" i="8"/>
  <c r="B29" i="7"/>
  <c r="B22" i="7"/>
  <c r="B30" i="7"/>
  <c r="B13" i="7"/>
  <c r="B25" i="7"/>
  <c r="B35" i="7"/>
  <c r="B37" i="7"/>
  <c r="B79" i="3"/>
  <c r="B6" i="4"/>
  <c r="B24" i="4"/>
  <c r="B25" i="4"/>
  <c r="B10" i="4"/>
  <c r="B13" i="4"/>
  <c r="B15" i="4"/>
  <c r="B16" i="4"/>
  <c r="B26" i="4"/>
  <c r="B78" i="3"/>
  <c r="B77" i="3"/>
  <c r="B80" i="3"/>
  <c r="B81" i="3"/>
  <c r="B48" i="3"/>
  <c r="B49" i="3"/>
  <c r="B52" i="3"/>
  <c r="B62" i="3"/>
  <c r="B71" i="3"/>
  <c r="B73" i="3"/>
  <c r="B74" i="3"/>
  <c r="B53" i="3"/>
  <c r="B69" i="3"/>
  <c r="B70" i="3"/>
  <c r="B72" i="3"/>
  <c r="B37" i="4"/>
  <c r="B43" i="4"/>
  <c r="I12" i="1"/>
  <c r="I14" i="1"/>
  <c r="I13" i="1"/>
  <c r="B10" i="1"/>
  <c r="B11" i="1"/>
  <c r="B5" i="1"/>
  <c r="B6" i="1"/>
  <c r="B12" i="1"/>
  <c r="B39" i="4"/>
  <c r="B36" i="4"/>
  <c r="B44" i="4"/>
  <c r="B7" i="3"/>
  <c r="B6" i="3"/>
  <c r="B55" i="3"/>
  <c r="B56" i="3"/>
  <c r="B17" i="2"/>
  <c r="B15" i="2"/>
  <c r="B16" i="2"/>
  <c r="B11" i="2"/>
  <c r="B7" i="2"/>
  <c r="B6" i="2"/>
  <c r="B14" i="1"/>
  <c r="B2" i="1"/>
  <c r="B57" i="3"/>
  <c r="B54" i="3"/>
</calcChain>
</file>

<file path=xl/sharedStrings.xml><?xml version="1.0" encoding="utf-8"?>
<sst xmlns="http://schemas.openxmlformats.org/spreadsheetml/2006/main" count="508" uniqueCount="297">
  <si>
    <t>pitch</t>
  </si>
  <si>
    <t>m</t>
  </si>
  <si>
    <t>torque</t>
  </si>
  <si>
    <t>Nm</t>
  </si>
  <si>
    <t>(Nema 17)</t>
  </si>
  <si>
    <t>1 rev</t>
  </si>
  <si>
    <t>efficiency</t>
  </si>
  <si>
    <t>Load</t>
  </si>
  <si>
    <t>N</t>
  </si>
  <si>
    <t>mm</t>
  </si>
  <si>
    <t>Power</t>
  </si>
  <si>
    <t>W</t>
  </si>
  <si>
    <t>v</t>
  </si>
  <si>
    <t>m/s</t>
  </si>
  <si>
    <t>time</t>
  </si>
  <si>
    <t>s</t>
  </si>
  <si>
    <t>to raise table through 45cm</t>
  </si>
  <si>
    <t>vertical height</t>
  </si>
  <si>
    <t>P</t>
  </si>
  <si>
    <t>L_table</t>
  </si>
  <si>
    <t>l_slider</t>
  </si>
  <si>
    <t>R_table</t>
  </si>
  <si>
    <t>(when load is in the middle of table)</t>
  </si>
  <si>
    <t>R_a</t>
  </si>
  <si>
    <t>y_max</t>
  </si>
  <si>
    <t>Material</t>
  </si>
  <si>
    <t>Plywood</t>
  </si>
  <si>
    <t>b</t>
  </si>
  <si>
    <t>h</t>
  </si>
  <si>
    <t>I</t>
  </si>
  <si>
    <t>m^4</t>
  </si>
  <si>
    <t>E</t>
  </si>
  <si>
    <t>Pa</t>
  </si>
  <si>
    <t>k</t>
  </si>
  <si>
    <t>N/m</t>
  </si>
  <si>
    <t>theta</t>
  </si>
  <si>
    <t>degrees</t>
  </si>
  <si>
    <t>F_bc</t>
  </si>
  <si>
    <t>rad</t>
  </si>
  <si>
    <t>F_ac</t>
  </si>
  <si>
    <t>R_a,x</t>
  </si>
  <si>
    <t>R_b,x</t>
  </si>
  <si>
    <t>F_actuator</t>
  </si>
  <si>
    <t>F_ab</t>
  </si>
  <si>
    <t>Reaction forces &amp; Internal forces</t>
  </si>
  <si>
    <t>Parameters</t>
  </si>
  <si>
    <t>deflection at middle of table</t>
  </si>
  <si>
    <t>UTS</t>
  </si>
  <si>
    <t>Compressive Yield Strength</t>
  </si>
  <si>
    <t>A</t>
  </si>
  <si>
    <t>m^2</t>
  </si>
  <si>
    <t>Tensal stress in AC</t>
  </si>
  <si>
    <t>Compressive stress in BC</t>
  </si>
  <si>
    <t>Assuming no deflection in AC and AB</t>
  </si>
  <si>
    <t>Point Load at tip of table</t>
  </si>
  <si>
    <t>Point Load in middle of table</t>
  </si>
  <si>
    <t>l_ab</t>
  </si>
  <si>
    <t>R_ax</t>
  </si>
  <si>
    <t>R_bx</t>
  </si>
  <si>
    <t>Birch Plywood</t>
  </si>
  <si>
    <t>% of UTS</t>
  </si>
  <si>
    <t>% of Yield Strength</t>
  </si>
  <si>
    <t>vertical speed</t>
  </si>
  <si>
    <t>Cross section area (mm^2)</t>
  </si>
  <si>
    <t>aluminum</t>
  </si>
  <si>
    <t>Young's Modulus (N/mm^2)</t>
  </si>
  <si>
    <t>Density (g/cm^3)</t>
  </si>
  <si>
    <t>Deflection</t>
  </si>
  <si>
    <t>assume N X own weight to account for other components</t>
  </si>
  <si>
    <t>Uniform loading (N/mm)</t>
  </si>
  <si>
    <t>Deflection cantilever beam unifirmly loaded (mm)</t>
  </si>
  <si>
    <t>Cantilever arm structure loaded under its own weight</t>
  </si>
  <si>
    <t>length (mm)</t>
  </si>
  <si>
    <t>Section</t>
  </si>
  <si>
    <t>round</t>
  </si>
  <si>
    <t>Outside diameter (mm)</t>
  </si>
  <si>
    <t>wall thickness (mm)</t>
  </si>
  <si>
    <t>2nd moment area I (mm^4)</t>
  </si>
  <si>
    <t>http://www.daycounter.com/Calculators/Stepper-Motor-Calculator.phtml</t>
  </si>
  <si>
    <t>Alternative Calculator</t>
  </si>
  <si>
    <t>rev/s</t>
  </si>
  <si>
    <t>Experiment</t>
  </si>
  <si>
    <t>distance</t>
  </si>
  <si>
    <t>rev</t>
  </si>
  <si>
    <t>deflection at end of table</t>
  </si>
  <si>
    <t>load is at middle of table</t>
  </si>
  <si>
    <t>I_2</t>
  </si>
  <si>
    <t>b_2</t>
  </si>
  <si>
    <t>h_2</t>
  </si>
  <si>
    <t>b_1</t>
  </si>
  <si>
    <t>h_1</t>
  </si>
  <si>
    <t>I_1</t>
  </si>
  <si>
    <t>rps</t>
  </si>
  <si>
    <t>adjust this such that rps is equal to max speed below</t>
  </si>
  <si>
    <t>e_BC</t>
  </si>
  <si>
    <t>Tilting of Truss</t>
  </si>
  <si>
    <t>F_tip</t>
  </si>
  <si>
    <t>Consider half of table</t>
  </si>
  <si>
    <t>h_slider</t>
  </si>
  <si>
    <t>l_table</t>
  </si>
  <si>
    <t>l_PoA</t>
  </si>
  <si>
    <t>k_bearing</t>
  </si>
  <si>
    <t>stiffness of plywood</t>
  </si>
  <si>
    <t>F_PoA</t>
  </si>
  <si>
    <t>Force exerted at half length of table</t>
  </si>
  <si>
    <t>y_tilt at tip</t>
  </si>
  <si>
    <t>y_tilt at middle</t>
  </si>
  <si>
    <t>y_max,real at middle</t>
  </si>
  <si>
    <t>Bearings</t>
  </si>
  <si>
    <t>Cross sectional Area</t>
  </si>
  <si>
    <t>width_slider</t>
  </si>
  <si>
    <t>width_bearing</t>
  </si>
  <si>
    <t>height_bearing</t>
  </si>
  <si>
    <t>thickness</t>
  </si>
  <si>
    <t>y_total</t>
  </si>
  <si>
    <t>All in N and mm</t>
  </si>
  <si>
    <t>Screw</t>
  </si>
  <si>
    <t>Engagement length</t>
  </si>
  <si>
    <t>Wood shear strength</t>
  </si>
  <si>
    <t>Force on desk edge</t>
  </si>
  <si>
    <t>Height</t>
  </si>
  <si>
    <t>Distance to spine</t>
  </si>
  <si>
    <t>Thread diameter</t>
  </si>
  <si>
    <t>Steel shear strength</t>
  </si>
  <si>
    <t>Root diameter</t>
  </si>
  <si>
    <t>Mpa</t>
  </si>
  <si>
    <t>Max tensile load on screw</t>
  </si>
  <si>
    <t>????</t>
  </si>
  <si>
    <t>Safety factor</t>
  </si>
  <si>
    <t>Width front to back of spine</t>
  </si>
  <si>
    <t>Offset of screw from back of spine</t>
  </si>
  <si>
    <t>Length center of screw to fulcrum</t>
  </si>
  <si>
    <t>Moment to withstand</t>
  </si>
  <si>
    <t>Forces screw need to withstand</t>
  </si>
  <si>
    <t>Number of screws</t>
  </si>
  <si>
    <t>Max shear force on wood from threads</t>
  </si>
  <si>
    <t>Screw head (for pull through)</t>
  </si>
  <si>
    <t>Thickness</t>
  </si>
  <si>
    <t>Back plate</t>
  </si>
  <si>
    <t>Middle plate</t>
  </si>
  <si>
    <t>Keeper</t>
  </si>
  <si>
    <t>Allowable for screws</t>
  </si>
  <si>
    <t>Backplate</t>
  </si>
  <si>
    <t>width</t>
  </si>
  <si>
    <t>area</t>
  </si>
  <si>
    <t>Middleplate</t>
  </si>
  <si>
    <t>Overall</t>
  </si>
  <si>
    <t>I in thickness bending</t>
  </si>
  <si>
    <t>area (each)</t>
  </si>
  <si>
    <t>I (each)</t>
  </si>
  <si>
    <t>area (total)</t>
  </si>
  <si>
    <t>I (total)</t>
  </si>
  <si>
    <t>Rails</t>
  </si>
  <si>
    <t>Center of gravity</t>
  </si>
  <si>
    <t>with respect to back of backplate</t>
  </si>
  <si>
    <t>Moment of inertia</t>
  </si>
  <si>
    <t>Distance to furthest fiber</t>
  </si>
  <si>
    <t>I/c</t>
  </si>
  <si>
    <t>Bending moment used for strength calculations</t>
  </si>
  <si>
    <t>Bending stress</t>
  </si>
  <si>
    <t>make keeper small in thickness than middle and back plate</t>
  </si>
  <si>
    <t>Beam_Tapered_Thickness.xls</t>
  </si>
  <si>
    <t>To determine stress, deflection, &amp; spring constant of a tapered-thickness constant-width beam</t>
  </si>
  <si>
    <t>By Alex Slocum, 8/28/03, last modified 09/21/04 by Xue'en Yang</t>
  </si>
  <si>
    <r>
      <t xml:space="preserve">Enters numbers in </t>
    </r>
    <r>
      <rPr>
        <b/>
        <sz val="12"/>
        <rFont val="Times New Roman"/>
        <family val="1"/>
      </rPr>
      <t>BOLD,</t>
    </r>
    <r>
      <rPr>
        <sz val="12"/>
        <rFont val="Times New Roman"/>
        <family val="1"/>
      </rPr>
      <t xml:space="preserve"> Results in </t>
    </r>
    <r>
      <rPr>
        <b/>
        <sz val="12"/>
        <color indexed="10"/>
        <rFont val="Times New Roman"/>
        <family val="1"/>
      </rPr>
      <t>RED</t>
    </r>
  </si>
  <si>
    <t>Schematic</t>
  </si>
  <si>
    <t>Beam dimensions and properties</t>
  </si>
  <si>
    <t>Values</t>
  </si>
  <si>
    <t>ProE Simulation</t>
  </si>
  <si>
    <t>Force,  F (N, grams)</t>
  </si>
  <si>
    <t>Modulus,  E (N/mm^2)</t>
  </si>
  <si>
    <t>Width, b (mm)</t>
  </si>
  <si>
    <t>Thickness at end, te (mm)</t>
  </si>
  <si>
    <t>Thickness at base, tb (mm)</t>
  </si>
  <si>
    <t>Length, L (mm)</t>
  </si>
  <si>
    <t>Distance along beam (x=0=end), x (mm)</t>
  </si>
  <si>
    <t>Moment of inertia I (mm^4)</t>
  </si>
  <si>
    <t>Thickness slope, m</t>
  </si>
  <si>
    <t>Constant, c_1</t>
  </si>
  <si>
    <t>Max stress at base, maxs (N/mm^2)</t>
  </si>
  <si>
    <t>Max strain at base (%)</t>
  </si>
  <si>
    <t>Slope at beam end (radians)</t>
  </si>
  <si>
    <t>Deflection at beam end, defl (mm)</t>
  </si>
  <si>
    <t>Spring constant, k (N/mm)</t>
  </si>
  <si>
    <t>Comparative straight beam deflection</t>
  </si>
  <si>
    <t>Ratio of tapered/straight beam deflection</t>
  </si>
  <si>
    <t>Equations</t>
  </si>
  <si>
    <t>position at end of beam</t>
  </si>
  <si>
    <t>Source of Error</t>
  </si>
  <si>
    <t>Structure</t>
  </si>
  <si>
    <t>Actuator</t>
  </si>
  <si>
    <t>Leadscrew bearings</t>
  </si>
  <si>
    <t>Antibacklash nuts</t>
  </si>
  <si>
    <t>Threaded guide</t>
  </si>
  <si>
    <t>Motor</t>
  </si>
  <si>
    <t>Leadscrew</t>
  </si>
  <si>
    <t>Coupling</t>
  </si>
  <si>
    <t>Static motor mount</t>
  </si>
  <si>
    <t>Table top</t>
  </si>
  <si>
    <t>Tapered cantilever (truss support)</t>
  </si>
  <si>
    <t>Slider tilting forward</t>
  </si>
  <si>
    <t>Slider tilting sideways</t>
  </si>
  <si>
    <t>Bearings (ie what happens in carriage)</t>
  </si>
  <si>
    <t>Keeper rail deform</t>
  </si>
  <si>
    <t>Bearings on slider deform</t>
  </si>
  <si>
    <t>Backplate deform</t>
  </si>
  <si>
    <r>
      <t xml:space="preserve">deflection at end of beam, when force is also at end of beam, now L_beam = </t>
    </r>
    <r>
      <rPr>
        <b/>
        <i/>
        <sz val="11"/>
        <color theme="1"/>
        <rFont val="Calibri"/>
        <family val="2"/>
        <scheme val="minor"/>
      </rPr>
      <t>240mm</t>
    </r>
  </si>
  <si>
    <t>Functional Requirements</t>
  </si>
  <si>
    <t>Design Parameters</t>
  </si>
  <si>
    <t>Analysis</t>
  </si>
  <si>
    <t>References</t>
  </si>
  <si>
    <t>Risks</t>
  </si>
  <si>
    <t>Countermeasures</t>
  </si>
  <si>
    <t>Sturdy support that is able to withstand heavy load</t>
  </si>
  <si>
    <t>Trusses to be attached strategically to slider to add stiffness to structure</t>
  </si>
  <si>
    <t>Free-body diagram. Force-moment analysis. Euler beam bending equation.</t>
  </si>
  <si>
    <t>Static mechanics</t>
  </si>
  <si>
    <t>Undercalculation of load, because did not take into consideration shock loading</t>
  </si>
  <si>
    <t>High safety factor. 1st order calculations.</t>
  </si>
  <si>
    <t>Horizontally balanced writing/typing surface</t>
  </si>
  <si>
    <t>Low angular errors in slider bearing to ensure table do not tilt too much</t>
  </si>
  <si>
    <t>Error apportionment spreadsheet. Estimation for angular deflection of table.</t>
  </si>
  <si>
    <t>Small angle approximation. Basic trigonometry</t>
  </si>
  <si>
    <t>Slider bearings have to be very long to ensure low errors.</t>
  </si>
  <si>
    <t>Find compromise between linear actuation distance, and slider length</t>
  </si>
  <si>
    <t>Flat, and spacious writing/typing surface</t>
  </si>
  <si>
    <t>Ensure that fasteners etc are away from surface of table</t>
  </si>
  <si>
    <t>Fastener calculation, and placement</t>
  </si>
  <si>
    <t xml:space="preserve">2.75x text on Structural Connections </t>
  </si>
  <si>
    <t>Weight optimized design</t>
  </si>
  <si>
    <t>Use strong, and lightweight material (eg. wood)</t>
  </si>
  <si>
    <t>Free-body diagram. Force-moment analysis to determine what weight works best</t>
  </si>
  <si>
    <t>Material properties summary online/in textbook</t>
  </si>
  <si>
    <t>Find compromise between weight and stiffness of overall design</t>
  </si>
  <si>
    <t>Portable design</t>
  </si>
  <si>
    <t>Doesn't have to be collapsible. Can have handle for easy carrying, and setup.</t>
  </si>
  <si>
    <t>Place handle at appropriate position for easy removal and transportation of table</t>
  </si>
  <si>
    <t>IDEO design booklet</t>
  </si>
  <si>
    <t>2 handles, to be carried with both hands</t>
  </si>
  <si>
    <t>Electronic actuation</t>
  </si>
  <si>
    <t>Stepper motor controlled by Arduino</t>
  </si>
  <si>
    <t>Plan wires arrangement, and set up communication between table and laptop</t>
  </si>
  <si>
    <t>Datasheets, system integration videos on YouTube</t>
  </si>
  <si>
    <t>Improper use of battery. Did not set reference voltage.</t>
  </si>
  <si>
    <t>Extra care taken</t>
  </si>
  <si>
    <t>Complete motion from highest point to lowest point in 1min</t>
  </si>
  <si>
    <t>Powerful actuator/more than 1 stepper motor, efficient code</t>
  </si>
  <si>
    <t>Power calcuations: P=Fv=Vi=Iw</t>
  </si>
  <si>
    <t>Datasheets, Physics textbook</t>
  </si>
  <si>
    <t>Motor is insufficiently powered</t>
  </si>
  <si>
    <t>Use more than 1 motor</t>
  </si>
  <si>
    <t>Table can move up and down over a linear distance of at least 30cm</t>
  </si>
  <si>
    <t>Leadscrew, and guide. Long rails.</t>
  </si>
  <si>
    <t>Dimensional calculations. Free-body diagram. Force-moment calculations.</t>
  </si>
  <si>
    <t>30cm not long/short</t>
  </si>
  <si>
    <t>Find compromise between dimensions and loading</t>
  </si>
  <si>
    <t>No misalignment during actuation</t>
  </si>
  <si>
    <t>Flexible coupling between leadscrew and motor</t>
  </si>
  <si>
    <t>Need to find appropriate coupling</t>
  </si>
  <si>
    <t>2.75x text on Power Transmission Elements</t>
  </si>
  <si>
    <t>Size of leadscrew and size of motor shaft are incompatible</t>
  </si>
  <si>
    <t>Machine custom adapter for leadscrew</t>
  </si>
  <si>
    <t>Top of slider</t>
  </si>
  <si>
    <t>Bottom of slider</t>
  </si>
  <si>
    <t>a</t>
  </si>
  <si>
    <t>t</t>
  </si>
  <si>
    <t>1.6t</t>
  </si>
  <si>
    <t>2a</t>
  </si>
  <si>
    <t>k_rail</t>
  </si>
  <si>
    <t>Category</t>
  </si>
  <si>
    <t>Geometric</t>
  </si>
  <si>
    <t>Load-induced</t>
  </si>
  <si>
    <t>Error Magnitude</t>
  </si>
  <si>
    <t>Note</t>
  </si>
  <si>
    <t>Ignored for now</t>
  </si>
  <si>
    <t># coordinate systems in model, N</t>
  </si>
  <si>
    <t>Total allowable error, dtot (mm)</t>
  </si>
  <si>
    <t>Allowable Errors</t>
  </si>
  <si>
    <t>Total/axis</t>
  </si>
  <si>
    <t>Units</t>
  </si>
  <si>
    <t>Actual Geometric</t>
  </si>
  <si>
    <t>Actual Load-induced</t>
  </si>
  <si>
    <t>Allowable Geometric</t>
  </si>
  <si>
    <t>Allowable Load-induced</t>
  </si>
  <si>
    <t>Thickness of wood</t>
  </si>
  <si>
    <t>Max pullthrough force</t>
  </si>
  <si>
    <t>Head diameter</t>
  </si>
  <si>
    <t>Nmm</t>
  </si>
  <si>
    <t>L_truss</t>
  </si>
  <si>
    <t>Truss ends in the middle of the table</t>
  </si>
  <si>
    <t>y_max,real at end</t>
  </si>
  <si>
    <t>alpha</t>
  </si>
  <si>
    <t>Truss is modeled as tapered cantilever</t>
  </si>
  <si>
    <t>Forces</t>
  </si>
  <si>
    <t>Final Results</t>
  </si>
  <si>
    <t>Intermediate Results</t>
  </si>
  <si>
    <t>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</si>
</sst>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0"/>
    <numFmt numFmtId="165" formatCode="0.0"/>
    <numFmt numFmtId="166" formatCode="0.000"/>
    <numFmt numFmtId="167" formatCode="_(* #,##0.00000_);_(* \(#,##0.00000\);_(* &quot;-&quot;??_);_(@_)"/>
    <numFmt numFmtId="168" formatCode="0.00000"/>
    <numFmt numFmtId="170" formatCode="0.0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b/>
      <sz val="10"/>
      <color indexed="12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2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  <xf numFmtId="1" fontId="0" fillId="0" borderId="0" xfId="0" applyNumberFormat="1"/>
    <xf numFmtId="165" fontId="0" fillId="0" borderId="0" xfId="0" applyNumberFormat="1" applyFill="1" applyBorder="1"/>
    <xf numFmtId="11" fontId="0" fillId="0" borderId="0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Fill="1" applyBorder="1"/>
    <xf numFmtId="166" fontId="0" fillId="0" borderId="0" xfId="0" applyNumberFormat="1" applyBorder="1"/>
    <xf numFmtId="1" fontId="0" fillId="0" borderId="0" xfId="0" applyNumberFormat="1" applyBorder="1"/>
    <xf numFmtId="11" fontId="0" fillId="0" borderId="0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Fill="1" applyBorder="1"/>
    <xf numFmtId="0" fontId="0" fillId="0" borderId="8" xfId="0" applyFill="1" applyBorder="1"/>
    <xf numFmtId="2" fontId="0" fillId="2" borderId="0" xfId="0" applyNumberFormat="1" applyFill="1" applyBorder="1"/>
    <xf numFmtId="11" fontId="0" fillId="0" borderId="1" xfId="0" applyNumberFormat="1" applyBorder="1"/>
    <xf numFmtId="0" fontId="0" fillId="0" borderId="11" xfId="0" applyBorder="1"/>
    <xf numFmtId="164" fontId="0" fillId="0" borderId="3" xfId="0" applyNumberFormat="1" applyBorder="1"/>
    <xf numFmtId="2" fontId="0" fillId="0" borderId="3" xfId="0" applyNumberFormat="1" applyBorder="1"/>
    <xf numFmtId="0" fontId="0" fillId="2" borderId="2" xfId="0" applyFill="1" applyBorder="1"/>
    <xf numFmtId="9" fontId="0" fillId="0" borderId="3" xfId="0" applyNumberFormat="1" applyBorder="1"/>
    <xf numFmtId="165" fontId="0" fillId="2" borderId="2" xfId="0" applyNumberFormat="1" applyFill="1" applyBorder="1"/>
    <xf numFmtId="0" fontId="0" fillId="0" borderId="12" xfId="0" applyBorder="1"/>
    <xf numFmtId="1" fontId="0" fillId="0" borderId="12" xfId="0" applyNumberFormat="1" applyBorder="1"/>
    <xf numFmtId="0" fontId="0" fillId="0" borderId="12" xfId="0" applyBorder="1" applyAlignment="1">
      <alignment horizontal="center"/>
    </xf>
    <xf numFmtId="166" fontId="0" fillId="0" borderId="12" xfId="0" applyNumberFormat="1" applyBorder="1"/>
    <xf numFmtId="0" fontId="0" fillId="0" borderId="12" xfId="0" applyBorder="1" applyAlignment="1">
      <alignment wrapText="1"/>
    </xf>
    <xf numFmtId="167" fontId="0" fillId="0" borderId="12" xfId="2" applyNumberFormat="1" applyFont="1" applyBorder="1"/>
    <xf numFmtId="1" fontId="0" fillId="0" borderId="0" xfId="0" applyNumberFormat="1" applyFill="1" applyBorder="1"/>
    <xf numFmtId="9" fontId="0" fillId="0" borderId="0" xfId="1" applyFont="1" applyBorder="1"/>
    <xf numFmtId="2" fontId="0" fillId="0" borderId="0" xfId="0" applyNumberFormat="1"/>
    <xf numFmtId="168" fontId="0" fillId="0" borderId="0" xfId="0" applyNumberFormat="1" applyBorder="1"/>
    <xf numFmtId="0" fontId="2" fillId="0" borderId="1" xfId="0" applyFont="1" applyBorder="1"/>
    <xf numFmtId="0" fontId="2" fillId="0" borderId="9" xfId="0" applyFont="1" applyBorder="1"/>
    <xf numFmtId="0" fontId="0" fillId="0" borderId="7" xfId="0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7" xfId="0" applyFill="1" applyBorder="1" applyAlignment="1">
      <alignment horizontal="left" indent="1"/>
    </xf>
    <xf numFmtId="0" fontId="0" fillId="0" borderId="8" xfId="0" applyFill="1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 indent="1"/>
    </xf>
    <xf numFmtId="0" fontId="2" fillId="0" borderId="0" xfId="0" applyFont="1"/>
    <xf numFmtId="2" fontId="0" fillId="3" borderId="1" xfId="0" applyNumberFormat="1" applyFill="1" applyBorder="1"/>
    <xf numFmtId="0" fontId="2" fillId="0" borderId="4" xfId="0" applyFont="1" applyBorder="1"/>
    <xf numFmtId="2" fontId="0" fillId="3" borderId="0" xfId="0" applyNumberFormat="1" applyFill="1" applyBorder="1"/>
    <xf numFmtId="2" fontId="0" fillId="2" borderId="10" xfId="0" applyNumberFormat="1" applyFill="1" applyBorder="1"/>
    <xf numFmtId="0" fontId="0" fillId="0" borderId="9" xfId="0" applyFill="1" applyBorder="1" applyAlignment="1">
      <alignment horizontal="left" indent="1"/>
    </xf>
    <xf numFmtId="11" fontId="0" fillId="0" borderId="10" xfId="0" applyNumberFormat="1" applyBorder="1"/>
    <xf numFmtId="0" fontId="0" fillId="0" borderId="11" xfId="0" applyFill="1" applyBorder="1"/>
    <xf numFmtId="11" fontId="0" fillId="0" borderId="1" xfId="0" applyNumberFormat="1" applyFill="1" applyBorder="1"/>
    <xf numFmtId="0" fontId="0" fillId="0" borderId="0" xfId="0" applyAlignment="1">
      <alignment horizontal="left"/>
    </xf>
    <xf numFmtId="0" fontId="3" fillId="4" borderId="0" xfId="0" applyFont="1" applyFill="1"/>
    <xf numFmtId="0" fontId="3" fillId="0" borderId="0" xfId="0" applyFont="1" applyFill="1"/>
    <xf numFmtId="0" fontId="3" fillId="0" borderId="0" xfId="0" applyFont="1"/>
    <xf numFmtId="0" fontId="3" fillId="4" borderId="0" xfId="0" applyFont="1" applyFill="1" applyBorder="1"/>
    <xf numFmtId="0" fontId="3" fillId="4" borderId="0" xfId="0" applyFont="1" applyFill="1" applyBorder="1" applyAlignment="1"/>
    <xf numFmtId="0" fontId="3" fillId="0" borderId="0" xfId="0" applyFont="1" applyFill="1" applyBorder="1"/>
    <xf numFmtId="0" fontId="3" fillId="0" borderId="0" xfId="0" applyFont="1" applyBorder="1"/>
    <xf numFmtId="0" fontId="9" fillId="4" borderId="0" xfId="0" applyFont="1" applyFill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9" fillId="0" borderId="21" xfId="0" applyFont="1" applyBorder="1"/>
    <xf numFmtId="0" fontId="9" fillId="0" borderId="22" xfId="0" applyFont="1" applyBorder="1" applyAlignment="1">
      <alignment horizontal="center"/>
    </xf>
    <xf numFmtId="1" fontId="9" fillId="5" borderId="23" xfId="0" applyNumberFormat="1" applyFont="1" applyFill="1" applyBorder="1" applyAlignment="1">
      <alignment horizontal="center"/>
    </xf>
    <xf numFmtId="0" fontId="6" fillId="0" borderId="24" xfId="0" applyFont="1" applyFill="1" applyBorder="1"/>
    <xf numFmtId="2" fontId="10" fillId="0" borderId="25" xfId="0" applyNumberFormat="1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1" fontId="10" fillId="0" borderId="25" xfId="0" applyNumberFormat="1" applyFont="1" applyFill="1" applyBorder="1" applyAlignment="1">
      <alignment horizontal="center"/>
    </xf>
    <xf numFmtId="165" fontId="10" fillId="0" borderId="25" xfId="0" applyNumberFormat="1" applyFont="1" applyFill="1" applyBorder="1" applyAlignment="1">
      <alignment horizontal="center"/>
    </xf>
    <xf numFmtId="165" fontId="9" fillId="5" borderId="23" xfId="0" applyNumberFormat="1" applyFont="1" applyFill="1" applyBorder="1" applyAlignment="1">
      <alignment horizontal="center"/>
    </xf>
    <xf numFmtId="166" fontId="11" fillId="0" borderId="25" xfId="0" applyNumberFormat="1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  <xf numFmtId="0" fontId="11" fillId="0" borderId="25" xfId="0" applyNumberFormat="1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/>
    </xf>
    <xf numFmtId="0" fontId="11" fillId="0" borderId="25" xfId="2" applyNumberFormat="1" applyFont="1" applyFill="1" applyBorder="1" applyAlignment="1">
      <alignment horizontal="center"/>
    </xf>
    <xf numFmtId="0" fontId="9" fillId="5" borderId="23" xfId="2" applyNumberFormat="1" applyFont="1" applyFill="1" applyBorder="1" applyAlignment="1">
      <alignment horizontal="center"/>
    </xf>
    <xf numFmtId="166" fontId="9" fillId="5" borderId="23" xfId="0" applyNumberFormat="1" applyFont="1" applyFill="1" applyBorder="1" applyAlignment="1">
      <alignment horizontal="center"/>
    </xf>
    <xf numFmtId="0" fontId="6" fillId="0" borderId="26" xfId="0" applyFont="1" applyFill="1" applyBorder="1"/>
    <xf numFmtId="166" fontId="11" fillId="0" borderId="27" xfId="0" applyNumberFormat="1" applyFont="1" applyFill="1" applyBorder="1" applyAlignment="1">
      <alignment horizontal="center"/>
    </xf>
    <xf numFmtId="0" fontId="9" fillId="4" borderId="0" xfId="0" applyFont="1" applyFill="1"/>
    <xf numFmtId="0" fontId="0" fillId="4" borderId="0" xfId="0" applyFill="1"/>
    <xf numFmtId="0" fontId="0" fillId="0" borderId="0" xfId="0" applyFill="1"/>
    <xf numFmtId="166" fontId="11" fillId="2" borderId="25" xfId="1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Alignment="1">
      <alignment wrapText="1"/>
    </xf>
    <xf numFmtId="166" fontId="0" fillId="0" borderId="3" xfId="0" applyNumberFormat="1" applyBorder="1"/>
    <xf numFmtId="166" fontId="0" fillId="0" borderId="2" xfId="0" applyNumberFormat="1" applyBorder="1"/>
    <xf numFmtId="11" fontId="0" fillId="0" borderId="5" xfId="0" applyNumberFormat="1" applyBorder="1"/>
    <xf numFmtId="1" fontId="0" fillId="0" borderId="1" xfId="0" applyNumberFormat="1" applyBorder="1"/>
    <xf numFmtId="0" fontId="0" fillId="0" borderId="12" xfId="0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 wrapText="1"/>
    </xf>
    <xf numFmtId="0" fontId="6" fillId="5" borderId="0" xfId="0" applyFont="1" applyFill="1" applyBorder="1" applyAlignment="1">
      <alignment horizontal="center" wrapText="1"/>
    </xf>
    <xf numFmtId="0" fontId="6" fillId="5" borderId="17" xfId="0" applyFont="1" applyFill="1" applyBorder="1" applyAlignment="1">
      <alignment horizontal="center" wrapText="1"/>
    </xf>
    <xf numFmtId="0" fontId="6" fillId="5" borderId="16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0" fillId="0" borderId="16" xfId="0" applyBorder="1"/>
    <xf numFmtId="0" fontId="0" fillId="0" borderId="17" xfId="0" applyBorder="1"/>
    <xf numFmtId="0" fontId="0" fillId="0" borderId="37" xfId="0" applyBorder="1"/>
    <xf numFmtId="166" fontId="0" fillId="0" borderId="37" xfId="0" applyNumberFormat="1" applyBorder="1"/>
    <xf numFmtId="0" fontId="0" fillId="0" borderId="38" xfId="0" applyBorder="1"/>
    <xf numFmtId="0" fontId="0" fillId="0" borderId="28" xfId="0" applyBorder="1"/>
    <xf numFmtId="0" fontId="15" fillId="0" borderId="29" xfId="0" applyFont="1" applyBorder="1"/>
    <xf numFmtId="0" fontId="0" fillId="6" borderId="30" xfId="0" applyFill="1" applyBorder="1"/>
    <xf numFmtId="0" fontId="15" fillId="6" borderId="31" xfId="0" applyFont="1" applyFill="1" applyBorder="1"/>
    <xf numFmtId="0" fontId="0" fillId="0" borderId="16" xfId="0" applyBorder="1" applyAlignment="1">
      <alignment horizontal="left" indent="1"/>
    </xf>
    <xf numFmtId="0" fontId="13" fillId="0" borderId="17" xfId="0" applyFont="1" applyBorder="1"/>
    <xf numFmtId="0" fontId="2" fillId="0" borderId="0" xfId="0" applyFont="1" applyBorder="1"/>
    <xf numFmtId="0" fontId="0" fillId="0" borderId="36" xfId="0" applyBorder="1" applyAlignment="1">
      <alignment horizontal="left" indent="1"/>
    </xf>
    <xf numFmtId="0" fontId="13" fillId="0" borderId="36" xfId="0" applyFont="1" applyBorder="1"/>
    <xf numFmtId="0" fontId="13" fillId="0" borderId="16" xfId="0" applyFont="1" applyBorder="1"/>
    <xf numFmtId="0" fontId="0" fillId="2" borderId="32" xfId="0" applyFill="1" applyBorder="1"/>
    <xf numFmtId="0" fontId="0" fillId="0" borderId="32" xfId="0" applyBorder="1"/>
    <xf numFmtId="1" fontId="0" fillId="0" borderId="32" xfId="0" applyNumberFormat="1" applyBorder="1"/>
    <xf numFmtId="166" fontId="0" fillId="2" borderId="1" xfId="0" applyNumberFormat="1" applyFill="1" applyBorder="1"/>
    <xf numFmtId="166" fontId="0" fillId="3" borderId="0" xfId="0" applyNumberFormat="1" applyFill="1" applyBorder="1"/>
    <xf numFmtId="0" fontId="0" fillId="0" borderId="0" xfId="0" applyFill="1" applyBorder="1" applyAlignment="1">
      <alignment horizontal="left" indent="1"/>
    </xf>
    <xf numFmtId="170" fontId="0" fillId="0" borderId="0" xfId="0" applyNumberFormat="1" applyBorder="1"/>
    <xf numFmtId="0" fontId="0" fillId="0" borderId="0" xfId="0" applyFill="1" applyBorder="1" applyAlignment="1">
      <alignment horizontal="left"/>
    </xf>
    <xf numFmtId="11" fontId="0" fillId="0" borderId="0" xfId="0" applyNumberFormat="1"/>
    <xf numFmtId="166" fontId="0" fillId="2" borderId="0" xfId="0" applyNumberFormat="1" applyFill="1" applyBorder="1"/>
    <xf numFmtId="166" fontId="0" fillId="0" borderId="1" xfId="0" applyNumberFormat="1" applyBorder="1"/>
    <xf numFmtId="0" fontId="0" fillId="0" borderId="2" xfId="0" applyFill="1" applyBorder="1"/>
    <xf numFmtId="0" fontId="0" fillId="0" borderId="0" xfId="0" applyBorder="1" applyAlignment="1">
      <alignment horizontal="left" indent="1"/>
    </xf>
    <xf numFmtId="0" fontId="0" fillId="0" borderId="1" xfId="0" applyFill="1" applyBorder="1" applyAlignment="1">
      <alignment horizontal="left" indent="1"/>
    </xf>
    <xf numFmtId="0" fontId="0" fillId="0" borderId="4" xfId="0" applyFont="1" applyBorder="1"/>
    <xf numFmtId="0" fontId="0" fillId="0" borderId="4" xfId="0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17</xdr:row>
      <xdr:rowOff>66675</xdr:rowOff>
    </xdr:from>
    <xdr:to>
      <xdr:col>5</xdr:col>
      <xdr:colOff>552450</xdr:colOff>
      <xdr:row>30</xdr:row>
      <xdr:rowOff>166536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305175"/>
          <a:ext cx="3952875" cy="25763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35</xdr:row>
          <xdr:rowOff>76200</xdr:rowOff>
        </xdr:from>
        <xdr:to>
          <xdr:col>4</xdr:col>
          <xdr:colOff>104775</xdr:colOff>
          <xdr:row>43</xdr:row>
          <xdr:rowOff>66675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xmlns="" id="{00000000-0008-0000-05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581025</xdr:colOff>
          <xdr:row>43</xdr:row>
          <xdr:rowOff>19050</xdr:rowOff>
        </xdr:from>
        <xdr:to>
          <xdr:col>2</xdr:col>
          <xdr:colOff>619125</xdr:colOff>
          <xdr:row>50</xdr:row>
          <xdr:rowOff>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xmlns="" id="{00000000-0008-0000-05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</xdr:row>
          <xdr:rowOff>0</xdr:rowOff>
        </xdr:from>
        <xdr:to>
          <xdr:col>5</xdr:col>
          <xdr:colOff>257175</xdr:colOff>
          <xdr:row>14</xdr:row>
          <xdr:rowOff>66675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xmlns="" id="{00000000-0008-0000-05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xis_error_apportionment_estima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Sheet2"/>
      <sheetName val="thermal"/>
      <sheetName val="Sheet3"/>
    </sheetNames>
    <definedNames>
      <definedName name="dtot" refersTo="='Sheet1'!$B$5"/>
      <definedName name="N" refersTo="='Sheet1'!$B$4"/>
    </definedNames>
    <sheetDataSet>
      <sheetData sheetId="0">
        <row r="4">
          <cell r="B4">
            <v>2</v>
          </cell>
        </row>
        <row r="5">
          <cell r="B5">
            <v>3</v>
          </cell>
        </row>
        <row r="21">
          <cell r="D21">
            <v>1.125</v>
          </cell>
          <cell r="E21">
            <v>0.88092641503833546</v>
          </cell>
          <cell r="F21">
            <v>0.44046320751916773</v>
          </cell>
          <cell r="G21">
            <v>0.17618528300766712</v>
          </cell>
        </row>
        <row r="23">
          <cell r="D23">
            <v>1.125</v>
          </cell>
          <cell r="E23">
            <v>0.88092641503833546</v>
          </cell>
          <cell r="F23">
            <v>0.44046320751916773</v>
          </cell>
          <cell r="G23">
            <v>0.17618528300766712</v>
          </cell>
        </row>
      </sheetData>
      <sheetData sheetId="1"/>
      <sheetData sheetId="2"/>
      <sheetData sheetId="3">
        <row r="4">
          <cell r="B4">
            <v>5</v>
          </cell>
        </row>
        <row r="5">
          <cell r="B5">
            <v>20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7" Type="http://schemas.openxmlformats.org/officeDocument/2006/relationships/image" Target="../media/image3.emf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image" Target="../media/image2.wmf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D11" sqref="D11"/>
    </sheetView>
  </sheetViews>
  <sheetFormatPr defaultRowHeight="15" x14ac:dyDescent="0.25"/>
  <cols>
    <col min="1" max="1" width="4.85546875" customWidth="1"/>
    <col min="2" max="2" width="36.42578125" customWidth="1"/>
    <col min="3" max="3" width="41.85546875" customWidth="1"/>
    <col min="4" max="4" width="31" customWidth="1"/>
    <col min="5" max="5" width="23.85546875" customWidth="1"/>
    <col min="6" max="7" width="30.28515625" customWidth="1"/>
  </cols>
  <sheetData>
    <row r="1" spans="1:7" ht="60" x14ac:dyDescent="0.25">
      <c r="A1" s="89"/>
      <c r="B1" s="89" t="s">
        <v>207</v>
      </c>
      <c r="C1" s="89" t="s">
        <v>208</v>
      </c>
      <c r="D1" s="89" t="s">
        <v>209</v>
      </c>
      <c r="E1" s="89" t="s">
        <v>210</v>
      </c>
      <c r="F1" s="89" t="s">
        <v>211</v>
      </c>
      <c r="G1" s="89" t="s">
        <v>212</v>
      </c>
    </row>
    <row r="2" spans="1:7" ht="45" x14ac:dyDescent="0.25">
      <c r="A2" s="90">
        <v>1</v>
      </c>
      <c r="B2" s="90" t="s">
        <v>213</v>
      </c>
      <c r="C2" s="90" t="s">
        <v>214</v>
      </c>
      <c r="D2" s="91" t="s">
        <v>215</v>
      </c>
      <c r="E2" s="91" t="s">
        <v>216</v>
      </c>
      <c r="F2" s="91" t="s">
        <v>217</v>
      </c>
      <c r="G2" s="91" t="s">
        <v>218</v>
      </c>
    </row>
    <row r="3" spans="1:7" ht="45" x14ac:dyDescent="0.25">
      <c r="A3" s="92">
        <v>2</v>
      </c>
      <c r="B3" s="93" t="s">
        <v>219</v>
      </c>
      <c r="C3" s="93" t="s">
        <v>220</v>
      </c>
      <c r="D3" s="93" t="s">
        <v>221</v>
      </c>
      <c r="E3" s="93" t="s">
        <v>222</v>
      </c>
      <c r="F3" s="93" t="s">
        <v>223</v>
      </c>
      <c r="G3" s="93" t="s">
        <v>224</v>
      </c>
    </row>
    <row r="4" spans="1:7" ht="45" x14ac:dyDescent="0.25">
      <c r="A4" s="93">
        <v>3</v>
      </c>
      <c r="B4" s="93" t="s">
        <v>225</v>
      </c>
      <c r="C4" s="93" t="s">
        <v>226</v>
      </c>
      <c r="D4" s="93" t="s">
        <v>227</v>
      </c>
      <c r="E4" s="93" t="s">
        <v>228</v>
      </c>
      <c r="F4" s="93" t="s">
        <v>217</v>
      </c>
      <c r="G4" s="93" t="s">
        <v>218</v>
      </c>
    </row>
    <row r="5" spans="1:7" ht="60" x14ac:dyDescent="0.25">
      <c r="A5" s="92">
        <v>4</v>
      </c>
      <c r="B5" s="93" t="s">
        <v>229</v>
      </c>
      <c r="C5" s="93" t="s">
        <v>230</v>
      </c>
      <c r="D5" s="93" t="s">
        <v>231</v>
      </c>
      <c r="E5" s="93" t="s">
        <v>232</v>
      </c>
      <c r="F5" s="93" t="s">
        <v>217</v>
      </c>
      <c r="G5" s="93" t="s">
        <v>233</v>
      </c>
    </row>
    <row r="6" spans="1:7" ht="45" x14ac:dyDescent="0.25">
      <c r="A6" s="93">
        <v>5</v>
      </c>
      <c r="B6" s="93" t="s">
        <v>234</v>
      </c>
      <c r="C6" s="93" t="s">
        <v>235</v>
      </c>
      <c r="D6" s="93" t="s">
        <v>236</v>
      </c>
      <c r="E6" s="93" t="s">
        <v>237</v>
      </c>
      <c r="F6" s="93" t="s">
        <v>217</v>
      </c>
      <c r="G6" s="93" t="s">
        <v>238</v>
      </c>
    </row>
    <row r="7" spans="1:7" ht="45" x14ac:dyDescent="0.25">
      <c r="A7" s="92">
        <v>6</v>
      </c>
      <c r="B7" s="93" t="s">
        <v>239</v>
      </c>
      <c r="C7" s="93" t="s">
        <v>240</v>
      </c>
      <c r="D7" s="93" t="s">
        <v>241</v>
      </c>
      <c r="E7" s="93" t="s">
        <v>242</v>
      </c>
      <c r="F7" s="93" t="s">
        <v>243</v>
      </c>
      <c r="G7" s="93" t="s">
        <v>244</v>
      </c>
    </row>
    <row r="8" spans="1:7" ht="30" x14ac:dyDescent="0.25">
      <c r="A8" s="93">
        <v>7</v>
      </c>
      <c r="B8" s="93" t="s">
        <v>245</v>
      </c>
      <c r="C8" s="93" t="s">
        <v>246</v>
      </c>
      <c r="D8" s="93" t="s">
        <v>247</v>
      </c>
      <c r="E8" s="93" t="s">
        <v>248</v>
      </c>
      <c r="F8" s="93" t="s">
        <v>249</v>
      </c>
      <c r="G8" s="93" t="s">
        <v>250</v>
      </c>
    </row>
    <row r="9" spans="1:7" ht="45" x14ac:dyDescent="0.25">
      <c r="A9" s="92">
        <v>8</v>
      </c>
      <c r="B9" s="93" t="s">
        <v>251</v>
      </c>
      <c r="C9" s="93" t="s">
        <v>252</v>
      </c>
      <c r="D9" s="93" t="s">
        <v>253</v>
      </c>
      <c r="E9" s="93" t="s">
        <v>216</v>
      </c>
      <c r="F9" s="93" t="s">
        <v>254</v>
      </c>
      <c r="G9" s="93" t="s">
        <v>255</v>
      </c>
    </row>
    <row r="10" spans="1:7" ht="45" x14ac:dyDescent="0.25">
      <c r="A10" s="93">
        <v>9</v>
      </c>
      <c r="B10" s="93" t="s">
        <v>256</v>
      </c>
      <c r="C10" s="93" t="s">
        <v>257</v>
      </c>
      <c r="D10" s="93" t="s">
        <v>258</v>
      </c>
      <c r="E10" s="93" t="s">
        <v>259</v>
      </c>
      <c r="F10" s="93" t="s">
        <v>260</v>
      </c>
      <c r="G10" s="93" t="s">
        <v>261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3" zoomScale="115" zoomScaleNormal="115" workbookViewId="0">
      <selection activeCell="G22" sqref="G22"/>
    </sheetView>
  </sheetViews>
  <sheetFormatPr defaultRowHeight="15" x14ac:dyDescent="0.25"/>
  <cols>
    <col min="1" max="1" width="39.7109375" customWidth="1"/>
    <col min="2" max="2" width="15.85546875" customWidth="1"/>
    <col min="3" max="3" width="20.5703125" customWidth="1"/>
    <col min="4" max="4" width="15" customWidth="1"/>
    <col min="5" max="5" width="13" customWidth="1"/>
  </cols>
  <sheetData>
    <row r="1" spans="1:5" s="39" customFormat="1" x14ac:dyDescent="0.25">
      <c r="A1" s="120" t="s">
        <v>188</v>
      </c>
      <c r="B1" s="121" t="s">
        <v>269</v>
      </c>
      <c r="C1" s="121" t="s">
        <v>272</v>
      </c>
      <c r="D1" s="121"/>
      <c r="E1" s="122" t="s">
        <v>273</v>
      </c>
    </row>
    <row r="2" spans="1:5" x14ac:dyDescent="0.25">
      <c r="A2" s="123" t="s">
        <v>202</v>
      </c>
      <c r="B2" s="1"/>
      <c r="C2" s="1"/>
      <c r="D2" s="1"/>
      <c r="E2" s="124"/>
    </row>
    <row r="3" spans="1:5" x14ac:dyDescent="0.25">
      <c r="A3" s="132" t="s">
        <v>200</v>
      </c>
      <c r="B3" s="1" t="s">
        <v>270</v>
      </c>
      <c r="C3" s="1"/>
      <c r="D3" s="1"/>
      <c r="E3" s="124"/>
    </row>
    <row r="4" spans="1:5" x14ac:dyDescent="0.25">
      <c r="A4" s="132" t="s">
        <v>201</v>
      </c>
      <c r="B4" s="1" t="s">
        <v>270</v>
      </c>
      <c r="C4" s="1"/>
      <c r="D4" s="1"/>
      <c r="E4" s="124"/>
    </row>
    <row r="5" spans="1:5" x14ac:dyDescent="0.25">
      <c r="A5" s="132" t="s">
        <v>203</v>
      </c>
      <c r="B5" s="1" t="s">
        <v>271</v>
      </c>
      <c r="C5" s="1"/>
      <c r="D5" s="1"/>
      <c r="E5" s="124"/>
    </row>
    <row r="6" spans="1:5" x14ac:dyDescent="0.25">
      <c r="A6" s="132" t="s">
        <v>205</v>
      </c>
      <c r="B6" s="1" t="s">
        <v>271</v>
      </c>
      <c r="C6" s="1"/>
      <c r="D6" s="1"/>
      <c r="E6" s="124"/>
    </row>
    <row r="7" spans="1:5" x14ac:dyDescent="0.25">
      <c r="A7" s="132" t="s">
        <v>204</v>
      </c>
      <c r="B7" s="1" t="s">
        <v>271</v>
      </c>
      <c r="C7" s="1"/>
      <c r="D7" s="1"/>
      <c r="E7" s="124"/>
    </row>
    <row r="8" spans="1:5" x14ac:dyDescent="0.25">
      <c r="A8" s="123"/>
      <c r="B8" s="1"/>
      <c r="C8" s="1"/>
      <c r="D8" s="1"/>
      <c r="E8" s="124"/>
    </row>
    <row r="9" spans="1:5" x14ac:dyDescent="0.25">
      <c r="A9" s="123" t="s">
        <v>189</v>
      </c>
      <c r="B9" s="1"/>
      <c r="C9" s="1"/>
      <c r="D9" s="1"/>
      <c r="E9" s="124"/>
    </row>
    <row r="10" spans="1:5" x14ac:dyDescent="0.25">
      <c r="A10" s="132" t="s">
        <v>199</v>
      </c>
      <c r="B10" s="1" t="s">
        <v>271</v>
      </c>
      <c r="C10" s="11">
        <f>defl</f>
        <v>5.2859294542882823E-2</v>
      </c>
      <c r="D10" s="1" t="s">
        <v>9</v>
      </c>
      <c r="E10" s="133" t="s">
        <v>206</v>
      </c>
    </row>
    <row r="11" spans="1:5" x14ac:dyDescent="0.25">
      <c r="A11" s="132" t="s">
        <v>198</v>
      </c>
      <c r="B11" s="1" t="s">
        <v>274</v>
      </c>
      <c r="C11" s="1"/>
      <c r="D11" s="1"/>
      <c r="E11" s="124"/>
    </row>
    <row r="12" spans="1:5" x14ac:dyDescent="0.25">
      <c r="A12" s="123"/>
      <c r="B12" s="1"/>
      <c r="C12" s="1"/>
      <c r="D12" s="1"/>
      <c r="E12" s="124"/>
    </row>
    <row r="13" spans="1:5" x14ac:dyDescent="0.25">
      <c r="A13" s="123" t="s">
        <v>190</v>
      </c>
      <c r="B13" s="1"/>
      <c r="C13" s="1"/>
      <c r="D13" s="1"/>
      <c r="E13" s="124"/>
    </row>
    <row r="14" spans="1:5" x14ac:dyDescent="0.25">
      <c r="A14" s="132" t="s">
        <v>192</v>
      </c>
      <c r="B14" s="1" t="s">
        <v>274</v>
      </c>
      <c r="C14" s="1"/>
      <c r="D14" s="1"/>
      <c r="E14" s="124"/>
    </row>
    <row r="15" spans="1:5" x14ac:dyDescent="0.25">
      <c r="A15" s="132" t="s">
        <v>193</v>
      </c>
      <c r="B15" s="1" t="s">
        <v>274</v>
      </c>
      <c r="C15" s="1"/>
      <c r="D15" s="1"/>
      <c r="E15" s="124"/>
    </row>
    <row r="16" spans="1:5" x14ac:dyDescent="0.25">
      <c r="A16" s="132" t="s">
        <v>194</v>
      </c>
      <c r="B16" s="1" t="s">
        <v>274</v>
      </c>
      <c r="C16" s="1"/>
      <c r="D16" s="134"/>
      <c r="E16" s="124"/>
    </row>
    <row r="17" spans="1:6" x14ac:dyDescent="0.25">
      <c r="A17" s="132" t="s">
        <v>195</v>
      </c>
      <c r="B17" s="1" t="s">
        <v>274</v>
      </c>
      <c r="C17" s="1"/>
      <c r="D17" s="1"/>
      <c r="E17" s="124"/>
    </row>
    <row r="18" spans="1:6" x14ac:dyDescent="0.25">
      <c r="A18" s="132" t="s">
        <v>196</v>
      </c>
      <c r="B18" s="1" t="s">
        <v>274</v>
      </c>
      <c r="C18" s="1"/>
      <c r="D18" s="1"/>
      <c r="E18" s="124"/>
    </row>
    <row r="19" spans="1:6" x14ac:dyDescent="0.25">
      <c r="A19" s="132" t="s">
        <v>197</v>
      </c>
      <c r="B19" s="1" t="s">
        <v>274</v>
      </c>
      <c r="C19" s="1"/>
      <c r="D19" s="1"/>
      <c r="E19" s="124"/>
    </row>
    <row r="20" spans="1:6" ht="15.75" thickBot="1" x14ac:dyDescent="0.3">
      <c r="A20" s="135" t="s">
        <v>191</v>
      </c>
      <c r="B20" s="125" t="s">
        <v>274</v>
      </c>
      <c r="C20" s="125"/>
      <c r="D20" s="125"/>
      <c r="E20" s="127"/>
    </row>
    <row r="22" spans="1:6" ht="15.75" thickBot="1" x14ac:dyDescent="0.3"/>
    <row r="23" spans="1:6" x14ac:dyDescent="0.25">
      <c r="A23" s="120" t="s">
        <v>277</v>
      </c>
      <c r="B23" s="121" t="s">
        <v>278</v>
      </c>
      <c r="C23" s="121" t="s">
        <v>108</v>
      </c>
      <c r="D23" s="121" t="s">
        <v>189</v>
      </c>
      <c r="E23" s="121" t="s">
        <v>190</v>
      </c>
      <c r="F23" s="122" t="s">
        <v>279</v>
      </c>
    </row>
    <row r="24" spans="1:6" x14ac:dyDescent="0.25">
      <c r="A24" s="123" t="s">
        <v>282</v>
      </c>
      <c r="B24" s="1">
        <f>[1]Sheet1!$D$21</f>
        <v>1.125</v>
      </c>
      <c r="C24" s="11">
        <f>[1]Sheet1!$E$21</f>
        <v>0.88092641503833546</v>
      </c>
      <c r="D24" s="11">
        <f>[1]Sheet1!$F$21</f>
        <v>0.44046320751916773</v>
      </c>
      <c r="E24" s="11">
        <f>[1]Sheet1!$G$21</f>
        <v>0.17618528300766712</v>
      </c>
      <c r="F24" s="124" t="s">
        <v>9</v>
      </c>
    </row>
    <row r="25" spans="1:6" x14ac:dyDescent="0.25">
      <c r="A25" s="137" t="s">
        <v>280</v>
      </c>
      <c r="B25" s="1"/>
      <c r="C25" s="11">
        <f>SUM(C3:C4)</f>
        <v>0</v>
      </c>
      <c r="D25" s="11"/>
      <c r="E25" s="11"/>
      <c r="F25" s="124" t="s">
        <v>9</v>
      </c>
    </row>
    <row r="26" spans="1:6" x14ac:dyDescent="0.25">
      <c r="A26" s="123" t="s">
        <v>283</v>
      </c>
      <c r="B26" s="1">
        <f>[1]Sheet1!$D$23</f>
        <v>1.125</v>
      </c>
      <c r="C26" s="11">
        <f>[1]Sheet1!$E$23</f>
        <v>0.88092641503833546</v>
      </c>
      <c r="D26" s="11">
        <f>[1]Sheet1!$F$23</f>
        <v>0.44046320751916773</v>
      </c>
      <c r="E26" s="11">
        <f>[1]Sheet1!$G$23</f>
        <v>0.17618528300766712</v>
      </c>
      <c r="F26" s="124" t="s">
        <v>9</v>
      </c>
    </row>
    <row r="27" spans="1:6" ht="15.75" thickBot="1" x14ac:dyDescent="0.3">
      <c r="A27" s="136" t="s">
        <v>281</v>
      </c>
      <c r="B27" s="125"/>
      <c r="C27" s="126">
        <f>SUM(C5:C7)</f>
        <v>0</v>
      </c>
      <c r="D27" s="126">
        <f>SUM(C10)</f>
        <v>5.2859294542882823E-2</v>
      </c>
      <c r="E27" s="126"/>
      <c r="F27" s="127" t="s">
        <v>9</v>
      </c>
    </row>
    <row r="28" spans="1:6" ht="15.75" thickBot="1" x14ac:dyDescent="0.3"/>
    <row r="29" spans="1:6" x14ac:dyDescent="0.25">
      <c r="A29" s="128" t="s">
        <v>275</v>
      </c>
      <c r="B29" s="129">
        <f>[1]!N</f>
        <v>2</v>
      </c>
    </row>
    <row r="30" spans="1:6" ht="15.75" thickBot="1" x14ac:dyDescent="0.3">
      <c r="A30" s="130" t="s">
        <v>276</v>
      </c>
      <c r="B30" s="131">
        <f>[1]!dtot</f>
        <v>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zoomScale="85" zoomScaleNormal="85" workbookViewId="0">
      <selection activeCell="K15" sqref="K15"/>
    </sheetView>
  </sheetViews>
  <sheetFormatPr defaultRowHeight="15" x14ac:dyDescent="0.25"/>
  <cols>
    <col min="1" max="1" width="26.140625" customWidth="1"/>
    <col min="2" max="2" width="12.5703125" bestFit="1" customWidth="1"/>
    <col min="3" max="4" width="9.140625" customWidth="1"/>
  </cols>
  <sheetData>
    <row r="1" spans="1:5" s="15" customFormat="1" x14ac:dyDescent="0.25">
      <c r="A1" s="154" t="s">
        <v>55</v>
      </c>
      <c r="B1" s="155"/>
      <c r="C1" s="156"/>
    </row>
    <row r="2" spans="1:5" s="1" customFormat="1" x14ac:dyDescent="0.25">
      <c r="A2" s="152" t="s">
        <v>293</v>
      </c>
      <c r="B2" s="15"/>
      <c r="C2" s="16"/>
    </row>
    <row r="3" spans="1:5" x14ac:dyDescent="0.25">
      <c r="A3" s="47" t="s">
        <v>18</v>
      </c>
      <c r="B3" s="15">
        <v>100</v>
      </c>
      <c r="C3" s="16" t="s">
        <v>8</v>
      </c>
    </row>
    <row r="4" spans="1:5" x14ac:dyDescent="0.25">
      <c r="A4" s="41" t="s">
        <v>288</v>
      </c>
      <c r="B4" s="1">
        <v>0.24</v>
      </c>
      <c r="C4" s="9" t="s">
        <v>1</v>
      </c>
      <c r="D4" t="s">
        <v>289</v>
      </c>
    </row>
    <row r="5" spans="1:5" x14ac:dyDescent="0.25">
      <c r="A5" s="41" t="s">
        <v>56</v>
      </c>
      <c r="B5" s="1">
        <v>0.15</v>
      </c>
      <c r="C5" s="9" t="s">
        <v>1</v>
      </c>
    </row>
    <row r="6" spans="1:5" x14ac:dyDescent="0.25">
      <c r="A6" s="41" t="s">
        <v>42</v>
      </c>
      <c r="B6" s="1">
        <f>B3</f>
        <v>100</v>
      </c>
      <c r="C6" s="9" t="s">
        <v>8</v>
      </c>
    </row>
    <row r="7" spans="1:5" x14ac:dyDescent="0.25">
      <c r="A7" s="41" t="s">
        <v>57</v>
      </c>
      <c r="B7" s="1">
        <f>B8</f>
        <v>160</v>
      </c>
      <c r="C7" s="9" t="s">
        <v>8</v>
      </c>
      <c r="D7" t="s">
        <v>262</v>
      </c>
    </row>
    <row r="8" spans="1:5" x14ac:dyDescent="0.25">
      <c r="A8" s="150" t="s">
        <v>58</v>
      </c>
      <c r="B8" s="1">
        <f>B3*B4/(B5)</f>
        <v>160</v>
      </c>
      <c r="C8" s="9" t="s">
        <v>8</v>
      </c>
      <c r="D8" t="s">
        <v>263</v>
      </c>
    </row>
    <row r="9" spans="1:5" x14ac:dyDescent="0.25">
      <c r="A9" s="2"/>
      <c r="B9" s="2"/>
      <c r="C9" s="8"/>
    </row>
    <row r="10" spans="1:5" x14ac:dyDescent="0.25">
      <c r="A10" s="19" t="s">
        <v>25</v>
      </c>
      <c r="B10" s="1" t="s">
        <v>59</v>
      </c>
      <c r="C10" s="9"/>
    </row>
    <row r="11" spans="1:5" x14ac:dyDescent="0.25">
      <c r="A11" s="43" t="s">
        <v>27</v>
      </c>
      <c r="B11" s="1">
        <v>0.6</v>
      </c>
      <c r="C11" s="9" t="s">
        <v>1</v>
      </c>
    </row>
    <row r="12" spans="1:5" x14ac:dyDescent="0.25">
      <c r="A12" s="43" t="s">
        <v>28</v>
      </c>
      <c r="B12" s="1">
        <v>1.9050000000000001E-2</v>
      </c>
      <c r="C12" s="9" t="s">
        <v>1</v>
      </c>
    </row>
    <row r="13" spans="1:5" x14ac:dyDescent="0.25">
      <c r="A13" s="43" t="s">
        <v>29</v>
      </c>
      <c r="B13" s="1">
        <f>'Tapered cantilever'!C24*0.001^4</f>
        <v>8.717482970306569E-7</v>
      </c>
      <c r="C13" s="9" t="s">
        <v>30</v>
      </c>
      <c r="D13" t="s">
        <v>292</v>
      </c>
    </row>
    <row r="14" spans="1:5" x14ac:dyDescent="0.25">
      <c r="A14" s="143" t="s">
        <v>31</v>
      </c>
      <c r="B14" s="13">
        <v>10000000000</v>
      </c>
      <c r="C14" s="10" t="s">
        <v>32</v>
      </c>
    </row>
    <row r="15" spans="1:5" x14ac:dyDescent="0.25">
      <c r="A15" s="18"/>
      <c r="B15" s="2"/>
      <c r="C15" s="8"/>
    </row>
    <row r="16" spans="1:5" x14ac:dyDescent="0.25">
      <c r="A16" s="145" t="s">
        <v>295</v>
      </c>
      <c r="B16" s="1"/>
      <c r="C16" s="9"/>
      <c r="E16" t="s">
        <v>36</v>
      </c>
    </row>
    <row r="17" spans="1:4" x14ac:dyDescent="0.25">
      <c r="A17" s="143" t="s">
        <v>291</v>
      </c>
      <c r="B17" s="146">
        <f>B3*B4^2/(2*B14*B13)</f>
        <v>3.3037059089301764E-4</v>
      </c>
      <c r="C17" s="10" t="s">
        <v>38</v>
      </c>
      <c r="D17">
        <f>DEGREES(B17)</f>
        <v>1.8928840533413063E-2</v>
      </c>
    </row>
    <row r="18" spans="1:4" x14ac:dyDescent="0.25">
      <c r="A18" s="41" t="s">
        <v>24</v>
      </c>
      <c r="B18" s="13">
        <f>B3*B4^3/(3*B14*B13)</f>
        <v>5.2859294542882824E-5</v>
      </c>
      <c r="C18" s="9" t="s">
        <v>1</v>
      </c>
    </row>
    <row r="19" spans="1:4" x14ac:dyDescent="0.25">
      <c r="A19" s="41"/>
      <c r="B19" s="142">
        <f>B18*1000</f>
        <v>5.2859294542882823E-2</v>
      </c>
      <c r="C19" s="9" t="s">
        <v>9</v>
      </c>
    </row>
    <row r="20" spans="1:4" x14ac:dyDescent="0.25">
      <c r="A20" s="150" t="s">
        <v>33</v>
      </c>
      <c r="B20" s="13">
        <f>3*B14*B13/B4^3</f>
        <v>1891814.8807088907</v>
      </c>
      <c r="C20" s="9" t="s">
        <v>34</v>
      </c>
    </row>
    <row r="21" spans="1:4" x14ac:dyDescent="0.25">
      <c r="A21" s="2"/>
      <c r="B21" s="2"/>
      <c r="C21" s="8"/>
    </row>
    <row r="22" spans="1:4" x14ac:dyDescent="0.25">
      <c r="A22" s="15" t="s">
        <v>95</v>
      </c>
      <c r="B22" s="15"/>
      <c r="C22" s="16"/>
    </row>
    <row r="23" spans="1:4" x14ac:dyDescent="0.25">
      <c r="A23" s="41" t="s">
        <v>103</v>
      </c>
      <c r="B23" s="1">
        <v>100</v>
      </c>
      <c r="C23" s="9" t="s">
        <v>8</v>
      </c>
      <c r="D23" t="s">
        <v>104</v>
      </c>
    </row>
    <row r="24" spans="1:4" x14ac:dyDescent="0.25">
      <c r="A24" s="41" t="s">
        <v>99</v>
      </c>
      <c r="B24" s="1">
        <f>B46</f>
        <v>0.45</v>
      </c>
      <c r="C24" s="9" t="s">
        <v>1</v>
      </c>
    </row>
    <row r="25" spans="1:4" x14ac:dyDescent="0.25">
      <c r="A25" s="41" t="s">
        <v>100</v>
      </c>
      <c r="B25" s="1">
        <f>B4</f>
        <v>0.24</v>
      </c>
      <c r="C25" s="9" t="s">
        <v>1</v>
      </c>
      <c r="D25" t="s">
        <v>97</v>
      </c>
    </row>
    <row r="26" spans="1:4" x14ac:dyDescent="0.25">
      <c r="A26" s="41" t="s">
        <v>98</v>
      </c>
      <c r="B26" s="1">
        <f>B47</f>
        <v>0.15</v>
      </c>
      <c r="C26" s="9" t="s">
        <v>1</v>
      </c>
    </row>
    <row r="27" spans="1:4" x14ac:dyDescent="0.25">
      <c r="A27" s="41" t="s">
        <v>101</v>
      </c>
      <c r="B27" s="13">
        <f>'C4-Cantilever'!B23</f>
        <v>131578947.36842106</v>
      </c>
      <c r="C27" s="9" t="s">
        <v>34</v>
      </c>
      <c r="D27" t="s">
        <v>102</v>
      </c>
    </row>
    <row r="29" spans="1:4" x14ac:dyDescent="0.25">
      <c r="A29" s="153" t="s">
        <v>294</v>
      </c>
      <c r="B29" s="96"/>
      <c r="C29" s="16"/>
    </row>
    <row r="30" spans="1:4" x14ac:dyDescent="0.25">
      <c r="A30" s="41" t="s">
        <v>106</v>
      </c>
      <c r="B30" s="144">
        <f>2*B23*B25^2/(B26^2*B27)</f>
        <v>3.8912000000000001E-6</v>
      </c>
      <c r="C30" s="9" t="s">
        <v>1</v>
      </c>
    </row>
    <row r="31" spans="1:4" x14ac:dyDescent="0.25">
      <c r="A31" s="41"/>
      <c r="B31" s="142">
        <f>B30*1000</f>
        <v>3.8912E-3</v>
      </c>
      <c r="C31" s="9" t="s">
        <v>9</v>
      </c>
    </row>
    <row r="32" spans="1:4" x14ac:dyDescent="0.25">
      <c r="A32" s="41" t="s">
        <v>107</v>
      </c>
      <c r="B32" s="147">
        <f>B31+B19</f>
        <v>5.6750494542882821E-2</v>
      </c>
      <c r="C32" s="9" t="s">
        <v>9</v>
      </c>
      <c r="D32" t="s">
        <v>46</v>
      </c>
    </row>
    <row r="33" spans="1:4" x14ac:dyDescent="0.25">
      <c r="A33" s="151" t="s">
        <v>290</v>
      </c>
      <c r="B33" s="148">
        <f>(B24-B4)*B17+B32</f>
        <v>5.6819872366970357E-2</v>
      </c>
      <c r="C33" s="149" t="s">
        <v>9</v>
      </c>
      <c r="D33" t="s">
        <v>84</v>
      </c>
    </row>
    <row r="35" spans="1:4" x14ac:dyDescent="0.25">
      <c r="A35" s="48" t="s">
        <v>152</v>
      </c>
    </row>
    <row r="36" spans="1:4" x14ac:dyDescent="0.25">
      <c r="A36" s="14" t="s">
        <v>31</v>
      </c>
      <c r="B36" s="96">
        <f>B14</f>
        <v>10000000000</v>
      </c>
      <c r="C36" s="16" t="s">
        <v>32</v>
      </c>
    </row>
    <row r="37" spans="1:4" x14ac:dyDescent="0.25">
      <c r="A37" s="17" t="s">
        <v>265</v>
      </c>
      <c r="B37" s="1">
        <v>19</v>
      </c>
      <c r="C37" s="9" t="s">
        <v>9</v>
      </c>
    </row>
    <row r="38" spans="1:4" x14ac:dyDescent="0.25">
      <c r="A38" s="17" t="s">
        <v>266</v>
      </c>
      <c r="B38" s="1">
        <f>B37*1.6</f>
        <v>30.400000000000002</v>
      </c>
      <c r="C38" s="9" t="s">
        <v>9</v>
      </c>
    </row>
    <row r="39" spans="1:4" x14ac:dyDescent="0.25">
      <c r="A39" s="17" t="s">
        <v>264</v>
      </c>
      <c r="B39" s="1">
        <v>12.5</v>
      </c>
      <c r="C39" s="9" t="s">
        <v>9</v>
      </c>
    </row>
    <row r="40" spans="1:4" x14ac:dyDescent="0.25">
      <c r="A40" s="17" t="s">
        <v>267</v>
      </c>
      <c r="B40" s="1">
        <f>2*B39</f>
        <v>25</v>
      </c>
      <c r="C40" s="9" t="s">
        <v>9</v>
      </c>
    </row>
    <row r="41" spans="1:4" x14ac:dyDescent="0.25">
      <c r="A41" s="18" t="s">
        <v>268</v>
      </c>
      <c r="B41" s="97">
        <f>3*B36*(B40*B37^3)/12/(1.6*B37)^3*0.001</f>
        <v>15258789.062499998</v>
      </c>
      <c r="C41" s="8" t="s">
        <v>34</v>
      </c>
    </row>
    <row r="43" spans="1:4" s="15" customFormat="1" x14ac:dyDescent="0.25">
      <c r="A43" s="155" t="s">
        <v>54</v>
      </c>
      <c r="B43" s="155"/>
      <c r="C43" s="156"/>
    </row>
    <row r="44" spans="1:4" x14ac:dyDescent="0.25">
      <c r="A44" s="1" t="s">
        <v>45</v>
      </c>
      <c r="B44" s="1"/>
      <c r="C44" s="9"/>
    </row>
    <row r="45" spans="1:4" x14ac:dyDescent="0.25">
      <c r="A45" s="150" t="s">
        <v>18</v>
      </c>
      <c r="B45" s="1">
        <v>100</v>
      </c>
      <c r="C45" s="9" t="s">
        <v>8</v>
      </c>
    </row>
    <row r="46" spans="1:4" x14ac:dyDescent="0.25">
      <c r="A46" s="150" t="s">
        <v>19</v>
      </c>
      <c r="B46" s="1">
        <v>0.45</v>
      </c>
      <c r="C46" s="9" t="s">
        <v>1</v>
      </c>
    </row>
    <row r="47" spans="1:4" x14ac:dyDescent="0.25">
      <c r="A47" s="150" t="s">
        <v>56</v>
      </c>
      <c r="B47" s="1">
        <v>0.15</v>
      </c>
      <c r="C47" s="9" t="s">
        <v>1</v>
      </c>
    </row>
    <row r="48" spans="1:4" x14ac:dyDescent="0.25">
      <c r="A48" s="143" t="s">
        <v>35</v>
      </c>
      <c r="B48" s="6">
        <f>DEGREES(ATAN(B46/B47))</f>
        <v>71.56505117707799</v>
      </c>
      <c r="C48" s="10" t="s">
        <v>36</v>
      </c>
    </row>
    <row r="49" spans="1:4" x14ac:dyDescent="0.25">
      <c r="A49" s="1"/>
      <c r="B49" s="11">
        <f>RADIANS(B48)</f>
        <v>1.2490457723982544</v>
      </c>
      <c r="C49" s="10" t="s">
        <v>38</v>
      </c>
    </row>
    <row r="50" spans="1:4" x14ac:dyDescent="0.25">
      <c r="A50" s="2"/>
      <c r="B50" s="2"/>
      <c r="C50" s="8"/>
    </row>
    <row r="51" spans="1:4" x14ac:dyDescent="0.25">
      <c r="A51" s="1" t="s">
        <v>44</v>
      </c>
      <c r="B51" s="1"/>
      <c r="C51" s="9"/>
      <c r="D51" s="5"/>
    </row>
    <row r="52" spans="1:4" x14ac:dyDescent="0.25">
      <c r="A52" s="150" t="s">
        <v>37</v>
      </c>
      <c r="B52" s="12">
        <f>B45/SIN(PI()/2-B49)</f>
        <v>316.22776601683796</v>
      </c>
      <c r="C52" s="9" t="s">
        <v>8</v>
      </c>
    </row>
    <row r="53" spans="1:4" x14ac:dyDescent="0.25">
      <c r="A53" s="150" t="s">
        <v>39</v>
      </c>
      <c r="B53" s="12">
        <f>B52*COS(PI()/2-B49)</f>
        <v>300</v>
      </c>
      <c r="C53" s="9" t="s">
        <v>8</v>
      </c>
    </row>
    <row r="54" spans="1:4" x14ac:dyDescent="0.25">
      <c r="A54" s="150" t="s">
        <v>40</v>
      </c>
      <c r="B54" s="12">
        <f>B53</f>
        <v>300</v>
      </c>
      <c r="C54" s="9" t="s">
        <v>8</v>
      </c>
    </row>
    <row r="55" spans="1:4" x14ac:dyDescent="0.25">
      <c r="A55" s="150" t="s">
        <v>41</v>
      </c>
      <c r="B55" s="1">
        <f>B45*B46/B47</f>
        <v>300</v>
      </c>
      <c r="C55" s="9" t="s">
        <v>8</v>
      </c>
    </row>
    <row r="56" spans="1:4" x14ac:dyDescent="0.25">
      <c r="A56" s="150" t="s">
        <v>42</v>
      </c>
      <c r="B56" s="1">
        <f>B55*B47/B46</f>
        <v>100</v>
      </c>
      <c r="C56" s="9" t="s">
        <v>8</v>
      </c>
    </row>
    <row r="57" spans="1:4" x14ac:dyDescent="0.25">
      <c r="A57" s="150" t="s">
        <v>43</v>
      </c>
      <c r="B57" s="1">
        <f>B52*COS(B49)-B56</f>
        <v>0</v>
      </c>
      <c r="C57" s="9" t="s">
        <v>8</v>
      </c>
    </row>
    <row r="58" spans="1:4" x14ac:dyDescent="0.25">
      <c r="A58" s="2"/>
      <c r="B58" s="2"/>
      <c r="C58" s="8"/>
    </row>
    <row r="59" spans="1:4" x14ac:dyDescent="0.25">
      <c r="A59" s="3" t="s">
        <v>25</v>
      </c>
      <c r="B59" s="1" t="s">
        <v>59</v>
      </c>
      <c r="C59" s="9"/>
    </row>
    <row r="60" spans="1:4" x14ac:dyDescent="0.25">
      <c r="A60" s="143" t="s">
        <v>27</v>
      </c>
      <c r="B60" s="1">
        <v>0.6</v>
      </c>
      <c r="C60" s="9" t="s">
        <v>1</v>
      </c>
    </row>
    <row r="61" spans="1:4" x14ac:dyDescent="0.25">
      <c r="A61" s="143" t="s">
        <v>28</v>
      </c>
      <c r="B61" s="1">
        <v>1.9050000000000001E-2</v>
      </c>
      <c r="C61" s="9" t="s">
        <v>1</v>
      </c>
    </row>
    <row r="62" spans="1:4" x14ac:dyDescent="0.25">
      <c r="A62" s="143" t="s">
        <v>49</v>
      </c>
      <c r="B62" s="1">
        <f>B60*B61</f>
        <v>1.1430000000000001E-2</v>
      </c>
      <c r="C62" s="9" t="s">
        <v>50</v>
      </c>
    </row>
    <row r="63" spans="1:4" x14ac:dyDescent="0.25">
      <c r="A63" s="143" t="s">
        <v>29</v>
      </c>
      <c r="B63" s="1">
        <f>B13</f>
        <v>8.717482970306569E-7</v>
      </c>
      <c r="C63" s="9" t="s">
        <v>30</v>
      </c>
      <c r="D63" t="s">
        <v>292</v>
      </c>
    </row>
    <row r="64" spans="1:4" x14ac:dyDescent="0.25">
      <c r="A64" s="143" t="s">
        <v>31</v>
      </c>
      <c r="B64" s="13">
        <v>10000000000</v>
      </c>
      <c r="C64" s="10" t="s">
        <v>32</v>
      </c>
    </row>
    <row r="65" spans="1:4" x14ac:dyDescent="0.25">
      <c r="A65" s="143" t="s">
        <v>48</v>
      </c>
      <c r="B65" s="7">
        <v>10800000</v>
      </c>
      <c r="C65" s="10" t="s">
        <v>32</v>
      </c>
    </row>
    <row r="66" spans="1:4" x14ac:dyDescent="0.25">
      <c r="A66" s="143" t="s">
        <v>47</v>
      </c>
      <c r="B66" s="13">
        <v>6900000</v>
      </c>
      <c r="C66" s="10" t="s">
        <v>32</v>
      </c>
    </row>
    <row r="67" spans="1:4" x14ac:dyDescent="0.25">
      <c r="A67" s="4"/>
      <c r="B67" s="2"/>
      <c r="C67" s="8"/>
    </row>
    <row r="68" spans="1:4" x14ac:dyDescent="0.25">
      <c r="A68" s="3" t="s">
        <v>53</v>
      </c>
      <c r="B68" s="13"/>
      <c r="C68" s="9"/>
    </row>
    <row r="69" spans="1:4" x14ac:dyDescent="0.25">
      <c r="A69" s="1" t="s">
        <v>51</v>
      </c>
      <c r="B69" s="35">
        <f>B53/B62</f>
        <v>26246.719160104985</v>
      </c>
      <c r="C69" s="10" t="s">
        <v>32</v>
      </c>
    </row>
    <row r="70" spans="1:4" x14ac:dyDescent="0.25">
      <c r="A70" s="1" t="s">
        <v>60</v>
      </c>
      <c r="B70" s="36">
        <f>B69/B66</f>
        <v>3.8038723420442009E-3</v>
      </c>
      <c r="C70" s="9"/>
    </row>
    <row r="71" spans="1:4" x14ac:dyDescent="0.25">
      <c r="A71" s="17" t="s">
        <v>52</v>
      </c>
      <c r="B71" s="35">
        <f>B52/B62</f>
        <v>27666.471217571125</v>
      </c>
      <c r="C71" s="10" t="s">
        <v>32</v>
      </c>
    </row>
    <row r="72" spans="1:4" x14ac:dyDescent="0.25">
      <c r="A72" s="17" t="s">
        <v>61</v>
      </c>
      <c r="B72" s="36">
        <f>B71/B65</f>
        <v>2.5617102979232525E-3</v>
      </c>
      <c r="C72" s="9"/>
    </row>
    <row r="73" spans="1:4" x14ac:dyDescent="0.25">
      <c r="A73" s="19" t="s">
        <v>94</v>
      </c>
      <c r="B73" s="13">
        <f>B71/B64</f>
        <v>2.7666471217571124E-6</v>
      </c>
      <c r="C73" s="9" t="s">
        <v>1</v>
      </c>
    </row>
    <row r="74" spans="1:4" x14ac:dyDescent="0.25">
      <c r="A74" s="20"/>
      <c r="B74" s="56">
        <f>B73*1000</f>
        <v>2.7666471217571123E-3</v>
      </c>
      <c r="C74" s="8" t="s">
        <v>9</v>
      </c>
    </row>
    <row r="75" spans="1:4" x14ac:dyDescent="0.25">
      <c r="A75" s="17" t="s">
        <v>95</v>
      </c>
      <c r="B75" s="1"/>
      <c r="C75" s="9"/>
    </row>
    <row r="76" spans="1:4" x14ac:dyDescent="0.25">
      <c r="A76" s="41" t="s">
        <v>96</v>
      </c>
      <c r="B76" s="1">
        <v>100</v>
      </c>
      <c r="C76" s="9" t="s">
        <v>8</v>
      </c>
      <c r="D76" t="s">
        <v>104</v>
      </c>
    </row>
    <row r="77" spans="1:4" x14ac:dyDescent="0.25">
      <c r="A77" s="41" t="s">
        <v>19</v>
      </c>
      <c r="B77" s="1">
        <f>B46</f>
        <v>0.45</v>
      </c>
      <c r="C77" s="9" t="s">
        <v>1</v>
      </c>
    </row>
    <row r="78" spans="1:4" x14ac:dyDescent="0.25">
      <c r="A78" s="41" t="s">
        <v>98</v>
      </c>
      <c r="B78" s="1">
        <f>B47</f>
        <v>0.15</v>
      </c>
      <c r="C78" s="9" t="s">
        <v>1</v>
      </c>
    </row>
    <row r="79" spans="1:4" x14ac:dyDescent="0.25">
      <c r="A79" s="41" t="s">
        <v>101</v>
      </c>
      <c r="B79" s="13">
        <f>B27</f>
        <v>131578947.36842106</v>
      </c>
      <c r="C79" s="9" t="s">
        <v>34</v>
      </c>
      <c r="D79" t="s">
        <v>102</v>
      </c>
    </row>
    <row r="80" spans="1:4" x14ac:dyDescent="0.25">
      <c r="A80" s="41" t="s">
        <v>105</v>
      </c>
      <c r="B80" s="38">
        <f>2*B76*B77^2/(B78^2*B79)</f>
        <v>1.3679999999999999E-5</v>
      </c>
      <c r="C80" s="9" t="s">
        <v>1</v>
      </c>
    </row>
    <row r="81" spans="1:3" x14ac:dyDescent="0.25">
      <c r="A81" s="18"/>
      <c r="B81" s="141">
        <f>B80*1000</f>
        <v>1.3679999999999999E-2</v>
      </c>
      <c r="C81" s="8" t="s">
        <v>9</v>
      </c>
    </row>
    <row r="82" spans="1:3" x14ac:dyDescent="0.25">
      <c r="B82" s="37"/>
    </row>
  </sheetData>
  <mergeCells count="2">
    <mergeCell ref="A1:C1"/>
    <mergeCell ref="A43:C4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J7" sqref="J7"/>
    </sheetView>
  </sheetViews>
  <sheetFormatPr defaultRowHeight="15" x14ac:dyDescent="0.25"/>
  <cols>
    <col min="2" max="2" width="12" bestFit="1" customWidth="1"/>
  </cols>
  <sheetData>
    <row r="1" spans="1:4" x14ac:dyDescent="0.25">
      <c r="A1" s="154" t="s">
        <v>55</v>
      </c>
      <c r="B1" s="155"/>
      <c r="C1" s="156"/>
    </row>
    <row r="2" spans="1:4" x14ac:dyDescent="0.25">
      <c r="A2" s="14" t="s">
        <v>18</v>
      </c>
      <c r="B2" s="15">
        <v>100</v>
      </c>
      <c r="C2" s="16" t="s">
        <v>8</v>
      </c>
    </row>
    <row r="3" spans="1:4" x14ac:dyDescent="0.25">
      <c r="A3" s="17" t="s">
        <v>19</v>
      </c>
      <c r="B3" s="1">
        <v>0.45</v>
      </c>
      <c r="C3" s="9" t="s">
        <v>1</v>
      </c>
    </row>
    <row r="4" spans="1:4" x14ac:dyDescent="0.25">
      <c r="A4" s="17" t="s">
        <v>20</v>
      </c>
      <c r="B4" s="1">
        <v>0.15</v>
      </c>
      <c r="C4" s="9" t="s">
        <v>1</v>
      </c>
    </row>
    <row r="5" spans="1:4" x14ac:dyDescent="0.25">
      <c r="A5" s="17"/>
      <c r="B5" s="1"/>
      <c r="C5" s="9"/>
    </row>
    <row r="6" spans="1:4" x14ac:dyDescent="0.25">
      <c r="A6" s="17" t="s">
        <v>21</v>
      </c>
      <c r="B6" s="1">
        <f>B2/2</f>
        <v>50</v>
      </c>
      <c r="C6" s="9" t="s">
        <v>8</v>
      </c>
      <c r="D6" t="s">
        <v>22</v>
      </c>
    </row>
    <row r="7" spans="1:4" x14ac:dyDescent="0.25">
      <c r="A7" s="18" t="s">
        <v>23</v>
      </c>
      <c r="B7" s="2">
        <f>(B2*B3/2-B6*B3)/B4</f>
        <v>0</v>
      </c>
      <c r="C7" s="8" t="s">
        <v>8</v>
      </c>
    </row>
    <row r="8" spans="1:4" x14ac:dyDescent="0.25">
      <c r="A8" s="19" t="s">
        <v>25</v>
      </c>
      <c r="B8" s="1" t="s">
        <v>26</v>
      </c>
      <c r="C8" s="9"/>
    </row>
    <row r="9" spans="1:4" x14ac:dyDescent="0.25">
      <c r="A9" s="19" t="s">
        <v>27</v>
      </c>
      <c r="B9" s="1">
        <v>0.6</v>
      </c>
      <c r="C9" s="9" t="s">
        <v>1</v>
      </c>
    </row>
    <row r="10" spans="1:4" x14ac:dyDescent="0.25">
      <c r="A10" s="19" t="s">
        <v>28</v>
      </c>
      <c r="B10" s="1">
        <v>1.9050000000000001E-2</v>
      </c>
      <c r="C10" s="9" t="s">
        <v>1</v>
      </c>
    </row>
    <row r="11" spans="1:4" x14ac:dyDescent="0.25">
      <c r="A11" s="20" t="s">
        <v>29</v>
      </c>
      <c r="B11" s="2">
        <f>B9*B10^3/12</f>
        <v>3.4566463125000008E-7</v>
      </c>
      <c r="C11" s="8" t="s">
        <v>30</v>
      </c>
    </row>
    <row r="12" spans="1:4" x14ac:dyDescent="0.25">
      <c r="A12" s="19" t="s">
        <v>31</v>
      </c>
      <c r="B12" s="13">
        <v>10000000000</v>
      </c>
      <c r="C12" s="10" t="s">
        <v>32</v>
      </c>
    </row>
    <row r="13" spans="1:4" x14ac:dyDescent="0.25">
      <c r="A13" s="17"/>
      <c r="B13" s="1"/>
      <c r="C13" s="9"/>
    </row>
    <row r="14" spans="1:4" x14ac:dyDescent="0.25">
      <c r="A14" s="18"/>
      <c r="B14" s="2"/>
      <c r="C14" s="8"/>
    </row>
    <row r="15" spans="1:4" x14ac:dyDescent="0.25">
      <c r="A15" s="17" t="s">
        <v>24</v>
      </c>
      <c r="B15" s="13">
        <f>B2*B3^3/(48*B12*B11)</f>
        <v>5.4921369685259047E-5</v>
      </c>
      <c r="C15" s="9" t="s">
        <v>1</v>
      </c>
      <c r="D15" t="s">
        <v>46</v>
      </c>
    </row>
    <row r="16" spans="1:4" x14ac:dyDescent="0.25">
      <c r="A16" s="17"/>
      <c r="B16" s="21">
        <f>B15*1000</f>
        <v>5.4921369685259049E-2</v>
      </c>
      <c r="C16" s="9" t="s">
        <v>9</v>
      </c>
    </row>
    <row r="17" spans="1:3" x14ac:dyDescent="0.25">
      <c r="A17" s="18" t="s">
        <v>33</v>
      </c>
      <c r="B17" s="22">
        <f>48*B12*B11/B3^3</f>
        <v>1820784.8888888892</v>
      </c>
      <c r="C17" s="8" t="s">
        <v>34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activeCell="F9" sqref="F9"/>
    </sheetView>
  </sheetViews>
  <sheetFormatPr defaultRowHeight="15" x14ac:dyDescent="0.25"/>
  <cols>
    <col min="1" max="1" width="25.7109375" customWidth="1"/>
    <col min="2" max="2" width="24.28515625" customWidth="1"/>
  </cols>
  <sheetData>
    <row r="1" spans="1:4" x14ac:dyDescent="0.25">
      <c r="A1" s="154" t="s">
        <v>55</v>
      </c>
      <c r="B1" s="155"/>
      <c r="C1" s="156"/>
    </row>
    <row r="2" spans="1:4" x14ac:dyDescent="0.25">
      <c r="A2" s="47" t="s">
        <v>18</v>
      </c>
      <c r="B2" s="15">
        <v>100</v>
      </c>
      <c r="C2" s="16" t="s">
        <v>8</v>
      </c>
      <c r="D2" t="s">
        <v>85</v>
      </c>
    </row>
    <row r="3" spans="1:4" x14ac:dyDescent="0.25">
      <c r="A3" s="41" t="s">
        <v>19</v>
      </c>
      <c r="B3" s="1">
        <v>0.45</v>
      </c>
      <c r="C3" s="9" t="s">
        <v>1</v>
      </c>
    </row>
    <row r="4" spans="1:4" x14ac:dyDescent="0.25">
      <c r="A4" s="41" t="s">
        <v>98</v>
      </c>
      <c r="B4" s="1">
        <v>0.15</v>
      </c>
      <c r="C4" s="9" t="s">
        <v>1</v>
      </c>
    </row>
    <row r="5" spans="1:4" x14ac:dyDescent="0.25">
      <c r="A5" s="42"/>
    </row>
    <row r="6" spans="1:4" x14ac:dyDescent="0.25">
      <c r="A6" s="45" t="s">
        <v>23</v>
      </c>
      <c r="B6" s="2">
        <f>(B2*B3/2)/B4</f>
        <v>150</v>
      </c>
      <c r="C6" s="8" t="s">
        <v>8</v>
      </c>
    </row>
    <row r="7" spans="1:4" x14ac:dyDescent="0.25">
      <c r="A7" s="19" t="s">
        <v>25</v>
      </c>
      <c r="B7" s="1" t="s">
        <v>26</v>
      </c>
      <c r="C7" s="9"/>
    </row>
    <row r="8" spans="1:4" x14ac:dyDescent="0.25">
      <c r="A8" s="43" t="s">
        <v>89</v>
      </c>
      <c r="B8" s="1">
        <v>0.08</v>
      </c>
      <c r="C8" s="9" t="s">
        <v>1</v>
      </c>
    </row>
    <row r="9" spans="1:4" x14ac:dyDescent="0.25">
      <c r="A9" s="43" t="s">
        <v>90</v>
      </c>
      <c r="B9" s="1">
        <v>3.8100000000000002E-2</v>
      </c>
      <c r="C9" s="9" t="s">
        <v>1</v>
      </c>
    </row>
    <row r="10" spans="1:4" x14ac:dyDescent="0.25">
      <c r="A10" s="44" t="s">
        <v>91</v>
      </c>
      <c r="B10" s="2">
        <f>B8*B9^3/12</f>
        <v>3.6870894000000004E-7</v>
      </c>
      <c r="C10" s="8"/>
    </row>
    <row r="11" spans="1:4" x14ac:dyDescent="0.25">
      <c r="A11" s="43" t="s">
        <v>87</v>
      </c>
      <c r="B11" s="1">
        <v>0.6</v>
      </c>
      <c r="C11" s="9" t="s">
        <v>1</v>
      </c>
    </row>
    <row r="12" spans="1:4" x14ac:dyDescent="0.25">
      <c r="A12" s="43" t="s">
        <v>88</v>
      </c>
      <c r="B12" s="1">
        <v>1.9050000000000001E-2</v>
      </c>
      <c r="C12" s="9" t="s">
        <v>1</v>
      </c>
    </row>
    <row r="13" spans="1:4" x14ac:dyDescent="0.25">
      <c r="A13" s="44" t="s">
        <v>86</v>
      </c>
      <c r="B13" s="2">
        <f>B11*B12^3/12</f>
        <v>3.4566463125000008E-7</v>
      </c>
      <c r="C13" s="8" t="s">
        <v>30</v>
      </c>
    </row>
    <row r="14" spans="1:4" x14ac:dyDescent="0.25">
      <c r="A14" s="53" t="s">
        <v>31</v>
      </c>
      <c r="B14" s="54">
        <v>10000000000</v>
      </c>
      <c r="C14" s="55" t="s">
        <v>32</v>
      </c>
    </row>
    <row r="15" spans="1:4" x14ac:dyDescent="0.25">
      <c r="A15" s="46" t="s">
        <v>24</v>
      </c>
      <c r="B15" s="13">
        <f>B2*B3^2*B4/(2*B14*B10)+B2*B3^3/(3*B14*B13)</f>
        <v>1.2906521876035876E-3</v>
      </c>
      <c r="C15" s="9" t="s">
        <v>1</v>
      </c>
      <c r="D15" t="s">
        <v>84</v>
      </c>
    </row>
    <row r="16" spans="1:4" x14ac:dyDescent="0.25">
      <c r="A16" s="18"/>
      <c r="B16" s="49">
        <f>B15*1000</f>
        <v>1.2906521876035877</v>
      </c>
      <c r="C16" s="8" t="s">
        <v>9</v>
      </c>
    </row>
    <row r="17" spans="1:3" x14ac:dyDescent="0.25">
      <c r="A17" s="50" t="s">
        <v>108</v>
      </c>
      <c r="B17" s="15"/>
      <c r="C17" s="16"/>
    </row>
    <row r="18" spans="1:3" x14ac:dyDescent="0.25">
      <c r="A18" s="41" t="s">
        <v>110</v>
      </c>
      <c r="B18" s="3">
        <v>0.08</v>
      </c>
      <c r="C18" s="9" t="s">
        <v>1</v>
      </c>
    </row>
    <row r="19" spans="1:3" x14ac:dyDescent="0.25">
      <c r="A19" s="43" t="s">
        <v>111</v>
      </c>
      <c r="B19" s="1">
        <f>B18/4</f>
        <v>0.02</v>
      </c>
      <c r="C19" s="10" t="s">
        <v>1</v>
      </c>
    </row>
    <row r="20" spans="1:3" x14ac:dyDescent="0.25">
      <c r="A20" s="43" t="s">
        <v>112</v>
      </c>
      <c r="B20" s="1">
        <f>B19/1.6</f>
        <v>1.2499999999999999E-2</v>
      </c>
      <c r="C20" s="9" t="s">
        <v>1</v>
      </c>
    </row>
    <row r="21" spans="1:3" x14ac:dyDescent="0.25">
      <c r="A21" s="41" t="s">
        <v>109</v>
      </c>
      <c r="B21" s="1">
        <f>B20*B19</f>
        <v>2.5000000000000001E-4</v>
      </c>
      <c r="C21" s="9" t="s">
        <v>50</v>
      </c>
    </row>
    <row r="22" spans="1:3" x14ac:dyDescent="0.25">
      <c r="A22" s="41" t="s">
        <v>113</v>
      </c>
      <c r="B22" s="1">
        <v>1.9E-2</v>
      </c>
      <c r="C22" s="9" t="s">
        <v>1</v>
      </c>
    </row>
    <row r="23" spans="1:3" x14ac:dyDescent="0.25">
      <c r="A23" s="41" t="s">
        <v>33</v>
      </c>
      <c r="B23" s="13">
        <f>B14*B21/B22</f>
        <v>131578947.36842106</v>
      </c>
      <c r="C23" s="9"/>
    </row>
    <row r="24" spans="1:3" x14ac:dyDescent="0.25">
      <c r="A24" s="46" t="s">
        <v>105</v>
      </c>
      <c r="B24" s="13">
        <f>2*B2*B3^2/(B4^2*B23)</f>
        <v>1.3679999999999999E-5</v>
      </c>
      <c r="C24" s="10" t="s">
        <v>1</v>
      </c>
    </row>
    <row r="25" spans="1:3" x14ac:dyDescent="0.25">
      <c r="A25" s="17"/>
      <c r="B25" s="51">
        <f>B24*1000</f>
        <v>1.3679999999999999E-2</v>
      </c>
      <c r="C25" s="10" t="s">
        <v>9</v>
      </c>
    </row>
    <row r="26" spans="1:3" x14ac:dyDescent="0.25">
      <c r="A26" s="40" t="s">
        <v>114</v>
      </c>
      <c r="B26" s="52">
        <f>B25+B16</f>
        <v>1.3043321876035876</v>
      </c>
      <c r="C26" s="23" t="s">
        <v>9</v>
      </c>
    </row>
    <row r="30" spans="1:3" x14ac:dyDescent="0.25">
      <c r="A30" s="157" t="s">
        <v>296</v>
      </c>
      <c r="B30" s="157"/>
    </row>
    <row r="31" spans="1:3" x14ac:dyDescent="0.25">
      <c r="A31" s="98" t="s">
        <v>71</v>
      </c>
      <c r="B31" s="98"/>
    </row>
    <row r="32" spans="1:3" x14ac:dyDescent="0.25">
      <c r="A32" s="33" t="s">
        <v>72</v>
      </c>
      <c r="B32" s="29">
        <v>1500</v>
      </c>
    </row>
    <row r="33" spans="1:2" x14ac:dyDescent="0.25">
      <c r="A33" s="33" t="s">
        <v>73</v>
      </c>
      <c r="B33" s="31" t="s">
        <v>74</v>
      </c>
    </row>
    <row r="34" spans="1:2" x14ac:dyDescent="0.25">
      <c r="A34" s="33" t="s">
        <v>75</v>
      </c>
      <c r="B34" s="29">
        <v>100</v>
      </c>
    </row>
    <row r="35" spans="1:2" x14ac:dyDescent="0.25">
      <c r="A35" s="33" t="s">
        <v>76</v>
      </c>
      <c r="B35" s="29">
        <v>6</v>
      </c>
    </row>
    <row r="36" spans="1:2" x14ac:dyDescent="0.25">
      <c r="A36" s="33" t="s">
        <v>77</v>
      </c>
      <c r="B36" s="30">
        <f>PI()*(B34^4-(B34-2*B35)^4)/64</f>
        <v>1964990.8065967294</v>
      </c>
    </row>
    <row r="37" spans="1:2" x14ac:dyDescent="0.25">
      <c r="A37" s="33" t="s">
        <v>63</v>
      </c>
      <c r="B37" s="30">
        <f>PI()*(B34^2-(B34-2*B35)^2)/4</f>
        <v>1771.8582566246432</v>
      </c>
    </row>
    <row r="38" spans="1:2" x14ac:dyDescent="0.25">
      <c r="A38" s="33" t="s">
        <v>25</v>
      </c>
      <c r="B38" s="31" t="s">
        <v>64</v>
      </c>
    </row>
    <row r="39" spans="1:2" ht="30" x14ac:dyDescent="0.25">
      <c r="A39" s="33" t="s">
        <v>65</v>
      </c>
      <c r="B39" s="30">
        <f>200000/3</f>
        <v>66666.666666666672</v>
      </c>
    </row>
    <row r="40" spans="1:2" x14ac:dyDescent="0.25">
      <c r="A40" s="33" t="s">
        <v>66</v>
      </c>
      <c r="B40" s="29">
        <v>2.7</v>
      </c>
    </row>
    <row r="41" spans="1:2" x14ac:dyDescent="0.25">
      <c r="A41" s="33" t="s">
        <v>67</v>
      </c>
      <c r="B41" s="29"/>
    </row>
    <row r="42" spans="1:2" ht="45" x14ac:dyDescent="0.25">
      <c r="A42" s="33" t="s">
        <v>68</v>
      </c>
      <c r="B42" s="29">
        <v>2</v>
      </c>
    </row>
    <row r="43" spans="1:2" x14ac:dyDescent="0.25">
      <c r="A43" s="33" t="s">
        <v>69</v>
      </c>
      <c r="B43" s="34">
        <f>B42*(B40/(1000*1000)*B37*9.8)</f>
        <v>9.3766738940576133E-2</v>
      </c>
    </row>
    <row r="44" spans="1:2" ht="30" x14ac:dyDescent="0.25">
      <c r="A44" s="33" t="s">
        <v>70</v>
      </c>
      <c r="B44" s="32">
        <f>B43*B32^4/(8*B39*B36)</f>
        <v>0.45295451983769164</v>
      </c>
    </row>
  </sheetData>
  <mergeCells count="3">
    <mergeCell ref="A31:B31"/>
    <mergeCell ref="A1:C1"/>
    <mergeCell ref="A30:B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H40" sqref="H40"/>
    </sheetView>
  </sheetViews>
  <sheetFormatPr defaultRowHeight="15" x14ac:dyDescent="0.25"/>
  <cols>
    <col min="1" max="1" width="13.28515625" customWidth="1"/>
    <col min="2" max="2" width="10.42578125" customWidth="1"/>
    <col min="7" max="7" width="22.140625" customWidth="1"/>
  </cols>
  <sheetData>
    <row r="1" spans="1:10" x14ac:dyDescent="0.25">
      <c r="A1" s="14" t="s">
        <v>2</v>
      </c>
      <c r="B1" s="16">
        <v>0.45</v>
      </c>
      <c r="C1" t="s">
        <v>3</v>
      </c>
      <c r="D1" t="s">
        <v>4</v>
      </c>
    </row>
    <row r="2" spans="1:10" x14ac:dyDescent="0.25">
      <c r="A2" s="17" t="s">
        <v>5</v>
      </c>
      <c r="B2" s="25">
        <f>2*PI()</f>
        <v>6.2831853071795862</v>
      </c>
    </row>
    <row r="3" spans="1:10" x14ac:dyDescent="0.25">
      <c r="A3" s="17" t="s">
        <v>6</v>
      </c>
      <c r="B3" s="27">
        <v>0.3</v>
      </c>
    </row>
    <row r="4" spans="1:10" x14ac:dyDescent="0.25">
      <c r="A4" s="17" t="s">
        <v>7</v>
      </c>
      <c r="B4" s="9">
        <v>100</v>
      </c>
      <c r="C4" t="s">
        <v>8</v>
      </c>
    </row>
    <row r="5" spans="1:10" x14ac:dyDescent="0.25">
      <c r="A5" s="17" t="s">
        <v>0</v>
      </c>
      <c r="B5" s="24">
        <f>B1*B2*B3/B4</f>
        <v>8.4823001646924419E-3</v>
      </c>
      <c r="C5" t="s">
        <v>1</v>
      </c>
    </row>
    <row r="6" spans="1:10" x14ac:dyDescent="0.25">
      <c r="A6" s="18"/>
      <c r="B6" s="28">
        <f>B5*1000</f>
        <v>8.4823001646924414</v>
      </c>
      <c r="C6" t="s">
        <v>9</v>
      </c>
    </row>
    <row r="8" spans="1:10" x14ac:dyDescent="0.25">
      <c r="H8" s="14" t="s">
        <v>81</v>
      </c>
      <c r="I8" s="16"/>
    </row>
    <row r="9" spans="1:10" x14ac:dyDescent="0.25">
      <c r="A9" s="14" t="s">
        <v>10</v>
      </c>
      <c r="B9" s="16">
        <v>0.9</v>
      </c>
      <c r="C9" t="s">
        <v>11</v>
      </c>
      <c r="D9" t="s">
        <v>93</v>
      </c>
      <c r="H9" s="17" t="s">
        <v>0</v>
      </c>
      <c r="I9" s="9">
        <v>2</v>
      </c>
      <c r="J9" t="s">
        <v>9</v>
      </c>
    </row>
    <row r="10" spans="1:10" x14ac:dyDescent="0.25">
      <c r="A10" s="17" t="s">
        <v>7</v>
      </c>
      <c r="B10" s="9">
        <f>B4</f>
        <v>100</v>
      </c>
      <c r="C10" t="s">
        <v>8</v>
      </c>
      <c r="H10" s="17" t="s">
        <v>14</v>
      </c>
      <c r="I10" s="9">
        <v>18</v>
      </c>
      <c r="J10" t="s">
        <v>15</v>
      </c>
    </row>
    <row r="11" spans="1:10" x14ac:dyDescent="0.25">
      <c r="A11" s="17" t="s">
        <v>12</v>
      </c>
      <c r="B11" s="24">
        <f>B9/B10</f>
        <v>9.0000000000000011E-3</v>
      </c>
      <c r="C11" t="s">
        <v>13</v>
      </c>
      <c r="D11" t="s">
        <v>62</v>
      </c>
      <c r="H11" s="17" t="s">
        <v>82</v>
      </c>
      <c r="I11" s="9">
        <v>80</v>
      </c>
      <c r="J11" t="s">
        <v>9</v>
      </c>
    </row>
    <row r="12" spans="1:10" x14ac:dyDescent="0.25">
      <c r="A12" s="17" t="s">
        <v>92</v>
      </c>
      <c r="B12" s="25">
        <f>B11*1000/B6</f>
        <v>1.0610329539459691</v>
      </c>
      <c r="C12" t="s">
        <v>80</v>
      </c>
      <c r="H12" s="17" t="s">
        <v>12</v>
      </c>
      <c r="I12" s="94">
        <f>I11/I10/1000</f>
        <v>4.4444444444444444E-3</v>
      </c>
      <c r="J12" t="s">
        <v>13</v>
      </c>
    </row>
    <row r="13" spans="1:10" x14ac:dyDescent="0.25">
      <c r="A13" s="17" t="s">
        <v>17</v>
      </c>
      <c r="B13" s="9">
        <v>0.45</v>
      </c>
      <c r="C13" t="s">
        <v>1</v>
      </c>
      <c r="H13" s="17" t="s">
        <v>83</v>
      </c>
      <c r="I13" s="9">
        <f>I11/I9</f>
        <v>40</v>
      </c>
    </row>
    <row r="14" spans="1:10" x14ac:dyDescent="0.25">
      <c r="A14" s="18" t="s">
        <v>14</v>
      </c>
      <c r="B14" s="26">
        <f>B13/B11</f>
        <v>49.999999999999993</v>
      </c>
      <c r="C14" t="s">
        <v>15</v>
      </c>
      <c r="D14" t="s">
        <v>16</v>
      </c>
      <c r="H14" s="18" t="s">
        <v>80</v>
      </c>
      <c r="I14" s="95">
        <f>I13/I10</f>
        <v>2.2222222222222223</v>
      </c>
    </row>
    <row r="16" spans="1:10" x14ac:dyDescent="0.25">
      <c r="A16" t="s">
        <v>79</v>
      </c>
    </row>
    <row r="17" spans="1:1" x14ac:dyDescent="0.25">
      <c r="A17" t="s">
        <v>78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"/>
  <sheetViews>
    <sheetView topLeftCell="A13" workbookViewId="0">
      <selection activeCell="C23" sqref="C23"/>
    </sheetView>
  </sheetViews>
  <sheetFormatPr defaultRowHeight="15.75" x14ac:dyDescent="0.25"/>
  <cols>
    <col min="1" max="1" width="8.85546875" style="58" customWidth="1"/>
    <col min="2" max="2" width="35.28515625" style="58" customWidth="1"/>
    <col min="3" max="3" width="15.7109375" style="58" customWidth="1"/>
    <col min="4" max="4" width="15.42578125" style="58" customWidth="1"/>
    <col min="5" max="5" width="9.140625" style="58" customWidth="1"/>
    <col min="6" max="6" width="9.7109375" style="58" bestFit="1" customWidth="1"/>
    <col min="7" max="7" width="10.140625" style="59" bestFit="1" customWidth="1"/>
    <col min="8" max="8" width="14" style="59" bestFit="1" customWidth="1"/>
    <col min="9" max="13" width="9.140625" style="59" customWidth="1"/>
    <col min="14" max="256" width="9.140625" style="60"/>
    <col min="257" max="257" width="8.85546875" style="60" customWidth="1"/>
    <col min="258" max="258" width="35.28515625" style="60" customWidth="1"/>
    <col min="259" max="259" width="10.5703125" style="60" customWidth="1"/>
    <col min="260" max="260" width="15.42578125" style="60" customWidth="1"/>
    <col min="261" max="261" width="9.140625" style="60" customWidth="1"/>
    <col min="262" max="262" width="9.7109375" style="60" bestFit="1" customWidth="1"/>
    <col min="263" max="263" width="10.140625" style="60" bestFit="1" customWidth="1"/>
    <col min="264" max="264" width="12.42578125" style="60" bestFit="1" customWidth="1"/>
    <col min="265" max="269" width="9.140625" style="60" customWidth="1"/>
    <col min="270" max="512" width="9.140625" style="60"/>
    <col min="513" max="513" width="8.85546875" style="60" customWidth="1"/>
    <col min="514" max="514" width="35.28515625" style="60" customWidth="1"/>
    <col min="515" max="515" width="10.5703125" style="60" customWidth="1"/>
    <col min="516" max="516" width="15.42578125" style="60" customWidth="1"/>
    <col min="517" max="517" width="9.140625" style="60" customWidth="1"/>
    <col min="518" max="518" width="9.7109375" style="60" bestFit="1" customWidth="1"/>
    <col min="519" max="519" width="10.140625" style="60" bestFit="1" customWidth="1"/>
    <col min="520" max="520" width="12.42578125" style="60" bestFit="1" customWidth="1"/>
    <col min="521" max="525" width="9.140625" style="60" customWidth="1"/>
    <col min="526" max="768" width="9.140625" style="60"/>
    <col min="769" max="769" width="8.85546875" style="60" customWidth="1"/>
    <col min="770" max="770" width="35.28515625" style="60" customWidth="1"/>
    <col min="771" max="771" width="10.5703125" style="60" customWidth="1"/>
    <col min="772" max="772" width="15.42578125" style="60" customWidth="1"/>
    <col min="773" max="773" width="9.140625" style="60" customWidth="1"/>
    <col min="774" max="774" width="9.7109375" style="60" bestFit="1" customWidth="1"/>
    <col min="775" max="775" width="10.140625" style="60" bestFit="1" customWidth="1"/>
    <col min="776" max="776" width="12.42578125" style="60" bestFit="1" customWidth="1"/>
    <col min="777" max="781" width="9.140625" style="60" customWidth="1"/>
    <col min="782" max="1024" width="9.140625" style="60"/>
    <col min="1025" max="1025" width="8.85546875" style="60" customWidth="1"/>
    <col min="1026" max="1026" width="35.28515625" style="60" customWidth="1"/>
    <col min="1027" max="1027" width="10.5703125" style="60" customWidth="1"/>
    <col min="1028" max="1028" width="15.42578125" style="60" customWidth="1"/>
    <col min="1029" max="1029" width="9.140625" style="60" customWidth="1"/>
    <col min="1030" max="1030" width="9.7109375" style="60" bestFit="1" customWidth="1"/>
    <col min="1031" max="1031" width="10.140625" style="60" bestFit="1" customWidth="1"/>
    <col min="1032" max="1032" width="12.42578125" style="60" bestFit="1" customWidth="1"/>
    <col min="1033" max="1037" width="9.140625" style="60" customWidth="1"/>
    <col min="1038" max="1280" width="9.140625" style="60"/>
    <col min="1281" max="1281" width="8.85546875" style="60" customWidth="1"/>
    <col min="1282" max="1282" width="35.28515625" style="60" customWidth="1"/>
    <col min="1283" max="1283" width="10.5703125" style="60" customWidth="1"/>
    <col min="1284" max="1284" width="15.42578125" style="60" customWidth="1"/>
    <col min="1285" max="1285" width="9.140625" style="60" customWidth="1"/>
    <col min="1286" max="1286" width="9.7109375" style="60" bestFit="1" customWidth="1"/>
    <col min="1287" max="1287" width="10.140625" style="60" bestFit="1" customWidth="1"/>
    <col min="1288" max="1288" width="12.42578125" style="60" bestFit="1" customWidth="1"/>
    <col min="1289" max="1293" width="9.140625" style="60" customWidth="1"/>
    <col min="1294" max="1536" width="9.140625" style="60"/>
    <col min="1537" max="1537" width="8.85546875" style="60" customWidth="1"/>
    <col min="1538" max="1538" width="35.28515625" style="60" customWidth="1"/>
    <col min="1539" max="1539" width="10.5703125" style="60" customWidth="1"/>
    <col min="1540" max="1540" width="15.42578125" style="60" customWidth="1"/>
    <col min="1541" max="1541" width="9.140625" style="60" customWidth="1"/>
    <col min="1542" max="1542" width="9.7109375" style="60" bestFit="1" customWidth="1"/>
    <col min="1543" max="1543" width="10.140625" style="60" bestFit="1" customWidth="1"/>
    <col min="1544" max="1544" width="12.42578125" style="60" bestFit="1" customWidth="1"/>
    <col min="1545" max="1549" width="9.140625" style="60" customWidth="1"/>
    <col min="1550" max="1792" width="9.140625" style="60"/>
    <col min="1793" max="1793" width="8.85546875" style="60" customWidth="1"/>
    <col min="1794" max="1794" width="35.28515625" style="60" customWidth="1"/>
    <col min="1795" max="1795" width="10.5703125" style="60" customWidth="1"/>
    <col min="1796" max="1796" width="15.42578125" style="60" customWidth="1"/>
    <col min="1797" max="1797" width="9.140625" style="60" customWidth="1"/>
    <col min="1798" max="1798" width="9.7109375" style="60" bestFit="1" customWidth="1"/>
    <col min="1799" max="1799" width="10.140625" style="60" bestFit="1" customWidth="1"/>
    <col min="1800" max="1800" width="12.42578125" style="60" bestFit="1" customWidth="1"/>
    <col min="1801" max="1805" width="9.140625" style="60" customWidth="1"/>
    <col min="1806" max="2048" width="9.140625" style="60"/>
    <col min="2049" max="2049" width="8.85546875" style="60" customWidth="1"/>
    <col min="2050" max="2050" width="35.28515625" style="60" customWidth="1"/>
    <col min="2051" max="2051" width="10.5703125" style="60" customWidth="1"/>
    <col min="2052" max="2052" width="15.42578125" style="60" customWidth="1"/>
    <col min="2053" max="2053" width="9.140625" style="60" customWidth="1"/>
    <col min="2054" max="2054" width="9.7109375" style="60" bestFit="1" customWidth="1"/>
    <col min="2055" max="2055" width="10.140625" style="60" bestFit="1" customWidth="1"/>
    <col min="2056" max="2056" width="12.42578125" style="60" bestFit="1" customWidth="1"/>
    <col min="2057" max="2061" width="9.140625" style="60" customWidth="1"/>
    <col min="2062" max="2304" width="9.140625" style="60"/>
    <col min="2305" max="2305" width="8.85546875" style="60" customWidth="1"/>
    <col min="2306" max="2306" width="35.28515625" style="60" customWidth="1"/>
    <col min="2307" max="2307" width="10.5703125" style="60" customWidth="1"/>
    <col min="2308" max="2308" width="15.42578125" style="60" customWidth="1"/>
    <col min="2309" max="2309" width="9.140625" style="60" customWidth="1"/>
    <col min="2310" max="2310" width="9.7109375" style="60" bestFit="1" customWidth="1"/>
    <col min="2311" max="2311" width="10.140625" style="60" bestFit="1" customWidth="1"/>
    <col min="2312" max="2312" width="12.42578125" style="60" bestFit="1" customWidth="1"/>
    <col min="2313" max="2317" width="9.140625" style="60" customWidth="1"/>
    <col min="2318" max="2560" width="9.140625" style="60"/>
    <col min="2561" max="2561" width="8.85546875" style="60" customWidth="1"/>
    <col min="2562" max="2562" width="35.28515625" style="60" customWidth="1"/>
    <col min="2563" max="2563" width="10.5703125" style="60" customWidth="1"/>
    <col min="2564" max="2564" width="15.42578125" style="60" customWidth="1"/>
    <col min="2565" max="2565" width="9.140625" style="60" customWidth="1"/>
    <col min="2566" max="2566" width="9.7109375" style="60" bestFit="1" customWidth="1"/>
    <col min="2567" max="2567" width="10.140625" style="60" bestFit="1" customWidth="1"/>
    <col min="2568" max="2568" width="12.42578125" style="60" bestFit="1" customWidth="1"/>
    <col min="2569" max="2573" width="9.140625" style="60" customWidth="1"/>
    <col min="2574" max="2816" width="9.140625" style="60"/>
    <col min="2817" max="2817" width="8.85546875" style="60" customWidth="1"/>
    <col min="2818" max="2818" width="35.28515625" style="60" customWidth="1"/>
    <col min="2819" max="2819" width="10.5703125" style="60" customWidth="1"/>
    <col min="2820" max="2820" width="15.42578125" style="60" customWidth="1"/>
    <col min="2821" max="2821" width="9.140625" style="60" customWidth="1"/>
    <col min="2822" max="2822" width="9.7109375" style="60" bestFit="1" customWidth="1"/>
    <col min="2823" max="2823" width="10.140625" style="60" bestFit="1" customWidth="1"/>
    <col min="2824" max="2824" width="12.42578125" style="60" bestFit="1" customWidth="1"/>
    <col min="2825" max="2829" width="9.140625" style="60" customWidth="1"/>
    <col min="2830" max="3072" width="9.140625" style="60"/>
    <col min="3073" max="3073" width="8.85546875" style="60" customWidth="1"/>
    <col min="3074" max="3074" width="35.28515625" style="60" customWidth="1"/>
    <col min="3075" max="3075" width="10.5703125" style="60" customWidth="1"/>
    <col min="3076" max="3076" width="15.42578125" style="60" customWidth="1"/>
    <col min="3077" max="3077" width="9.140625" style="60" customWidth="1"/>
    <col min="3078" max="3078" width="9.7109375" style="60" bestFit="1" customWidth="1"/>
    <col min="3079" max="3079" width="10.140625" style="60" bestFit="1" customWidth="1"/>
    <col min="3080" max="3080" width="12.42578125" style="60" bestFit="1" customWidth="1"/>
    <col min="3081" max="3085" width="9.140625" style="60" customWidth="1"/>
    <col min="3086" max="3328" width="9.140625" style="60"/>
    <col min="3329" max="3329" width="8.85546875" style="60" customWidth="1"/>
    <col min="3330" max="3330" width="35.28515625" style="60" customWidth="1"/>
    <col min="3331" max="3331" width="10.5703125" style="60" customWidth="1"/>
    <col min="3332" max="3332" width="15.42578125" style="60" customWidth="1"/>
    <col min="3333" max="3333" width="9.140625" style="60" customWidth="1"/>
    <col min="3334" max="3334" width="9.7109375" style="60" bestFit="1" customWidth="1"/>
    <col min="3335" max="3335" width="10.140625" style="60" bestFit="1" customWidth="1"/>
    <col min="3336" max="3336" width="12.42578125" style="60" bestFit="1" customWidth="1"/>
    <col min="3337" max="3341" width="9.140625" style="60" customWidth="1"/>
    <col min="3342" max="3584" width="9.140625" style="60"/>
    <col min="3585" max="3585" width="8.85546875" style="60" customWidth="1"/>
    <col min="3586" max="3586" width="35.28515625" style="60" customWidth="1"/>
    <col min="3587" max="3587" width="10.5703125" style="60" customWidth="1"/>
    <col min="3588" max="3588" width="15.42578125" style="60" customWidth="1"/>
    <col min="3589" max="3589" width="9.140625" style="60" customWidth="1"/>
    <col min="3590" max="3590" width="9.7109375" style="60" bestFit="1" customWidth="1"/>
    <col min="3591" max="3591" width="10.140625" style="60" bestFit="1" customWidth="1"/>
    <col min="3592" max="3592" width="12.42578125" style="60" bestFit="1" customWidth="1"/>
    <col min="3593" max="3597" width="9.140625" style="60" customWidth="1"/>
    <col min="3598" max="3840" width="9.140625" style="60"/>
    <col min="3841" max="3841" width="8.85546875" style="60" customWidth="1"/>
    <col min="3842" max="3842" width="35.28515625" style="60" customWidth="1"/>
    <col min="3843" max="3843" width="10.5703125" style="60" customWidth="1"/>
    <col min="3844" max="3844" width="15.42578125" style="60" customWidth="1"/>
    <col min="3845" max="3845" width="9.140625" style="60" customWidth="1"/>
    <col min="3846" max="3846" width="9.7109375" style="60" bestFit="1" customWidth="1"/>
    <col min="3847" max="3847" width="10.140625" style="60" bestFit="1" customWidth="1"/>
    <col min="3848" max="3848" width="12.42578125" style="60" bestFit="1" customWidth="1"/>
    <col min="3849" max="3853" width="9.140625" style="60" customWidth="1"/>
    <col min="3854" max="4096" width="9.140625" style="60"/>
    <col min="4097" max="4097" width="8.85546875" style="60" customWidth="1"/>
    <col min="4098" max="4098" width="35.28515625" style="60" customWidth="1"/>
    <col min="4099" max="4099" width="10.5703125" style="60" customWidth="1"/>
    <col min="4100" max="4100" width="15.42578125" style="60" customWidth="1"/>
    <col min="4101" max="4101" width="9.140625" style="60" customWidth="1"/>
    <col min="4102" max="4102" width="9.7109375" style="60" bestFit="1" customWidth="1"/>
    <col min="4103" max="4103" width="10.140625" style="60" bestFit="1" customWidth="1"/>
    <col min="4104" max="4104" width="12.42578125" style="60" bestFit="1" customWidth="1"/>
    <col min="4105" max="4109" width="9.140625" style="60" customWidth="1"/>
    <col min="4110" max="4352" width="9.140625" style="60"/>
    <col min="4353" max="4353" width="8.85546875" style="60" customWidth="1"/>
    <col min="4354" max="4354" width="35.28515625" style="60" customWidth="1"/>
    <col min="4355" max="4355" width="10.5703125" style="60" customWidth="1"/>
    <col min="4356" max="4356" width="15.42578125" style="60" customWidth="1"/>
    <col min="4357" max="4357" width="9.140625" style="60" customWidth="1"/>
    <col min="4358" max="4358" width="9.7109375" style="60" bestFit="1" customWidth="1"/>
    <col min="4359" max="4359" width="10.140625" style="60" bestFit="1" customWidth="1"/>
    <col min="4360" max="4360" width="12.42578125" style="60" bestFit="1" customWidth="1"/>
    <col min="4361" max="4365" width="9.140625" style="60" customWidth="1"/>
    <col min="4366" max="4608" width="9.140625" style="60"/>
    <col min="4609" max="4609" width="8.85546875" style="60" customWidth="1"/>
    <col min="4610" max="4610" width="35.28515625" style="60" customWidth="1"/>
    <col min="4611" max="4611" width="10.5703125" style="60" customWidth="1"/>
    <col min="4612" max="4612" width="15.42578125" style="60" customWidth="1"/>
    <col min="4613" max="4613" width="9.140625" style="60" customWidth="1"/>
    <col min="4614" max="4614" width="9.7109375" style="60" bestFit="1" customWidth="1"/>
    <col min="4615" max="4615" width="10.140625" style="60" bestFit="1" customWidth="1"/>
    <col min="4616" max="4616" width="12.42578125" style="60" bestFit="1" customWidth="1"/>
    <col min="4617" max="4621" width="9.140625" style="60" customWidth="1"/>
    <col min="4622" max="4864" width="9.140625" style="60"/>
    <col min="4865" max="4865" width="8.85546875" style="60" customWidth="1"/>
    <col min="4866" max="4866" width="35.28515625" style="60" customWidth="1"/>
    <col min="4867" max="4867" width="10.5703125" style="60" customWidth="1"/>
    <col min="4868" max="4868" width="15.42578125" style="60" customWidth="1"/>
    <col min="4869" max="4869" width="9.140625" style="60" customWidth="1"/>
    <col min="4870" max="4870" width="9.7109375" style="60" bestFit="1" customWidth="1"/>
    <col min="4871" max="4871" width="10.140625" style="60" bestFit="1" customWidth="1"/>
    <col min="4872" max="4872" width="12.42578125" style="60" bestFit="1" customWidth="1"/>
    <col min="4873" max="4877" width="9.140625" style="60" customWidth="1"/>
    <col min="4878" max="5120" width="9.140625" style="60"/>
    <col min="5121" max="5121" width="8.85546875" style="60" customWidth="1"/>
    <col min="5122" max="5122" width="35.28515625" style="60" customWidth="1"/>
    <col min="5123" max="5123" width="10.5703125" style="60" customWidth="1"/>
    <col min="5124" max="5124" width="15.42578125" style="60" customWidth="1"/>
    <col min="5125" max="5125" width="9.140625" style="60" customWidth="1"/>
    <col min="5126" max="5126" width="9.7109375" style="60" bestFit="1" customWidth="1"/>
    <col min="5127" max="5127" width="10.140625" style="60" bestFit="1" customWidth="1"/>
    <col min="5128" max="5128" width="12.42578125" style="60" bestFit="1" customWidth="1"/>
    <col min="5129" max="5133" width="9.140625" style="60" customWidth="1"/>
    <col min="5134" max="5376" width="9.140625" style="60"/>
    <col min="5377" max="5377" width="8.85546875" style="60" customWidth="1"/>
    <col min="5378" max="5378" width="35.28515625" style="60" customWidth="1"/>
    <col min="5379" max="5379" width="10.5703125" style="60" customWidth="1"/>
    <col min="5380" max="5380" width="15.42578125" style="60" customWidth="1"/>
    <col min="5381" max="5381" width="9.140625" style="60" customWidth="1"/>
    <col min="5382" max="5382" width="9.7109375" style="60" bestFit="1" customWidth="1"/>
    <col min="5383" max="5383" width="10.140625" style="60" bestFit="1" customWidth="1"/>
    <col min="5384" max="5384" width="12.42578125" style="60" bestFit="1" customWidth="1"/>
    <col min="5385" max="5389" width="9.140625" style="60" customWidth="1"/>
    <col min="5390" max="5632" width="9.140625" style="60"/>
    <col min="5633" max="5633" width="8.85546875" style="60" customWidth="1"/>
    <col min="5634" max="5634" width="35.28515625" style="60" customWidth="1"/>
    <col min="5635" max="5635" width="10.5703125" style="60" customWidth="1"/>
    <col min="5636" max="5636" width="15.42578125" style="60" customWidth="1"/>
    <col min="5637" max="5637" width="9.140625" style="60" customWidth="1"/>
    <col min="5638" max="5638" width="9.7109375" style="60" bestFit="1" customWidth="1"/>
    <col min="5639" max="5639" width="10.140625" style="60" bestFit="1" customWidth="1"/>
    <col min="5640" max="5640" width="12.42578125" style="60" bestFit="1" customWidth="1"/>
    <col min="5641" max="5645" width="9.140625" style="60" customWidth="1"/>
    <col min="5646" max="5888" width="9.140625" style="60"/>
    <col min="5889" max="5889" width="8.85546875" style="60" customWidth="1"/>
    <col min="5890" max="5890" width="35.28515625" style="60" customWidth="1"/>
    <col min="5891" max="5891" width="10.5703125" style="60" customWidth="1"/>
    <col min="5892" max="5892" width="15.42578125" style="60" customWidth="1"/>
    <col min="5893" max="5893" width="9.140625" style="60" customWidth="1"/>
    <col min="5894" max="5894" width="9.7109375" style="60" bestFit="1" customWidth="1"/>
    <col min="5895" max="5895" width="10.140625" style="60" bestFit="1" customWidth="1"/>
    <col min="5896" max="5896" width="12.42578125" style="60" bestFit="1" customWidth="1"/>
    <col min="5897" max="5901" width="9.140625" style="60" customWidth="1"/>
    <col min="5902" max="6144" width="9.140625" style="60"/>
    <col min="6145" max="6145" width="8.85546875" style="60" customWidth="1"/>
    <col min="6146" max="6146" width="35.28515625" style="60" customWidth="1"/>
    <col min="6147" max="6147" width="10.5703125" style="60" customWidth="1"/>
    <col min="6148" max="6148" width="15.42578125" style="60" customWidth="1"/>
    <col min="6149" max="6149" width="9.140625" style="60" customWidth="1"/>
    <col min="6150" max="6150" width="9.7109375" style="60" bestFit="1" customWidth="1"/>
    <col min="6151" max="6151" width="10.140625" style="60" bestFit="1" customWidth="1"/>
    <col min="6152" max="6152" width="12.42578125" style="60" bestFit="1" customWidth="1"/>
    <col min="6153" max="6157" width="9.140625" style="60" customWidth="1"/>
    <col min="6158" max="6400" width="9.140625" style="60"/>
    <col min="6401" max="6401" width="8.85546875" style="60" customWidth="1"/>
    <col min="6402" max="6402" width="35.28515625" style="60" customWidth="1"/>
    <col min="6403" max="6403" width="10.5703125" style="60" customWidth="1"/>
    <col min="6404" max="6404" width="15.42578125" style="60" customWidth="1"/>
    <col min="6405" max="6405" width="9.140625" style="60" customWidth="1"/>
    <col min="6406" max="6406" width="9.7109375" style="60" bestFit="1" customWidth="1"/>
    <col min="6407" max="6407" width="10.140625" style="60" bestFit="1" customWidth="1"/>
    <col min="6408" max="6408" width="12.42578125" style="60" bestFit="1" customWidth="1"/>
    <col min="6409" max="6413" width="9.140625" style="60" customWidth="1"/>
    <col min="6414" max="6656" width="9.140625" style="60"/>
    <col min="6657" max="6657" width="8.85546875" style="60" customWidth="1"/>
    <col min="6658" max="6658" width="35.28515625" style="60" customWidth="1"/>
    <col min="6659" max="6659" width="10.5703125" style="60" customWidth="1"/>
    <col min="6660" max="6660" width="15.42578125" style="60" customWidth="1"/>
    <col min="6661" max="6661" width="9.140625" style="60" customWidth="1"/>
    <col min="6662" max="6662" width="9.7109375" style="60" bestFit="1" customWidth="1"/>
    <col min="6663" max="6663" width="10.140625" style="60" bestFit="1" customWidth="1"/>
    <col min="6664" max="6664" width="12.42578125" style="60" bestFit="1" customWidth="1"/>
    <col min="6665" max="6669" width="9.140625" style="60" customWidth="1"/>
    <col min="6670" max="6912" width="9.140625" style="60"/>
    <col min="6913" max="6913" width="8.85546875" style="60" customWidth="1"/>
    <col min="6914" max="6914" width="35.28515625" style="60" customWidth="1"/>
    <col min="6915" max="6915" width="10.5703125" style="60" customWidth="1"/>
    <col min="6916" max="6916" width="15.42578125" style="60" customWidth="1"/>
    <col min="6917" max="6917" width="9.140625" style="60" customWidth="1"/>
    <col min="6918" max="6918" width="9.7109375" style="60" bestFit="1" customWidth="1"/>
    <col min="6919" max="6919" width="10.140625" style="60" bestFit="1" customWidth="1"/>
    <col min="6920" max="6920" width="12.42578125" style="60" bestFit="1" customWidth="1"/>
    <col min="6921" max="6925" width="9.140625" style="60" customWidth="1"/>
    <col min="6926" max="7168" width="9.140625" style="60"/>
    <col min="7169" max="7169" width="8.85546875" style="60" customWidth="1"/>
    <col min="7170" max="7170" width="35.28515625" style="60" customWidth="1"/>
    <col min="7171" max="7171" width="10.5703125" style="60" customWidth="1"/>
    <col min="7172" max="7172" width="15.42578125" style="60" customWidth="1"/>
    <col min="7173" max="7173" width="9.140625" style="60" customWidth="1"/>
    <col min="7174" max="7174" width="9.7109375" style="60" bestFit="1" customWidth="1"/>
    <col min="7175" max="7175" width="10.140625" style="60" bestFit="1" customWidth="1"/>
    <col min="7176" max="7176" width="12.42578125" style="60" bestFit="1" customWidth="1"/>
    <col min="7177" max="7181" width="9.140625" style="60" customWidth="1"/>
    <col min="7182" max="7424" width="9.140625" style="60"/>
    <col min="7425" max="7425" width="8.85546875" style="60" customWidth="1"/>
    <col min="7426" max="7426" width="35.28515625" style="60" customWidth="1"/>
    <col min="7427" max="7427" width="10.5703125" style="60" customWidth="1"/>
    <col min="7428" max="7428" width="15.42578125" style="60" customWidth="1"/>
    <col min="7429" max="7429" width="9.140625" style="60" customWidth="1"/>
    <col min="7430" max="7430" width="9.7109375" style="60" bestFit="1" customWidth="1"/>
    <col min="7431" max="7431" width="10.140625" style="60" bestFit="1" customWidth="1"/>
    <col min="7432" max="7432" width="12.42578125" style="60" bestFit="1" customWidth="1"/>
    <col min="7433" max="7437" width="9.140625" style="60" customWidth="1"/>
    <col min="7438" max="7680" width="9.140625" style="60"/>
    <col min="7681" max="7681" width="8.85546875" style="60" customWidth="1"/>
    <col min="7682" max="7682" width="35.28515625" style="60" customWidth="1"/>
    <col min="7683" max="7683" width="10.5703125" style="60" customWidth="1"/>
    <col min="7684" max="7684" width="15.42578125" style="60" customWidth="1"/>
    <col min="7685" max="7685" width="9.140625" style="60" customWidth="1"/>
    <col min="7686" max="7686" width="9.7109375" style="60" bestFit="1" customWidth="1"/>
    <col min="7687" max="7687" width="10.140625" style="60" bestFit="1" customWidth="1"/>
    <col min="7688" max="7688" width="12.42578125" style="60" bestFit="1" customWidth="1"/>
    <col min="7689" max="7693" width="9.140625" style="60" customWidth="1"/>
    <col min="7694" max="7936" width="9.140625" style="60"/>
    <col min="7937" max="7937" width="8.85546875" style="60" customWidth="1"/>
    <col min="7938" max="7938" width="35.28515625" style="60" customWidth="1"/>
    <col min="7939" max="7939" width="10.5703125" style="60" customWidth="1"/>
    <col min="7940" max="7940" width="15.42578125" style="60" customWidth="1"/>
    <col min="7941" max="7941" width="9.140625" style="60" customWidth="1"/>
    <col min="7942" max="7942" width="9.7109375" style="60" bestFit="1" customWidth="1"/>
    <col min="7943" max="7943" width="10.140625" style="60" bestFit="1" customWidth="1"/>
    <col min="7944" max="7944" width="12.42578125" style="60" bestFit="1" customWidth="1"/>
    <col min="7945" max="7949" width="9.140625" style="60" customWidth="1"/>
    <col min="7950" max="8192" width="9.140625" style="60"/>
    <col min="8193" max="8193" width="8.85546875" style="60" customWidth="1"/>
    <col min="8194" max="8194" width="35.28515625" style="60" customWidth="1"/>
    <col min="8195" max="8195" width="10.5703125" style="60" customWidth="1"/>
    <col min="8196" max="8196" width="15.42578125" style="60" customWidth="1"/>
    <col min="8197" max="8197" width="9.140625" style="60" customWidth="1"/>
    <col min="8198" max="8198" width="9.7109375" style="60" bestFit="1" customWidth="1"/>
    <col min="8199" max="8199" width="10.140625" style="60" bestFit="1" customWidth="1"/>
    <col min="8200" max="8200" width="12.42578125" style="60" bestFit="1" customWidth="1"/>
    <col min="8201" max="8205" width="9.140625" style="60" customWidth="1"/>
    <col min="8206" max="8448" width="9.140625" style="60"/>
    <col min="8449" max="8449" width="8.85546875" style="60" customWidth="1"/>
    <col min="8450" max="8450" width="35.28515625" style="60" customWidth="1"/>
    <col min="8451" max="8451" width="10.5703125" style="60" customWidth="1"/>
    <col min="8452" max="8452" width="15.42578125" style="60" customWidth="1"/>
    <col min="8453" max="8453" width="9.140625" style="60" customWidth="1"/>
    <col min="8454" max="8454" width="9.7109375" style="60" bestFit="1" customWidth="1"/>
    <col min="8455" max="8455" width="10.140625" style="60" bestFit="1" customWidth="1"/>
    <col min="8456" max="8456" width="12.42578125" style="60" bestFit="1" customWidth="1"/>
    <col min="8457" max="8461" width="9.140625" style="60" customWidth="1"/>
    <col min="8462" max="8704" width="9.140625" style="60"/>
    <col min="8705" max="8705" width="8.85546875" style="60" customWidth="1"/>
    <col min="8706" max="8706" width="35.28515625" style="60" customWidth="1"/>
    <col min="8707" max="8707" width="10.5703125" style="60" customWidth="1"/>
    <col min="8708" max="8708" width="15.42578125" style="60" customWidth="1"/>
    <col min="8709" max="8709" width="9.140625" style="60" customWidth="1"/>
    <col min="8710" max="8710" width="9.7109375" style="60" bestFit="1" customWidth="1"/>
    <col min="8711" max="8711" width="10.140625" style="60" bestFit="1" customWidth="1"/>
    <col min="8712" max="8712" width="12.42578125" style="60" bestFit="1" customWidth="1"/>
    <col min="8713" max="8717" width="9.140625" style="60" customWidth="1"/>
    <col min="8718" max="8960" width="9.140625" style="60"/>
    <col min="8961" max="8961" width="8.85546875" style="60" customWidth="1"/>
    <col min="8962" max="8962" width="35.28515625" style="60" customWidth="1"/>
    <col min="8963" max="8963" width="10.5703125" style="60" customWidth="1"/>
    <col min="8964" max="8964" width="15.42578125" style="60" customWidth="1"/>
    <col min="8965" max="8965" width="9.140625" style="60" customWidth="1"/>
    <col min="8966" max="8966" width="9.7109375" style="60" bestFit="1" customWidth="1"/>
    <col min="8967" max="8967" width="10.140625" style="60" bestFit="1" customWidth="1"/>
    <col min="8968" max="8968" width="12.42578125" style="60" bestFit="1" customWidth="1"/>
    <col min="8969" max="8973" width="9.140625" style="60" customWidth="1"/>
    <col min="8974" max="9216" width="9.140625" style="60"/>
    <col min="9217" max="9217" width="8.85546875" style="60" customWidth="1"/>
    <col min="9218" max="9218" width="35.28515625" style="60" customWidth="1"/>
    <col min="9219" max="9219" width="10.5703125" style="60" customWidth="1"/>
    <col min="9220" max="9220" width="15.42578125" style="60" customWidth="1"/>
    <col min="9221" max="9221" width="9.140625" style="60" customWidth="1"/>
    <col min="9222" max="9222" width="9.7109375" style="60" bestFit="1" customWidth="1"/>
    <col min="9223" max="9223" width="10.140625" style="60" bestFit="1" customWidth="1"/>
    <col min="9224" max="9224" width="12.42578125" style="60" bestFit="1" customWidth="1"/>
    <col min="9225" max="9229" width="9.140625" style="60" customWidth="1"/>
    <col min="9230" max="9472" width="9.140625" style="60"/>
    <col min="9473" max="9473" width="8.85546875" style="60" customWidth="1"/>
    <col min="9474" max="9474" width="35.28515625" style="60" customWidth="1"/>
    <col min="9475" max="9475" width="10.5703125" style="60" customWidth="1"/>
    <col min="9476" max="9476" width="15.42578125" style="60" customWidth="1"/>
    <col min="9477" max="9477" width="9.140625" style="60" customWidth="1"/>
    <col min="9478" max="9478" width="9.7109375" style="60" bestFit="1" customWidth="1"/>
    <col min="9479" max="9479" width="10.140625" style="60" bestFit="1" customWidth="1"/>
    <col min="9480" max="9480" width="12.42578125" style="60" bestFit="1" customWidth="1"/>
    <col min="9481" max="9485" width="9.140625" style="60" customWidth="1"/>
    <col min="9486" max="9728" width="9.140625" style="60"/>
    <col min="9729" max="9729" width="8.85546875" style="60" customWidth="1"/>
    <col min="9730" max="9730" width="35.28515625" style="60" customWidth="1"/>
    <col min="9731" max="9731" width="10.5703125" style="60" customWidth="1"/>
    <col min="9732" max="9732" width="15.42578125" style="60" customWidth="1"/>
    <col min="9733" max="9733" width="9.140625" style="60" customWidth="1"/>
    <col min="9734" max="9734" width="9.7109375" style="60" bestFit="1" customWidth="1"/>
    <col min="9735" max="9735" width="10.140625" style="60" bestFit="1" customWidth="1"/>
    <col min="9736" max="9736" width="12.42578125" style="60" bestFit="1" customWidth="1"/>
    <col min="9737" max="9741" width="9.140625" style="60" customWidth="1"/>
    <col min="9742" max="9984" width="9.140625" style="60"/>
    <col min="9985" max="9985" width="8.85546875" style="60" customWidth="1"/>
    <col min="9986" max="9986" width="35.28515625" style="60" customWidth="1"/>
    <col min="9987" max="9987" width="10.5703125" style="60" customWidth="1"/>
    <col min="9988" max="9988" width="15.42578125" style="60" customWidth="1"/>
    <col min="9989" max="9989" width="9.140625" style="60" customWidth="1"/>
    <col min="9990" max="9990" width="9.7109375" style="60" bestFit="1" customWidth="1"/>
    <col min="9991" max="9991" width="10.140625" style="60" bestFit="1" customWidth="1"/>
    <col min="9992" max="9992" width="12.42578125" style="60" bestFit="1" customWidth="1"/>
    <col min="9993" max="9997" width="9.140625" style="60" customWidth="1"/>
    <col min="9998" max="10240" width="9.140625" style="60"/>
    <col min="10241" max="10241" width="8.85546875" style="60" customWidth="1"/>
    <col min="10242" max="10242" width="35.28515625" style="60" customWidth="1"/>
    <col min="10243" max="10243" width="10.5703125" style="60" customWidth="1"/>
    <col min="10244" max="10244" width="15.42578125" style="60" customWidth="1"/>
    <col min="10245" max="10245" width="9.140625" style="60" customWidth="1"/>
    <col min="10246" max="10246" width="9.7109375" style="60" bestFit="1" customWidth="1"/>
    <col min="10247" max="10247" width="10.140625" style="60" bestFit="1" customWidth="1"/>
    <col min="10248" max="10248" width="12.42578125" style="60" bestFit="1" customWidth="1"/>
    <col min="10249" max="10253" width="9.140625" style="60" customWidth="1"/>
    <col min="10254" max="10496" width="9.140625" style="60"/>
    <col min="10497" max="10497" width="8.85546875" style="60" customWidth="1"/>
    <col min="10498" max="10498" width="35.28515625" style="60" customWidth="1"/>
    <col min="10499" max="10499" width="10.5703125" style="60" customWidth="1"/>
    <col min="10500" max="10500" width="15.42578125" style="60" customWidth="1"/>
    <col min="10501" max="10501" width="9.140625" style="60" customWidth="1"/>
    <col min="10502" max="10502" width="9.7109375" style="60" bestFit="1" customWidth="1"/>
    <col min="10503" max="10503" width="10.140625" style="60" bestFit="1" customWidth="1"/>
    <col min="10504" max="10504" width="12.42578125" style="60" bestFit="1" customWidth="1"/>
    <col min="10505" max="10509" width="9.140625" style="60" customWidth="1"/>
    <col min="10510" max="10752" width="9.140625" style="60"/>
    <col min="10753" max="10753" width="8.85546875" style="60" customWidth="1"/>
    <col min="10754" max="10754" width="35.28515625" style="60" customWidth="1"/>
    <col min="10755" max="10755" width="10.5703125" style="60" customWidth="1"/>
    <col min="10756" max="10756" width="15.42578125" style="60" customWidth="1"/>
    <col min="10757" max="10757" width="9.140625" style="60" customWidth="1"/>
    <col min="10758" max="10758" width="9.7109375" style="60" bestFit="1" customWidth="1"/>
    <col min="10759" max="10759" width="10.140625" style="60" bestFit="1" customWidth="1"/>
    <col min="10760" max="10760" width="12.42578125" style="60" bestFit="1" customWidth="1"/>
    <col min="10761" max="10765" width="9.140625" style="60" customWidth="1"/>
    <col min="10766" max="11008" width="9.140625" style="60"/>
    <col min="11009" max="11009" width="8.85546875" style="60" customWidth="1"/>
    <col min="11010" max="11010" width="35.28515625" style="60" customWidth="1"/>
    <col min="11011" max="11011" width="10.5703125" style="60" customWidth="1"/>
    <col min="11012" max="11012" width="15.42578125" style="60" customWidth="1"/>
    <col min="11013" max="11013" width="9.140625" style="60" customWidth="1"/>
    <col min="11014" max="11014" width="9.7109375" style="60" bestFit="1" customWidth="1"/>
    <col min="11015" max="11015" width="10.140625" style="60" bestFit="1" customWidth="1"/>
    <col min="11016" max="11016" width="12.42578125" style="60" bestFit="1" customWidth="1"/>
    <col min="11017" max="11021" width="9.140625" style="60" customWidth="1"/>
    <col min="11022" max="11264" width="9.140625" style="60"/>
    <col min="11265" max="11265" width="8.85546875" style="60" customWidth="1"/>
    <col min="11266" max="11266" width="35.28515625" style="60" customWidth="1"/>
    <col min="11267" max="11267" width="10.5703125" style="60" customWidth="1"/>
    <col min="11268" max="11268" width="15.42578125" style="60" customWidth="1"/>
    <col min="11269" max="11269" width="9.140625" style="60" customWidth="1"/>
    <col min="11270" max="11270" width="9.7109375" style="60" bestFit="1" customWidth="1"/>
    <col min="11271" max="11271" width="10.140625" style="60" bestFit="1" customWidth="1"/>
    <col min="11272" max="11272" width="12.42578125" style="60" bestFit="1" customWidth="1"/>
    <col min="11273" max="11277" width="9.140625" style="60" customWidth="1"/>
    <col min="11278" max="11520" width="9.140625" style="60"/>
    <col min="11521" max="11521" width="8.85546875" style="60" customWidth="1"/>
    <col min="11522" max="11522" width="35.28515625" style="60" customWidth="1"/>
    <col min="11523" max="11523" width="10.5703125" style="60" customWidth="1"/>
    <col min="11524" max="11524" width="15.42578125" style="60" customWidth="1"/>
    <col min="11525" max="11525" width="9.140625" style="60" customWidth="1"/>
    <col min="11526" max="11526" width="9.7109375" style="60" bestFit="1" customWidth="1"/>
    <col min="11527" max="11527" width="10.140625" style="60" bestFit="1" customWidth="1"/>
    <col min="11528" max="11528" width="12.42578125" style="60" bestFit="1" customWidth="1"/>
    <col min="11529" max="11533" width="9.140625" style="60" customWidth="1"/>
    <col min="11534" max="11776" width="9.140625" style="60"/>
    <col min="11777" max="11777" width="8.85546875" style="60" customWidth="1"/>
    <col min="11778" max="11778" width="35.28515625" style="60" customWidth="1"/>
    <col min="11779" max="11779" width="10.5703125" style="60" customWidth="1"/>
    <col min="11780" max="11780" width="15.42578125" style="60" customWidth="1"/>
    <col min="11781" max="11781" width="9.140625" style="60" customWidth="1"/>
    <col min="11782" max="11782" width="9.7109375" style="60" bestFit="1" customWidth="1"/>
    <col min="11783" max="11783" width="10.140625" style="60" bestFit="1" customWidth="1"/>
    <col min="11784" max="11784" width="12.42578125" style="60" bestFit="1" customWidth="1"/>
    <col min="11785" max="11789" width="9.140625" style="60" customWidth="1"/>
    <col min="11790" max="12032" width="9.140625" style="60"/>
    <col min="12033" max="12033" width="8.85546875" style="60" customWidth="1"/>
    <col min="12034" max="12034" width="35.28515625" style="60" customWidth="1"/>
    <col min="12035" max="12035" width="10.5703125" style="60" customWidth="1"/>
    <col min="12036" max="12036" width="15.42578125" style="60" customWidth="1"/>
    <col min="12037" max="12037" width="9.140625" style="60" customWidth="1"/>
    <col min="12038" max="12038" width="9.7109375" style="60" bestFit="1" customWidth="1"/>
    <col min="12039" max="12039" width="10.140625" style="60" bestFit="1" customWidth="1"/>
    <col min="12040" max="12040" width="12.42578125" style="60" bestFit="1" customWidth="1"/>
    <col min="12041" max="12045" width="9.140625" style="60" customWidth="1"/>
    <col min="12046" max="12288" width="9.140625" style="60"/>
    <col min="12289" max="12289" width="8.85546875" style="60" customWidth="1"/>
    <col min="12290" max="12290" width="35.28515625" style="60" customWidth="1"/>
    <col min="12291" max="12291" width="10.5703125" style="60" customWidth="1"/>
    <col min="12292" max="12292" width="15.42578125" style="60" customWidth="1"/>
    <col min="12293" max="12293" width="9.140625" style="60" customWidth="1"/>
    <col min="12294" max="12294" width="9.7109375" style="60" bestFit="1" customWidth="1"/>
    <col min="12295" max="12295" width="10.140625" style="60" bestFit="1" customWidth="1"/>
    <col min="12296" max="12296" width="12.42578125" style="60" bestFit="1" customWidth="1"/>
    <col min="12297" max="12301" width="9.140625" style="60" customWidth="1"/>
    <col min="12302" max="12544" width="9.140625" style="60"/>
    <col min="12545" max="12545" width="8.85546875" style="60" customWidth="1"/>
    <col min="12546" max="12546" width="35.28515625" style="60" customWidth="1"/>
    <col min="12547" max="12547" width="10.5703125" style="60" customWidth="1"/>
    <col min="12548" max="12548" width="15.42578125" style="60" customWidth="1"/>
    <col min="12549" max="12549" width="9.140625" style="60" customWidth="1"/>
    <col min="12550" max="12550" width="9.7109375" style="60" bestFit="1" customWidth="1"/>
    <col min="12551" max="12551" width="10.140625" style="60" bestFit="1" customWidth="1"/>
    <col min="12552" max="12552" width="12.42578125" style="60" bestFit="1" customWidth="1"/>
    <col min="12553" max="12557" width="9.140625" style="60" customWidth="1"/>
    <col min="12558" max="12800" width="9.140625" style="60"/>
    <col min="12801" max="12801" width="8.85546875" style="60" customWidth="1"/>
    <col min="12802" max="12802" width="35.28515625" style="60" customWidth="1"/>
    <col min="12803" max="12803" width="10.5703125" style="60" customWidth="1"/>
    <col min="12804" max="12804" width="15.42578125" style="60" customWidth="1"/>
    <col min="12805" max="12805" width="9.140625" style="60" customWidth="1"/>
    <col min="12806" max="12806" width="9.7109375" style="60" bestFit="1" customWidth="1"/>
    <col min="12807" max="12807" width="10.140625" style="60" bestFit="1" customWidth="1"/>
    <col min="12808" max="12808" width="12.42578125" style="60" bestFit="1" customWidth="1"/>
    <col min="12809" max="12813" width="9.140625" style="60" customWidth="1"/>
    <col min="12814" max="13056" width="9.140625" style="60"/>
    <col min="13057" max="13057" width="8.85546875" style="60" customWidth="1"/>
    <col min="13058" max="13058" width="35.28515625" style="60" customWidth="1"/>
    <col min="13059" max="13059" width="10.5703125" style="60" customWidth="1"/>
    <col min="13060" max="13060" width="15.42578125" style="60" customWidth="1"/>
    <col min="13061" max="13061" width="9.140625" style="60" customWidth="1"/>
    <col min="13062" max="13062" width="9.7109375" style="60" bestFit="1" customWidth="1"/>
    <col min="13063" max="13063" width="10.140625" style="60" bestFit="1" customWidth="1"/>
    <col min="13064" max="13064" width="12.42578125" style="60" bestFit="1" customWidth="1"/>
    <col min="13065" max="13069" width="9.140625" style="60" customWidth="1"/>
    <col min="13070" max="13312" width="9.140625" style="60"/>
    <col min="13313" max="13313" width="8.85546875" style="60" customWidth="1"/>
    <col min="13314" max="13314" width="35.28515625" style="60" customWidth="1"/>
    <col min="13315" max="13315" width="10.5703125" style="60" customWidth="1"/>
    <col min="13316" max="13316" width="15.42578125" style="60" customWidth="1"/>
    <col min="13317" max="13317" width="9.140625" style="60" customWidth="1"/>
    <col min="13318" max="13318" width="9.7109375" style="60" bestFit="1" customWidth="1"/>
    <col min="13319" max="13319" width="10.140625" style="60" bestFit="1" customWidth="1"/>
    <col min="13320" max="13320" width="12.42578125" style="60" bestFit="1" customWidth="1"/>
    <col min="13321" max="13325" width="9.140625" style="60" customWidth="1"/>
    <col min="13326" max="13568" width="9.140625" style="60"/>
    <col min="13569" max="13569" width="8.85546875" style="60" customWidth="1"/>
    <col min="13570" max="13570" width="35.28515625" style="60" customWidth="1"/>
    <col min="13571" max="13571" width="10.5703125" style="60" customWidth="1"/>
    <col min="13572" max="13572" width="15.42578125" style="60" customWidth="1"/>
    <col min="13573" max="13573" width="9.140625" style="60" customWidth="1"/>
    <col min="13574" max="13574" width="9.7109375" style="60" bestFit="1" customWidth="1"/>
    <col min="13575" max="13575" width="10.140625" style="60" bestFit="1" customWidth="1"/>
    <col min="13576" max="13576" width="12.42578125" style="60" bestFit="1" customWidth="1"/>
    <col min="13577" max="13581" width="9.140625" style="60" customWidth="1"/>
    <col min="13582" max="13824" width="9.140625" style="60"/>
    <col min="13825" max="13825" width="8.85546875" style="60" customWidth="1"/>
    <col min="13826" max="13826" width="35.28515625" style="60" customWidth="1"/>
    <col min="13827" max="13827" width="10.5703125" style="60" customWidth="1"/>
    <col min="13828" max="13828" width="15.42578125" style="60" customWidth="1"/>
    <col min="13829" max="13829" width="9.140625" style="60" customWidth="1"/>
    <col min="13830" max="13830" width="9.7109375" style="60" bestFit="1" customWidth="1"/>
    <col min="13831" max="13831" width="10.140625" style="60" bestFit="1" customWidth="1"/>
    <col min="13832" max="13832" width="12.42578125" style="60" bestFit="1" customWidth="1"/>
    <col min="13833" max="13837" width="9.140625" style="60" customWidth="1"/>
    <col min="13838" max="14080" width="9.140625" style="60"/>
    <col min="14081" max="14081" width="8.85546875" style="60" customWidth="1"/>
    <col min="14082" max="14082" width="35.28515625" style="60" customWidth="1"/>
    <col min="14083" max="14083" width="10.5703125" style="60" customWidth="1"/>
    <col min="14084" max="14084" width="15.42578125" style="60" customWidth="1"/>
    <col min="14085" max="14085" width="9.140625" style="60" customWidth="1"/>
    <col min="14086" max="14086" width="9.7109375" style="60" bestFit="1" customWidth="1"/>
    <col min="14087" max="14087" width="10.140625" style="60" bestFit="1" customWidth="1"/>
    <col min="14088" max="14088" width="12.42578125" style="60" bestFit="1" customWidth="1"/>
    <col min="14089" max="14093" width="9.140625" style="60" customWidth="1"/>
    <col min="14094" max="14336" width="9.140625" style="60"/>
    <col min="14337" max="14337" width="8.85546875" style="60" customWidth="1"/>
    <col min="14338" max="14338" width="35.28515625" style="60" customWidth="1"/>
    <col min="14339" max="14339" width="10.5703125" style="60" customWidth="1"/>
    <col min="14340" max="14340" width="15.42578125" style="60" customWidth="1"/>
    <col min="14341" max="14341" width="9.140625" style="60" customWidth="1"/>
    <col min="14342" max="14342" width="9.7109375" style="60" bestFit="1" customWidth="1"/>
    <col min="14343" max="14343" width="10.140625" style="60" bestFit="1" customWidth="1"/>
    <col min="14344" max="14344" width="12.42578125" style="60" bestFit="1" customWidth="1"/>
    <col min="14345" max="14349" width="9.140625" style="60" customWidth="1"/>
    <col min="14350" max="14592" width="9.140625" style="60"/>
    <col min="14593" max="14593" width="8.85546875" style="60" customWidth="1"/>
    <col min="14594" max="14594" width="35.28515625" style="60" customWidth="1"/>
    <col min="14595" max="14595" width="10.5703125" style="60" customWidth="1"/>
    <col min="14596" max="14596" width="15.42578125" style="60" customWidth="1"/>
    <col min="14597" max="14597" width="9.140625" style="60" customWidth="1"/>
    <col min="14598" max="14598" width="9.7109375" style="60" bestFit="1" customWidth="1"/>
    <col min="14599" max="14599" width="10.140625" style="60" bestFit="1" customWidth="1"/>
    <col min="14600" max="14600" width="12.42578125" style="60" bestFit="1" customWidth="1"/>
    <col min="14601" max="14605" width="9.140625" style="60" customWidth="1"/>
    <col min="14606" max="14848" width="9.140625" style="60"/>
    <col min="14849" max="14849" width="8.85546875" style="60" customWidth="1"/>
    <col min="14850" max="14850" width="35.28515625" style="60" customWidth="1"/>
    <col min="14851" max="14851" width="10.5703125" style="60" customWidth="1"/>
    <col min="14852" max="14852" width="15.42578125" style="60" customWidth="1"/>
    <col min="14853" max="14853" width="9.140625" style="60" customWidth="1"/>
    <col min="14854" max="14854" width="9.7109375" style="60" bestFit="1" customWidth="1"/>
    <col min="14855" max="14855" width="10.140625" style="60" bestFit="1" customWidth="1"/>
    <col min="14856" max="14856" width="12.42578125" style="60" bestFit="1" customWidth="1"/>
    <col min="14857" max="14861" width="9.140625" style="60" customWidth="1"/>
    <col min="14862" max="15104" width="9.140625" style="60"/>
    <col min="15105" max="15105" width="8.85546875" style="60" customWidth="1"/>
    <col min="15106" max="15106" width="35.28515625" style="60" customWidth="1"/>
    <col min="15107" max="15107" width="10.5703125" style="60" customWidth="1"/>
    <col min="15108" max="15108" width="15.42578125" style="60" customWidth="1"/>
    <col min="15109" max="15109" width="9.140625" style="60" customWidth="1"/>
    <col min="15110" max="15110" width="9.7109375" style="60" bestFit="1" customWidth="1"/>
    <col min="15111" max="15111" width="10.140625" style="60" bestFit="1" customWidth="1"/>
    <col min="15112" max="15112" width="12.42578125" style="60" bestFit="1" customWidth="1"/>
    <col min="15113" max="15117" width="9.140625" style="60" customWidth="1"/>
    <col min="15118" max="15360" width="9.140625" style="60"/>
    <col min="15361" max="15361" width="8.85546875" style="60" customWidth="1"/>
    <col min="15362" max="15362" width="35.28515625" style="60" customWidth="1"/>
    <col min="15363" max="15363" width="10.5703125" style="60" customWidth="1"/>
    <col min="15364" max="15364" width="15.42578125" style="60" customWidth="1"/>
    <col min="15365" max="15365" width="9.140625" style="60" customWidth="1"/>
    <col min="15366" max="15366" width="9.7109375" style="60" bestFit="1" customWidth="1"/>
    <col min="15367" max="15367" width="10.140625" style="60" bestFit="1" customWidth="1"/>
    <col min="15368" max="15368" width="12.42578125" style="60" bestFit="1" customWidth="1"/>
    <col min="15369" max="15373" width="9.140625" style="60" customWidth="1"/>
    <col min="15374" max="15616" width="9.140625" style="60"/>
    <col min="15617" max="15617" width="8.85546875" style="60" customWidth="1"/>
    <col min="15618" max="15618" width="35.28515625" style="60" customWidth="1"/>
    <col min="15619" max="15619" width="10.5703125" style="60" customWidth="1"/>
    <col min="15620" max="15620" width="15.42578125" style="60" customWidth="1"/>
    <col min="15621" max="15621" width="9.140625" style="60" customWidth="1"/>
    <col min="15622" max="15622" width="9.7109375" style="60" bestFit="1" customWidth="1"/>
    <col min="15623" max="15623" width="10.140625" style="60" bestFit="1" customWidth="1"/>
    <col min="15624" max="15624" width="12.42578125" style="60" bestFit="1" customWidth="1"/>
    <col min="15625" max="15629" width="9.140625" style="60" customWidth="1"/>
    <col min="15630" max="15872" width="9.140625" style="60"/>
    <col min="15873" max="15873" width="8.85546875" style="60" customWidth="1"/>
    <col min="15874" max="15874" width="35.28515625" style="60" customWidth="1"/>
    <col min="15875" max="15875" width="10.5703125" style="60" customWidth="1"/>
    <col min="15876" max="15876" width="15.42578125" style="60" customWidth="1"/>
    <col min="15877" max="15877" width="9.140625" style="60" customWidth="1"/>
    <col min="15878" max="15878" width="9.7109375" style="60" bestFit="1" customWidth="1"/>
    <col min="15879" max="15879" width="10.140625" style="60" bestFit="1" customWidth="1"/>
    <col min="15880" max="15880" width="12.42578125" style="60" bestFit="1" customWidth="1"/>
    <col min="15881" max="15885" width="9.140625" style="60" customWidth="1"/>
    <col min="15886" max="16128" width="9.140625" style="60"/>
    <col min="16129" max="16129" width="8.85546875" style="60" customWidth="1"/>
    <col min="16130" max="16130" width="35.28515625" style="60" customWidth="1"/>
    <col min="16131" max="16131" width="10.5703125" style="60" customWidth="1"/>
    <col min="16132" max="16132" width="15.42578125" style="60" customWidth="1"/>
    <col min="16133" max="16133" width="9.140625" style="60" customWidth="1"/>
    <col min="16134" max="16134" width="9.7109375" style="60" bestFit="1" customWidth="1"/>
    <col min="16135" max="16135" width="10.140625" style="60" bestFit="1" customWidth="1"/>
    <col min="16136" max="16136" width="12.42578125" style="60" bestFit="1" customWidth="1"/>
    <col min="16137" max="16141" width="9.140625" style="60" customWidth="1"/>
    <col min="16142" max="16384" width="9.140625" style="60"/>
  </cols>
  <sheetData>
    <row r="1" spans="1:13" ht="16.5" thickBot="1" x14ac:dyDescent="0.3"/>
    <row r="2" spans="1:13" s="64" customFormat="1" x14ac:dyDescent="0.25">
      <c r="A2" s="61"/>
      <c r="B2" s="99" t="s">
        <v>161</v>
      </c>
      <c r="C2" s="100"/>
      <c r="D2" s="101"/>
      <c r="E2" s="62"/>
      <c r="F2" s="62"/>
      <c r="G2" s="63"/>
      <c r="H2" s="63"/>
      <c r="I2" s="63"/>
      <c r="J2" s="63"/>
      <c r="K2" s="63"/>
      <c r="L2" s="63"/>
      <c r="M2" s="63"/>
    </row>
    <row r="3" spans="1:13" s="64" customFormat="1" ht="31.5" customHeight="1" x14ac:dyDescent="0.25">
      <c r="A3" s="61"/>
      <c r="B3" s="102" t="s">
        <v>162</v>
      </c>
      <c r="C3" s="103"/>
      <c r="D3" s="104"/>
      <c r="E3" s="62"/>
      <c r="F3" s="62"/>
      <c r="G3" s="63"/>
      <c r="H3" s="63"/>
      <c r="I3" s="63"/>
      <c r="J3" s="63"/>
      <c r="K3" s="63"/>
      <c r="L3" s="63"/>
      <c r="M3" s="63"/>
    </row>
    <row r="4" spans="1:13" s="64" customFormat="1" x14ac:dyDescent="0.25">
      <c r="A4" s="61"/>
      <c r="B4" s="105" t="s">
        <v>163</v>
      </c>
      <c r="C4" s="106"/>
      <c r="D4" s="107"/>
      <c r="E4" s="62"/>
      <c r="F4" s="62"/>
      <c r="G4" s="63"/>
      <c r="H4" s="63"/>
      <c r="I4" s="63"/>
      <c r="J4" s="63"/>
      <c r="K4" s="63"/>
      <c r="L4" s="63"/>
      <c r="M4" s="63"/>
    </row>
    <row r="5" spans="1:13" s="64" customFormat="1" ht="16.5" thickBot="1" x14ac:dyDescent="0.3">
      <c r="A5" s="61"/>
      <c r="B5" s="108" t="s">
        <v>164</v>
      </c>
      <c r="C5" s="109"/>
      <c r="D5" s="110"/>
      <c r="E5" s="62"/>
      <c r="F5" s="62"/>
      <c r="G5" s="63"/>
      <c r="H5" s="63"/>
      <c r="I5" s="63"/>
      <c r="J5" s="63"/>
      <c r="K5" s="63"/>
      <c r="L5" s="63"/>
      <c r="M5" s="63"/>
    </row>
    <row r="6" spans="1:13" s="64" customFormat="1" x14ac:dyDescent="0.25">
      <c r="A6" s="61"/>
      <c r="B6" s="65" t="s">
        <v>165</v>
      </c>
      <c r="C6" s="66"/>
      <c r="D6" s="66"/>
      <c r="E6" s="62"/>
      <c r="F6" s="62"/>
      <c r="G6" s="63"/>
      <c r="H6" s="63"/>
      <c r="I6" s="63"/>
      <c r="J6" s="63"/>
      <c r="K6" s="63"/>
      <c r="L6" s="63"/>
      <c r="M6" s="63"/>
    </row>
    <row r="7" spans="1:13" s="64" customFormat="1" x14ac:dyDescent="0.25">
      <c r="A7" s="61"/>
      <c r="B7" s="66"/>
      <c r="C7" s="66"/>
      <c r="D7" s="66"/>
      <c r="E7" s="62"/>
      <c r="F7" s="62"/>
      <c r="G7" s="63"/>
      <c r="H7" s="63"/>
      <c r="I7" s="63"/>
      <c r="J7" s="63"/>
      <c r="K7" s="63"/>
      <c r="L7" s="63"/>
      <c r="M7" s="63"/>
    </row>
    <row r="8" spans="1:13" s="64" customFormat="1" x14ac:dyDescent="0.25">
      <c r="A8" s="61"/>
      <c r="B8" s="66"/>
      <c r="C8" s="66"/>
      <c r="D8" s="66"/>
      <c r="E8" s="62"/>
      <c r="F8" s="62"/>
      <c r="G8" s="63"/>
      <c r="H8" s="63"/>
      <c r="I8" s="63"/>
      <c r="J8" s="63"/>
      <c r="K8" s="63"/>
      <c r="L8" s="63"/>
      <c r="M8" s="63"/>
    </row>
    <row r="9" spans="1:13" s="64" customFormat="1" x14ac:dyDescent="0.25">
      <c r="A9" s="61"/>
      <c r="B9" s="66"/>
      <c r="C9" s="66"/>
      <c r="D9" s="66"/>
      <c r="E9" s="62"/>
      <c r="F9" s="62"/>
      <c r="G9" s="63"/>
      <c r="H9" s="63"/>
      <c r="I9" s="63"/>
      <c r="J9" s="63"/>
      <c r="K9" s="63"/>
      <c r="L9" s="63"/>
      <c r="M9" s="63"/>
    </row>
    <row r="10" spans="1:13" s="64" customFormat="1" x14ac:dyDescent="0.25">
      <c r="A10" s="61"/>
      <c r="B10" s="66"/>
      <c r="C10" s="66"/>
      <c r="D10" s="66"/>
      <c r="E10" s="62"/>
      <c r="F10" s="62"/>
      <c r="G10" s="63"/>
      <c r="H10" s="63"/>
      <c r="I10" s="63"/>
      <c r="J10" s="63"/>
      <c r="K10" s="63"/>
      <c r="L10" s="63"/>
      <c r="M10" s="63"/>
    </row>
    <row r="11" spans="1:13" s="64" customFormat="1" x14ac:dyDescent="0.25">
      <c r="A11" s="61"/>
      <c r="B11" s="66"/>
      <c r="C11" s="66"/>
      <c r="D11" s="66"/>
      <c r="E11" s="62"/>
      <c r="F11" s="62"/>
      <c r="G11" s="63"/>
      <c r="H11" s="63"/>
      <c r="I11" s="63"/>
      <c r="J11" s="63"/>
      <c r="K11" s="63"/>
      <c r="L11" s="63"/>
      <c r="M11" s="63"/>
    </row>
    <row r="12" spans="1:13" s="64" customFormat="1" x14ac:dyDescent="0.25">
      <c r="A12" s="61"/>
      <c r="B12" s="66"/>
      <c r="C12" s="66"/>
      <c r="D12" s="66"/>
      <c r="E12" s="62"/>
      <c r="F12" s="62"/>
      <c r="G12" s="63"/>
      <c r="H12" s="63"/>
      <c r="I12" s="63"/>
      <c r="J12" s="63"/>
      <c r="K12" s="63"/>
      <c r="L12" s="63"/>
      <c r="M12" s="63"/>
    </row>
    <row r="13" spans="1:13" s="64" customFormat="1" x14ac:dyDescent="0.25">
      <c r="A13" s="61"/>
      <c r="B13" s="66"/>
      <c r="C13" s="66"/>
      <c r="D13" s="66"/>
      <c r="E13" s="62"/>
      <c r="F13" s="62"/>
      <c r="G13" s="63"/>
      <c r="H13" s="63"/>
      <c r="I13" s="63"/>
      <c r="J13" s="63"/>
      <c r="K13" s="63"/>
      <c r="L13" s="63"/>
      <c r="M13" s="63"/>
    </row>
    <row r="14" spans="1:13" s="64" customFormat="1" x14ac:dyDescent="0.25">
      <c r="A14" s="61"/>
      <c r="B14" s="66"/>
      <c r="C14" s="66"/>
      <c r="D14" s="66"/>
      <c r="E14" s="62"/>
      <c r="F14" s="62"/>
      <c r="G14" s="63"/>
      <c r="H14" s="63"/>
      <c r="I14" s="63"/>
      <c r="J14" s="63"/>
      <c r="K14" s="63"/>
      <c r="L14" s="63"/>
      <c r="M14" s="63"/>
    </row>
    <row r="15" spans="1:13" s="64" customFormat="1" ht="16.5" thickBot="1" x14ac:dyDescent="0.3">
      <c r="A15" s="61"/>
      <c r="B15" s="66"/>
      <c r="C15" s="66"/>
      <c r="D15" s="66"/>
      <c r="E15" s="62"/>
      <c r="F15" s="62"/>
      <c r="G15" s="63"/>
      <c r="H15" s="63"/>
      <c r="I15" s="63"/>
      <c r="J15" s="63"/>
      <c r="K15" s="63"/>
      <c r="L15" s="63"/>
      <c r="M15" s="63"/>
    </row>
    <row r="16" spans="1:13" s="64" customFormat="1" ht="16.5" thickTop="1" x14ac:dyDescent="0.25">
      <c r="A16" s="61"/>
      <c r="B16" s="67" t="s">
        <v>166</v>
      </c>
      <c r="C16" s="68" t="s">
        <v>167</v>
      </c>
      <c r="D16" s="69" t="s">
        <v>168</v>
      </c>
      <c r="E16" s="62"/>
      <c r="F16" s="62"/>
      <c r="G16" s="63"/>
      <c r="H16" s="63"/>
      <c r="I16" s="63"/>
      <c r="J16" s="63"/>
      <c r="K16" s="63"/>
      <c r="L16" s="63"/>
      <c r="M16" s="63"/>
    </row>
    <row r="17" spans="2:8" x14ac:dyDescent="0.25">
      <c r="B17" s="70" t="s">
        <v>169</v>
      </c>
      <c r="C17" s="71">
        <v>100</v>
      </c>
      <c r="D17" s="72">
        <v>0.5</v>
      </c>
    </row>
    <row r="18" spans="2:8" x14ac:dyDescent="0.25">
      <c r="B18" s="70" t="s">
        <v>170</v>
      </c>
      <c r="C18" s="73">
        <f>'C1-Truss'!B64/1000000</f>
        <v>10000</v>
      </c>
      <c r="D18" s="69">
        <v>200000</v>
      </c>
    </row>
    <row r="19" spans="2:8" x14ac:dyDescent="0.25">
      <c r="B19" s="70" t="s">
        <v>171</v>
      </c>
      <c r="C19" s="74">
        <v>30</v>
      </c>
      <c r="D19" s="75">
        <v>0.5</v>
      </c>
    </row>
    <row r="20" spans="2:8" x14ac:dyDescent="0.25">
      <c r="B20" s="70" t="s">
        <v>172</v>
      </c>
      <c r="C20" s="74">
        <v>20</v>
      </c>
      <c r="D20" s="75">
        <v>0.1</v>
      </c>
    </row>
    <row r="21" spans="2:8" x14ac:dyDescent="0.25">
      <c r="B21" s="70" t="s">
        <v>173</v>
      </c>
      <c r="C21" s="74">
        <v>100</v>
      </c>
      <c r="D21" s="75">
        <v>0.2</v>
      </c>
    </row>
    <row r="22" spans="2:8" x14ac:dyDescent="0.25">
      <c r="B22" s="70" t="s">
        <v>174</v>
      </c>
      <c r="C22" s="74">
        <v>240</v>
      </c>
      <c r="D22" s="75">
        <v>5</v>
      </c>
    </row>
    <row r="23" spans="2:8" x14ac:dyDescent="0.25">
      <c r="B23" s="70" t="s">
        <v>175</v>
      </c>
      <c r="C23" s="74"/>
      <c r="D23" s="75">
        <v>0</v>
      </c>
      <c r="G23" s="59" t="s">
        <v>187</v>
      </c>
    </row>
    <row r="24" spans="2:8" x14ac:dyDescent="0.25">
      <c r="B24" s="70" t="s">
        <v>176</v>
      </c>
      <c r="C24" s="74">
        <f>F*L^3/(3*E*defl)</f>
        <v>871748.29703065695</v>
      </c>
      <c r="D24" s="75"/>
      <c r="H24" s="59">
        <f>C24*(10^-3)^4</f>
        <v>8.717482970306569E-7</v>
      </c>
    </row>
    <row r="25" spans="2:8" x14ac:dyDescent="0.25">
      <c r="B25" s="70" t="s">
        <v>177</v>
      </c>
      <c r="C25" s="76">
        <f>(Gamma-Tend)/L_2</f>
        <v>0.33333333333333331</v>
      </c>
      <c r="D25" s="77"/>
    </row>
    <row r="26" spans="2:8" x14ac:dyDescent="0.25">
      <c r="B26" s="70" t="s">
        <v>178</v>
      </c>
      <c r="C26" s="78">
        <f>-Tend/(2*m_cantilever^2*Gamma^2)+1/(m_cantilever^2*Gamma)</f>
        <v>8.0999999999999989E-2</v>
      </c>
      <c r="D26" s="77"/>
    </row>
    <row r="27" spans="2:8" x14ac:dyDescent="0.25">
      <c r="B27" s="70" t="s">
        <v>179</v>
      </c>
      <c r="C27" s="79">
        <f>F_cantilever*L_2/(b_cantilever*Gamma^2/6)</f>
        <v>0.48</v>
      </c>
      <c r="D27" s="72">
        <v>763</v>
      </c>
    </row>
    <row r="28" spans="2:8" x14ac:dyDescent="0.25">
      <c r="B28" s="70" t="s">
        <v>180</v>
      </c>
      <c r="C28" s="80">
        <f>maxs_cantilever/E_cantilever</f>
        <v>4.8000000000000001E-5</v>
      </c>
      <c r="D28" s="81">
        <f>D27/D18</f>
        <v>3.8149999999999998E-3</v>
      </c>
    </row>
    <row r="29" spans="2:8" x14ac:dyDescent="0.25">
      <c r="B29" s="70" t="s">
        <v>181</v>
      </c>
      <c r="C29" s="80">
        <f>(12*F_cantilever/(b_cantilever*E_cantilever))*(Tend/(2*m_cantilever^2*(Tend+x_cantilever*m_cantilever)^2)-1/(m_cantilever^2*(Tend+x_cantilever*m_cantilever))+cone_c)</f>
        <v>-5.7599999999999991E-4</v>
      </c>
      <c r="D29" s="77"/>
    </row>
    <row r="30" spans="2:8" x14ac:dyDescent="0.25">
      <c r="B30" s="70" t="s">
        <v>182</v>
      </c>
      <c r="C30" s="88">
        <f>(12*F_cantilever)/(b_cantilever*E_cantilever)*( (Tend/(2*m_cantilever^3))*(1/(Tend+L_2*m_cantilever)-1/(Tend+x_cantilever*m_cantilever))-LN((Tend+x_cantilever*m_cantilever)/(Tend+L_2*m_cantilever))/m_cantilever^3+c_1_c*(x_cantilever-L_2)   )</f>
        <v>5.2859294542882823E-2</v>
      </c>
      <c r="D30" s="82">
        <v>0.504</v>
      </c>
    </row>
    <row r="31" spans="2:8" x14ac:dyDescent="0.25">
      <c r="B31" s="70" t="s">
        <v>183</v>
      </c>
      <c r="C31" s="76">
        <f>F_cantilever/defl</f>
        <v>1891.814880708891</v>
      </c>
      <c r="D31" s="82">
        <f>D17/D30</f>
        <v>0.99206349206349209</v>
      </c>
    </row>
    <row r="32" spans="2:8" x14ac:dyDescent="0.25">
      <c r="B32" s="70" t="s">
        <v>184</v>
      </c>
      <c r="C32" s="76">
        <f>F_cantilever*L_2^3/(3*E_cantilever*b_cantilever*Gamma^3/12)</f>
        <v>1.8432E-2</v>
      </c>
      <c r="D32" s="77"/>
      <c r="E32" s="61"/>
      <c r="F32" s="61"/>
    </row>
    <row r="33" spans="1:13" ht="16.5" thickBot="1" x14ac:dyDescent="0.3">
      <c r="B33" s="83" t="s">
        <v>185</v>
      </c>
      <c r="C33" s="84">
        <f>defl/C32</f>
        <v>2.8678002681685557</v>
      </c>
      <c r="D33" s="77"/>
      <c r="E33" s="61"/>
      <c r="F33" s="61"/>
    </row>
    <row r="34" spans="1:13" ht="16.5" thickTop="1" x14ac:dyDescent="0.25">
      <c r="E34" s="61"/>
      <c r="F34" s="61"/>
    </row>
    <row r="35" spans="1:13" x14ac:dyDescent="0.25">
      <c r="B35" s="85" t="s">
        <v>186</v>
      </c>
      <c r="E35" s="61"/>
      <c r="F35" s="61"/>
    </row>
    <row r="36" spans="1:13" customFormat="1" ht="15" x14ac:dyDescent="0.25">
      <c r="A36" s="86"/>
      <c r="B36" s="111"/>
      <c r="C36" s="112"/>
      <c r="D36" s="113"/>
      <c r="E36" s="86"/>
      <c r="F36" s="86"/>
      <c r="G36" s="87"/>
      <c r="H36" s="87"/>
      <c r="I36" s="87"/>
      <c r="J36" s="87"/>
      <c r="K36" s="87"/>
      <c r="L36" s="87"/>
      <c r="M36" s="87"/>
    </row>
    <row r="37" spans="1:13" customFormat="1" ht="15" x14ac:dyDescent="0.25">
      <c r="A37" s="86"/>
      <c r="B37" s="114"/>
      <c r="C37" s="115"/>
      <c r="D37" s="116"/>
      <c r="E37" s="86"/>
      <c r="F37" s="86"/>
      <c r="G37" s="87"/>
      <c r="H37" s="87"/>
      <c r="I37" s="87"/>
      <c r="J37" s="87"/>
      <c r="K37" s="87"/>
      <c r="L37" s="87"/>
      <c r="M37" s="87"/>
    </row>
    <row r="38" spans="1:13" customFormat="1" ht="15" x14ac:dyDescent="0.25">
      <c r="A38" s="86"/>
      <c r="B38" s="114"/>
      <c r="C38" s="115"/>
      <c r="D38" s="116"/>
      <c r="E38" s="86"/>
      <c r="F38" s="86"/>
      <c r="G38" s="87"/>
      <c r="H38" s="87"/>
      <c r="I38" s="87"/>
      <c r="J38" s="87"/>
      <c r="K38" s="87"/>
      <c r="L38" s="87"/>
      <c r="M38" s="87"/>
    </row>
    <row r="39" spans="1:13" customFormat="1" ht="15" x14ac:dyDescent="0.25">
      <c r="A39" s="86"/>
      <c r="B39" s="114"/>
      <c r="C39" s="115"/>
      <c r="D39" s="116"/>
      <c r="E39" s="86"/>
      <c r="F39" s="86"/>
      <c r="G39" s="87"/>
      <c r="H39" s="87"/>
      <c r="I39" s="87"/>
      <c r="J39" s="87"/>
      <c r="K39" s="87"/>
      <c r="L39" s="87"/>
      <c r="M39" s="87"/>
    </row>
    <row r="40" spans="1:13" customFormat="1" ht="15" x14ac:dyDescent="0.25">
      <c r="A40" s="86"/>
      <c r="B40" s="114"/>
      <c r="C40" s="115"/>
      <c r="D40" s="116"/>
      <c r="E40" s="86"/>
      <c r="F40" s="86"/>
      <c r="G40" s="87"/>
      <c r="H40" s="87"/>
      <c r="I40" s="87"/>
      <c r="J40" s="87"/>
      <c r="K40" s="87"/>
      <c r="L40" s="87"/>
      <c r="M40" s="87"/>
    </row>
    <row r="41" spans="1:13" customFormat="1" ht="15" x14ac:dyDescent="0.25">
      <c r="A41" s="86"/>
      <c r="B41" s="114"/>
      <c r="C41" s="115"/>
      <c r="D41" s="116"/>
      <c r="E41" s="86"/>
      <c r="F41" s="86"/>
      <c r="G41" s="87"/>
      <c r="H41" s="87"/>
      <c r="I41" s="87"/>
      <c r="J41" s="87"/>
      <c r="K41" s="87"/>
      <c r="L41" s="87"/>
      <c r="M41" s="87"/>
    </row>
    <row r="42" spans="1:13" customFormat="1" ht="15" x14ac:dyDescent="0.25">
      <c r="A42" s="86"/>
      <c r="B42" s="114"/>
      <c r="C42" s="115"/>
      <c r="D42" s="116"/>
      <c r="E42" s="86"/>
      <c r="F42" s="86"/>
      <c r="G42" s="87"/>
      <c r="H42" s="87"/>
      <c r="I42" s="87"/>
      <c r="J42" s="87"/>
      <c r="K42" s="87"/>
      <c r="L42" s="87"/>
      <c r="M42" s="87"/>
    </row>
    <row r="43" spans="1:13" x14ac:dyDescent="0.25">
      <c r="B43" s="114"/>
      <c r="C43" s="115"/>
      <c r="D43" s="116"/>
    </row>
    <row r="44" spans="1:13" x14ac:dyDescent="0.25">
      <c r="B44" s="114"/>
      <c r="C44" s="115"/>
      <c r="D44" s="116"/>
    </row>
    <row r="45" spans="1:13" x14ac:dyDescent="0.25">
      <c r="B45" s="114"/>
      <c r="C45" s="115"/>
      <c r="D45" s="116"/>
    </row>
    <row r="46" spans="1:13" x14ac:dyDescent="0.25">
      <c r="B46" s="117"/>
      <c r="C46" s="118"/>
      <c r="D46" s="119"/>
    </row>
  </sheetData>
  <mergeCells count="5">
    <mergeCell ref="B2:D2"/>
    <mergeCell ref="B3:D3"/>
    <mergeCell ref="B4:D4"/>
    <mergeCell ref="B5:D5"/>
    <mergeCell ref="B36:D46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DSMT4" shapeId="8193" r:id="rId3">
          <objectPr defaultSize="0" autoPict="0" r:id="rId4">
            <anchor moveWithCells="1" sizeWithCells="1">
              <from>
                <xdr:col>1</xdr:col>
                <xdr:colOff>57150</xdr:colOff>
                <xdr:row>35</xdr:row>
                <xdr:rowOff>76200</xdr:rowOff>
              </from>
              <to>
                <xdr:col>4</xdr:col>
                <xdr:colOff>104775</xdr:colOff>
                <xdr:row>43</xdr:row>
                <xdr:rowOff>66675</xdr:rowOff>
              </to>
            </anchor>
          </objectPr>
        </oleObject>
      </mc:Choice>
      <mc:Fallback>
        <oleObject progId="Equation.DSMT4" shapeId="8193" r:id="rId3"/>
      </mc:Fallback>
    </mc:AlternateContent>
    <mc:AlternateContent xmlns:mc="http://schemas.openxmlformats.org/markup-compatibility/2006">
      <mc:Choice Requires="x14">
        <oleObject progId="Equation.DSMT4" shapeId="8194" r:id="rId5">
          <objectPr defaultSize="0" autoPict="0" r:id="rId4">
            <anchor moveWithCells="1" sizeWithCells="1">
              <from>
                <xdr:col>0</xdr:col>
                <xdr:colOff>581025</xdr:colOff>
                <xdr:row>43</xdr:row>
                <xdr:rowOff>19050</xdr:rowOff>
              </from>
              <to>
                <xdr:col>2</xdr:col>
                <xdr:colOff>619125</xdr:colOff>
                <xdr:row>50</xdr:row>
                <xdr:rowOff>0</xdr:rowOff>
              </to>
            </anchor>
          </objectPr>
        </oleObject>
      </mc:Choice>
      <mc:Fallback>
        <oleObject progId="Equation.DSMT4" shapeId="8194" r:id="rId5"/>
      </mc:Fallback>
    </mc:AlternateContent>
    <mc:AlternateContent xmlns:mc="http://schemas.openxmlformats.org/markup-compatibility/2006">
      <mc:Choice Requires="x14">
        <oleObject progId="Visio.Drawing.6" shapeId="8195" r:id="rId6">
          <objectPr defaultSize="0" autoPict="0" r:id="rId7">
            <anchor moveWithCells="1">
              <from>
                <xdr:col>0</xdr:col>
                <xdr:colOff>171450</xdr:colOff>
                <xdr:row>6</xdr:row>
                <xdr:rowOff>0</xdr:rowOff>
              </from>
              <to>
                <xdr:col>5</xdr:col>
                <xdr:colOff>257175</xdr:colOff>
                <xdr:row>14</xdr:row>
                <xdr:rowOff>66675</xdr:rowOff>
              </to>
            </anchor>
          </objectPr>
        </oleObject>
      </mc:Choice>
      <mc:Fallback>
        <oleObject progId="Visio.Drawing.6" shapeId="8195" r:id="rId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zoomScale="110" zoomScaleNormal="110" workbookViewId="0">
      <selection activeCell="H19" sqref="H19"/>
    </sheetView>
  </sheetViews>
  <sheetFormatPr defaultRowHeight="15" x14ac:dyDescent="0.25"/>
  <cols>
    <col min="1" max="1" width="48.42578125" customWidth="1"/>
  </cols>
  <sheetData>
    <row r="1" spans="1:3" x14ac:dyDescent="0.25">
      <c r="A1" t="s">
        <v>115</v>
      </c>
    </row>
    <row r="3" spans="1:3" x14ac:dyDescent="0.25">
      <c r="A3" t="s">
        <v>123</v>
      </c>
      <c r="B3">
        <v>400</v>
      </c>
      <c r="C3" t="s">
        <v>125</v>
      </c>
    </row>
    <row r="4" spans="1:3" x14ac:dyDescent="0.25">
      <c r="A4" t="s">
        <v>118</v>
      </c>
      <c r="B4">
        <v>15</v>
      </c>
      <c r="C4" t="s">
        <v>125</v>
      </c>
    </row>
    <row r="6" spans="1:3" x14ac:dyDescent="0.25">
      <c r="A6" t="s">
        <v>116</v>
      </c>
    </row>
    <row r="7" spans="1:3" x14ac:dyDescent="0.25">
      <c r="A7" s="42" t="s">
        <v>122</v>
      </c>
      <c r="B7">
        <v>4</v>
      </c>
      <c r="C7" t="s">
        <v>9</v>
      </c>
    </row>
    <row r="8" spans="1:3" x14ac:dyDescent="0.25">
      <c r="A8" s="42" t="s">
        <v>124</v>
      </c>
      <c r="B8">
        <v>3</v>
      </c>
    </row>
    <row r="9" spans="1:3" ht="15.75" thickBot="1" x14ac:dyDescent="0.3">
      <c r="A9" s="42" t="s">
        <v>117</v>
      </c>
      <c r="B9">
        <v>50</v>
      </c>
    </row>
    <row r="10" spans="1:3" ht="15.75" thickBot="1" x14ac:dyDescent="0.3">
      <c r="A10" s="42" t="s">
        <v>135</v>
      </c>
      <c r="B10" s="139">
        <v>14137</v>
      </c>
      <c r="C10" t="s">
        <v>8</v>
      </c>
    </row>
    <row r="11" spans="1:3" ht="15.75" thickBot="1" x14ac:dyDescent="0.3">
      <c r="A11" s="42" t="s">
        <v>126</v>
      </c>
      <c r="B11" s="140">
        <f>PI()*B8^2/4*B3</f>
        <v>2827.4333882308138</v>
      </c>
      <c r="C11" t="s">
        <v>8</v>
      </c>
    </row>
    <row r="13" spans="1:3" x14ac:dyDescent="0.25">
      <c r="A13" s="57" t="s">
        <v>136</v>
      </c>
    </row>
    <row r="14" spans="1:3" x14ac:dyDescent="0.25">
      <c r="A14" s="42" t="s">
        <v>286</v>
      </c>
      <c r="B14">
        <v>8</v>
      </c>
    </row>
    <row r="15" spans="1:3" ht="15.75" thickBot="1" x14ac:dyDescent="0.3">
      <c r="A15" s="42" t="s">
        <v>284</v>
      </c>
      <c r="B15">
        <v>20</v>
      </c>
    </row>
    <row r="16" spans="1:3" ht="15.75" thickBot="1" x14ac:dyDescent="0.3">
      <c r="A16" s="42" t="s">
        <v>285</v>
      </c>
      <c r="B16" s="140">
        <f>PI()*B14*B15*B4</f>
        <v>7539.8223686155034</v>
      </c>
      <c r="C16" t="s">
        <v>8</v>
      </c>
    </row>
    <row r="18" spans="1:3" ht="15.75" thickBot="1" x14ac:dyDescent="0.3">
      <c r="A18" t="s">
        <v>128</v>
      </c>
      <c r="B18">
        <v>3</v>
      </c>
    </row>
    <row r="19" spans="1:3" ht="15.75" thickBot="1" x14ac:dyDescent="0.3">
      <c r="A19" t="s">
        <v>141</v>
      </c>
      <c r="B19" s="140">
        <f>MIN(B11/B18,B10/B18,B16/B18)</f>
        <v>942.47779607693792</v>
      </c>
      <c r="C19" t="s">
        <v>8</v>
      </c>
    </row>
    <row r="21" spans="1:3" x14ac:dyDescent="0.25">
      <c r="A21" t="s">
        <v>119</v>
      </c>
      <c r="B21">
        <v>1000</v>
      </c>
      <c r="C21" t="s">
        <v>8</v>
      </c>
    </row>
    <row r="22" spans="1:3" x14ac:dyDescent="0.25">
      <c r="A22" t="s">
        <v>121</v>
      </c>
      <c r="B22">
        <v>300</v>
      </c>
      <c r="C22" t="s">
        <v>9</v>
      </c>
    </row>
    <row r="23" spans="1:3" x14ac:dyDescent="0.25">
      <c r="A23" t="s">
        <v>132</v>
      </c>
      <c r="B23">
        <f>B22*B21</f>
        <v>300000</v>
      </c>
    </row>
    <row r="25" spans="1:3" ht="15.75" thickBot="1" x14ac:dyDescent="0.3">
      <c r="A25" t="s">
        <v>131</v>
      </c>
      <c r="B25">
        <v>200</v>
      </c>
      <c r="C25" t="s">
        <v>9</v>
      </c>
    </row>
    <row r="26" spans="1:3" ht="15.75" thickBot="1" x14ac:dyDescent="0.3">
      <c r="A26" t="s">
        <v>133</v>
      </c>
      <c r="B26" s="139">
        <f>B23/B25</f>
        <v>1500</v>
      </c>
      <c r="C26" t="s">
        <v>8</v>
      </c>
    </row>
    <row r="27" spans="1:3" ht="15.75" thickBot="1" x14ac:dyDescent="0.3"/>
    <row r="28" spans="1:3" ht="15.75" thickBot="1" x14ac:dyDescent="0.3">
      <c r="A28" t="s">
        <v>134</v>
      </c>
      <c r="B28" s="138">
        <f>ROUNDUP(B26/B19,0)</f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4" zoomScale="110" zoomScaleNormal="110" workbookViewId="0">
      <selection activeCell="H19" sqref="H19"/>
    </sheetView>
  </sheetViews>
  <sheetFormatPr defaultRowHeight="15" x14ac:dyDescent="0.25"/>
  <cols>
    <col min="1" max="1" width="48.42578125" customWidth="1"/>
  </cols>
  <sheetData>
    <row r="1" spans="1:4" x14ac:dyDescent="0.25">
      <c r="A1" t="s">
        <v>115</v>
      </c>
    </row>
    <row r="3" spans="1:4" x14ac:dyDescent="0.25">
      <c r="A3" t="s">
        <v>123</v>
      </c>
      <c r="B3">
        <v>400</v>
      </c>
      <c r="C3" t="s">
        <v>125</v>
      </c>
    </row>
    <row r="4" spans="1:4" x14ac:dyDescent="0.25">
      <c r="A4" t="s">
        <v>118</v>
      </c>
      <c r="B4">
        <v>15</v>
      </c>
      <c r="C4" t="s">
        <v>125</v>
      </c>
    </row>
    <row r="6" spans="1:4" x14ac:dyDescent="0.25">
      <c r="A6" t="s">
        <v>116</v>
      </c>
    </row>
    <row r="7" spans="1:4" x14ac:dyDescent="0.25">
      <c r="A7" s="42" t="s">
        <v>122</v>
      </c>
      <c r="B7">
        <v>4</v>
      </c>
      <c r="C7" t="s">
        <v>9</v>
      </c>
    </row>
    <row r="8" spans="1:4" x14ac:dyDescent="0.25">
      <c r="A8" s="42" t="s">
        <v>124</v>
      </c>
      <c r="B8">
        <v>3</v>
      </c>
    </row>
    <row r="9" spans="1:4" x14ac:dyDescent="0.25">
      <c r="A9" s="42" t="s">
        <v>117</v>
      </c>
      <c r="B9">
        <v>50</v>
      </c>
    </row>
    <row r="10" spans="1:4" x14ac:dyDescent="0.25">
      <c r="A10" s="42" t="s">
        <v>135</v>
      </c>
      <c r="B10">
        <v>14137</v>
      </c>
      <c r="C10" t="s">
        <v>8</v>
      </c>
      <c r="D10" t="s">
        <v>127</v>
      </c>
    </row>
    <row r="12" spans="1:4" x14ac:dyDescent="0.25">
      <c r="A12" t="s">
        <v>120</v>
      </c>
    </row>
    <row r="13" spans="1:4" x14ac:dyDescent="0.25">
      <c r="A13" t="s">
        <v>129</v>
      </c>
      <c r="B13">
        <f>SUM(B15:B17)</f>
        <v>105</v>
      </c>
    </row>
    <row r="14" spans="1:4" x14ac:dyDescent="0.25">
      <c r="A14" t="s">
        <v>137</v>
      </c>
    </row>
    <row r="15" spans="1:4" x14ac:dyDescent="0.25">
      <c r="A15" s="42" t="s">
        <v>138</v>
      </c>
      <c r="B15">
        <v>35</v>
      </c>
    </row>
    <row r="16" spans="1:4" x14ac:dyDescent="0.25">
      <c r="A16" s="42" t="s">
        <v>139</v>
      </c>
      <c r="B16">
        <v>35</v>
      </c>
    </row>
    <row r="17" spans="1:3" x14ac:dyDescent="0.25">
      <c r="A17" s="42" t="s">
        <v>140</v>
      </c>
      <c r="B17">
        <v>35</v>
      </c>
    </row>
    <row r="19" spans="1:3" x14ac:dyDescent="0.25">
      <c r="A19" s="57" t="s">
        <v>136</v>
      </c>
    </row>
    <row r="20" spans="1:3" x14ac:dyDescent="0.25">
      <c r="A20" s="42" t="s">
        <v>286</v>
      </c>
      <c r="B20">
        <v>8</v>
      </c>
    </row>
    <row r="21" spans="1:3" x14ac:dyDescent="0.25">
      <c r="A21" s="42" t="s">
        <v>284</v>
      </c>
      <c r="B21">
        <v>20</v>
      </c>
    </row>
    <row r="22" spans="1:3" x14ac:dyDescent="0.25">
      <c r="A22" s="42" t="s">
        <v>285</v>
      </c>
      <c r="B22" s="5">
        <f>PI()*B20*B21*B4</f>
        <v>7539.8223686155034</v>
      </c>
      <c r="C22" t="s">
        <v>8</v>
      </c>
    </row>
    <row r="24" spans="1:3" x14ac:dyDescent="0.25">
      <c r="A24" t="s">
        <v>130</v>
      </c>
      <c r="B24">
        <v>9</v>
      </c>
    </row>
    <row r="25" spans="1:3" x14ac:dyDescent="0.25">
      <c r="A25" t="s">
        <v>131</v>
      </c>
      <c r="B25">
        <f>B13-B24</f>
        <v>96</v>
      </c>
      <c r="C25" t="s">
        <v>9</v>
      </c>
    </row>
    <row r="27" spans="1:3" x14ac:dyDescent="0.25">
      <c r="A27" t="s">
        <v>128</v>
      </c>
      <c r="B27">
        <v>3</v>
      </c>
    </row>
    <row r="29" spans="1:3" x14ac:dyDescent="0.25">
      <c r="A29" t="s">
        <v>126</v>
      </c>
      <c r="B29" s="5">
        <f>PI()*B8^2/4*B3</f>
        <v>2827.4333882308138</v>
      </c>
      <c r="C29" t="s">
        <v>8</v>
      </c>
    </row>
    <row r="30" spans="1:3" x14ac:dyDescent="0.25">
      <c r="A30" t="s">
        <v>141</v>
      </c>
      <c r="B30" s="5">
        <f>MIN(B29/B27,B10/B27,B22/B27)</f>
        <v>942.47779607693792</v>
      </c>
      <c r="C30" t="s">
        <v>8</v>
      </c>
    </row>
    <row r="32" spans="1:3" x14ac:dyDescent="0.25">
      <c r="A32" t="s">
        <v>119</v>
      </c>
      <c r="B32">
        <v>1000</v>
      </c>
      <c r="C32" t="s">
        <v>8</v>
      </c>
    </row>
    <row r="33" spans="1:3" x14ac:dyDescent="0.25">
      <c r="A33" t="s">
        <v>121</v>
      </c>
      <c r="B33">
        <v>500</v>
      </c>
      <c r="C33" t="s">
        <v>9</v>
      </c>
    </row>
    <row r="34" spans="1:3" x14ac:dyDescent="0.25">
      <c r="A34" t="s">
        <v>132</v>
      </c>
      <c r="B34">
        <f>B33*B32</f>
        <v>500000</v>
      </c>
      <c r="C34" t="s">
        <v>287</v>
      </c>
    </row>
    <row r="35" spans="1:3" x14ac:dyDescent="0.25">
      <c r="A35" t="s">
        <v>133</v>
      </c>
      <c r="B35" s="5">
        <f>B34/B25</f>
        <v>5208.333333333333</v>
      </c>
      <c r="C35" t="s">
        <v>8</v>
      </c>
    </row>
    <row r="36" spans="1:3" ht="15.75" thickBot="1" x14ac:dyDescent="0.3"/>
    <row r="37" spans="1:3" ht="15.75" thickBot="1" x14ac:dyDescent="0.3">
      <c r="A37" t="s">
        <v>134</v>
      </c>
      <c r="B37" s="138">
        <f>ROUNDUP(B35/B30,0)</f>
        <v>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B27" sqref="B27"/>
    </sheetView>
  </sheetViews>
  <sheetFormatPr defaultRowHeight="15" x14ac:dyDescent="0.25"/>
  <cols>
    <col min="1" max="1" width="43.7109375" customWidth="1"/>
  </cols>
  <sheetData>
    <row r="1" spans="1:2" x14ac:dyDescent="0.25">
      <c r="A1" s="39" t="s">
        <v>152</v>
      </c>
      <c r="B1" s="2"/>
    </row>
    <row r="2" spans="1:2" x14ac:dyDescent="0.25">
      <c r="A2" t="s">
        <v>142</v>
      </c>
    </row>
    <row r="3" spans="1:2" x14ac:dyDescent="0.25">
      <c r="A3" s="42" t="s">
        <v>113</v>
      </c>
      <c r="B3">
        <v>35</v>
      </c>
    </row>
    <row r="4" spans="1:2" x14ac:dyDescent="0.25">
      <c r="A4" s="42" t="s">
        <v>143</v>
      </c>
      <c r="B4">
        <v>200</v>
      </c>
    </row>
    <row r="5" spans="1:2" x14ac:dyDescent="0.25">
      <c r="A5" s="42" t="s">
        <v>144</v>
      </c>
      <c r="B5">
        <f>PRODUCT(B3:B4)</f>
        <v>7000</v>
      </c>
    </row>
    <row r="6" spans="1:2" x14ac:dyDescent="0.25">
      <c r="A6" s="42" t="s">
        <v>147</v>
      </c>
      <c r="B6">
        <f>B3^3*B4/12</f>
        <v>714583.33333333337</v>
      </c>
    </row>
    <row r="7" spans="1:2" x14ac:dyDescent="0.25">
      <c r="A7" s="42"/>
    </row>
    <row r="8" spans="1:2" x14ac:dyDescent="0.25">
      <c r="A8" t="s">
        <v>145</v>
      </c>
    </row>
    <row r="9" spans="1:2" x14ac:dyDescent="0.25">
      <c r="A9" s="42" t="s">
        <v>113</v>
      </c>
      <c r="B9">
        <v>35</v>
      </c>
    </row>
    <row r="10" spans="1:2" x14ac:dyDescent="0.25">
      <c r="A10" s="42" t="s">
        <v>143</v>
      </c>
      <c r="B10">
        <v>50</v>
      </c>
    </row>
    <row r="11" spans="1:2" x14ac:dyDescent="0.25">
      <c r="A11" s="42" t="s">
        <v>148</v>
      </c>
      <c r="B11">
        <f>PRODUCT(B9:B10)</f>
        <v>1750</v>
      </c>
    </row>
    <row r="12" spans="1:2" x14ac:dyDescent="0.25">
      <c r="A12" s="42" t="s">
        <v>149</v>
      </c>
      <c r="B12">
        <f>B9^3*B10/12</f>
        <v>178645.83333333334</v>
      </c>
    </row>
    <row r="13" spans="1:2" x14ac:dyDescent="0.25">
      <c r="A13" s="42" t="s">
        <v>150</v>
      </c>
      <c r="B13">
        <f>2*B11</f>
        <v>3500</v>
      </c>
    </row>
    <row r="14" spans="1:2" x14ac:dyDescent="0.25">
      <c r="A14" s="42" t="s">
        <v>151</v>
      </c>
      <c r="B14">
        <f>2*B12</f>
        <v>357291.66666666669</v>
      </c>
    </row>
    <row r="16" spans="1:2" x14ac:dyDescent="0.25">
      <c r="A16" s="57" t="s">
        <v>140</v>
      </c>
    </row>
    <row r="17" spans="1:3" x14ac:dyDescent="0.25">
      <c r="A17" s="42" t="s">
        <v>113</v>
      </c>
      <c r="B17">
        <v>35</v>
      </c>
      <c r="C17" t="s">
        <v>160</v>
      </c>
    </row>
    <row r="18" spans="1:3" x14ac:dyDescent="0.25">
      <c r="A18" s="42" t="s">
        <v>143</v>
      </c>
      <c r="B18">
        <v>75</v>
      </c>
    </row>
    <row r="19" spans="1:3" x14ac:dyDescent="0.25">
      <c r="A19" s="42" t="s">
        <v>150</v>
      </c>
      <c r="B19">
        <f>PRODUCT(B17:B18)*2</f>
        <v>5250</v>
      </c>
    </row>
    <row r="20" spans="1:3" x14ac:dyDescent="0.25">
      <c r="A20" s="42" t="s">
        <v>151</v>
      </c>
      <c r="B20">
        <f>B17^3*B18/12*2</f>
        <v>535937.5</v>
      </c>
    </row>
    <row r="21" spans="1:3" x14ac:dyDescent="0.25">
      <c r="A21" s="42"/>
    </row>
    <row r="22" spans="1:3" x14ac:dyDescent="0.25">
      <c r="A22" s="57" t="s">
        <v>146</v>
      </c>
    </row>
    <row r="23" spans="1:3" x14ac:dyDescent="0.25">
      <c r="A23" s="42" t="s">
        <v>153</v>
      </c>
      <c r="B23">
        <v>48.6</v>
      </c>
      <c r="C23" t="s">
        <v>154</v>
      </c>
    </row>
    <row r="24" spans="1:3" x14ac:dyDescent="0.25">
      <c r="A24" s="42" t="s">
        <v>155</v>
      </c>
      <c r="B24">
        <f>B20+B14+B6+(B23-B17/2-B9-B3)^2*B19+(B23-B9/2-B3)^2*B13+(B23-B3/2)^2*B5</f>
        <v>16375870</v>
      </c>
    </row>
    <row r="25" spans="1:3" x14ac:dyDescent="0.25">
      <c r="A25" s="42" t="s">
        <v>156</v>
      </c>
      <c r="B25">
        <f>SUM(B17,B9,B3)-B23</f>
        <v>56.4</v>
      </c>
    </row>
    <row r="26" spans="1:3" x14ac:dyDescent="0.25">
      <c r="A26" s="42" t="s">
        <v>157</v>
      </c>
      <c r="B26">
        <f>B24/B25</f>
        <v>290352.30496453901</v>
      </c>
    </row>
    <row r="28" spans="1:3" x14ac:dyDescent="0.25">
      <c r="A28" s="57" t="s">
        <v>158</v>
      </c>
      <c r="B28">
        <f>Attachment_Base!B34</f>
        <v>500000</v>
      </c>
    </row>
    <row r="30" spans="1:3" x14ac:dyDescent="0.25">
      <c r="A30" t="s">
        <v>159</v>
      </c>
      <c r="B30">
        <f>B28/B26</f>
        <v>1.7220459126751739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FRDPARRC</vt:lpstr>
      <vt:lpstr>C1-Truss</vt:lpstr>
      <vt:lpstr>C2-Cantilever with leg</vt:lpstr>
      <vt:lpstr>C4-Cantilever</vt:lpstr>
      <vt:lpstr>Actuator</vt:lpstr>
      <vt:lpstr>Tapered cantilever</vt:lpstr>
      <vt:lpstr>Attachment_Slider</vt:lpstr>
      <vt:lpstr>Attachment_Base</vt:lpstr>
      <vt:lpstr>Rails</vt:lpstr>
      <vt:lpstr>Errors</vt:lpstr>
      <vt:lpstr>b_cantilever</vt:lpstr>
      <vt:lpstr>c_1_c</vt:lpstr>
      <vt:lpstr>cone_c</vt:lpstr>
      <vt:lpstr>defl</vt:lpstr>
      <vt:lpstr>E</vt:lpstr>
      <vt:lpstr>E_cantilever</vt:lpstr>
      <vt:lpstr>F</vt:lpstr>
      <vt:lpstr>F_cantilever</vt:lpstr>
      <vt:lpstr>Gamma</vt:lpstr>
      <vt:lpstr>L</vt:lpstr>
      <vt:lpstr>L_2</vt:lpstr>
      <vt:lpstr>m_cantilever</vt:lpstr>
      <vt:lpstr>maxs_cantilever</vt:lpstr>
      <vt:lpstr>Tend</vt:lpstr>
      <vt:lpstr>x_cantilever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Ruolin Xu</dc:creator>
  <cp:lastModifiedBy>Ruolin Xu</cp:lastModifiedBy>
  <dcterms:created xsi:type="dcterms:W3CDTF">2017-03-11T22:33:01Z</dcterms:created>
  <dcterms:modified xsi:type="dcterms:W3CDTF">2017-04-09T15:30:15Z</dcterms:modified>
</cp:coreProperties>
</file>