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11640" tabRatio="829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9" i="1"/>
  <c r="E52" l="1"/>
  <c r="E53"/>
  <c r="F4"/>
  <c r="E16"/>
  <c r="E15"/>
  <c r="E12"/>
  <c r="E13"/>
  <c r="E11"/>
  <c r="E10" s="1"/>
  <c r="E8" s="1"/>
  <c r="E28"/>
  <c r="E17" s="1"/>
  <c r="N50"/>
  <c r="N49"/>
  <c r="N48"/>
  <c r="N47"/>
  <c r="N45"/>
  <c r="N43"/>
  <c r="N42"/>
  <c r="N38"/>
  <c r="N34"/>
  <c r="N30"/>
  <c r="N28"/>
  <c r="N25"/>
  <c r="N14"/>
  <c r="N12"/>
  <c r="N18"/>
  <c r="N22"/>
  <c r="N23"/>
  <c r="N27"/>
  <c r="N29"/>
  <c r="N32"/>
  <c r="N35"/>
  <c r="N36"/>
  <c r="N39"/>
  <c r="N40"/>
  <c r="N41"/>
  <c r="N44"/>
  <c r="N46"/>
  <c r="D13"/>
  <c r="D10"/>
  <c r="D8" s="1"/>
  <c r="E4"/>
  <c r="D53"/>
  <c r="D26"/>
  <c r="D31"/>
  <c r="D52" s="1"/>
  <c r="D19"/>
  <c r="D17" s="1"/>
  <c r="C10"/>
  <c r="C13"/>
  <c r="C8" s="1"/>
  <c r="C16"/>
  <c r="N16" s="1"/>
  <c r="D4"/>
  <c r="C52"/>
  <c r="C21"/>
  <c r="C26"/>
  <c r="N26" s="1"/>
  <c r="C31"/>
  <c r="N31" s="1"/>
  <c r="C24"/>
  <c r="N24" s="1"/>
  <c r="C19"/>
  <c r="C17" s="1"/>
  <c r="C4"/>
  <c r="B4"/>
  <c r="B52"/>
  <c r="B15"/>
  <c r="N15" s="1"/>
  <c r="B33"/>
  <c r="N33" s="1"/>
  <c r="B21"/>
  <c r="N21" s="1"/>
  <c r="B20"/>
  <c r="N20" s="1"/>
  <c r="B19"/>
  <c r="B17" s="1"/>
  <c r="N17" s="1"/>
  <c r="B11"/>
  <c r="B10" s="1"/>
  <c r="B13"/>
  <c r="N13" s="1"/>
  <c r="N10" l="1"/>
  <c r="B8"/>
  <c r="N8" s="1"/>
  <c r="N19"/>
  <c r="B53"/>
  <c r="C53"/>
  <c r="N11"/>
</calcChain>
</file>

<file path=xl/sharedStrings.xml><?xml version="1.0" encoding="utf-8"?>
<sst xmlns="http://schemas.openxmlformats.org/spreadsheetml/2006/main" count="51" uniqueCount="50">
  <si>
    <t>членские взносы</t>
  </si>
  <si>
    <t>возмещение расходов на электроэнергию</t>
  </si>
  <si>
    <t>Поступления, всего</t>
  </si>
  <si>
    <t>Расходы, всего</t>
  </si>
  <si>
    <t>в том числе:</t>
  </si>
  <si>
    <t>заработная плата</t>
  </si>
  <si>
    <t>НДФЛ</t>
  </si>
  <si>
    <t>страховые взносы</t>
  </si>
  <si>
    <t>земельный налог</t>
  </si>
  <si>
    <t>расходы вывоз мусора (ТБО)</t>
  </si>
  <si>
    <t>расходы на оплату электроэнергии</t>
  </si>
  <si>
    <t>расходы на плату за негативное воздействие на окружающую среду</t>
  </si>
  <si>
    <t>НП СЗУ "Высокое"</t>
  </si>
  <si>
    <t>Итого</t>
  </si>
  <si>
    <t>расходы на юридический адрес</t>
  </si>
  <si>
    <t>Комисси банка за РК0</t>
  </si>
  <si>
    <t>расходы на информационное обслуживание по электроэнергии Партнер Энерго</t>
  </si>
  <si>
    <t>расходы на полиграфическую продукцию</t>
  </si>
  <si>
    <t>Расходы на присоединение МОЭСК</t>
  </si>
  <si>
    <t xml:space="preserve">Налог по УСН </t>
  </si>
  <si>
    <t>Оплата мобильной связи</t>
  </si>
  <si>
    <t>Расходы на электротовары</t>
  </si>
  <si>
    <t>Охрана</t>
  </si>
  <si>
    <t>членск взносы нал/р</t>
  </si>
  <si>
    <t>Расходы на ремонт шлагбаума</t>
  </si>
  <si>
    <t>Оплата услуг нотариуса</t>
  </si>
  <si>
    <t>Оплата ГСМ</t>
  </si>
  <si>
    <t>Оплата командировочных расходов</t>
  </si>
  <si>
    <t>Оплата сайта правления</t>
  </si>
  <si>
    <t>Корм для собаки</t>
  </si>
  <si>
    <t>членские взносы безнал</t>
  </si>
  <si>
    <t>Оплата услуг юриста</t>
  </si>
  <si>
    <t>Расходы по укладке асфальта</t>
  </si>
  <si>
    <t>возмещение расходов на эл/эн безнал</t>
  </si>
  <si>
    <t>Расходы по аренде клуба г. Высоковск</t>
  </si>
  <si>
    <t>возмещение расх.на э/э нал расч.</t>
  </si>
  <si>
    <t>расходы н/расч</t>
  </si>
  <si>
    <t>расходы б/нал расчет</t>
  </si>
  <si>
    <t xml:space="preserve">Остаток денежных средств на начало периода </t>
  </si>
  <si>
    <t>в т.ч. на расчетном счете:</t>
  </si>
  <si>
    <t>налич./расч</t>
  </si>
  <si>
    <t>Смета доходов и расходов за 2017 год</t>
  </si>
  <si>
    <t>Мосэнергосбыт по решению суда</t>
  </si>
  <si>
    <t>Транспортные услуги/чистка снега/контейнер</t>
  </si>
  <si>
    <t>Почтовые расходы</t>
  </si>
  <si>
    <t>Уборка площадки (КПП,мусор)</t>
  </si>
  <si>
    <t>Закупка поддонов</t>
  </si>
  <si>
    <t>Целевые взносы на рем.шлагбаума</t>
  </si>
  <si>
    <t>Электромонтажные работы (шкаф)</t>
  </si>
  <si>
    <t>Расходы на канцтовары</t>
  </si>
</sst>
</file>

<file path=xl/styles.xml><?xml version="1.0" encoding="utf-8"?>
<styleSheet xmlns="http://schemas.openxmlformats.org/spreadsheetml/2006/main">
  <numFmts count="1">
    <numFmt numFmtId="164" formatCode="[$-419]mmmm;@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u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" fontId="3" fillId="0" borderId="1" xfId="0" applyNumberFormat="1" applyFont="1" applyBorder="1"/>
    <xf numFmtId="0" fontId="4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left" wrapText="1" indent="2"/>
    </xf>
    <xf numFmtId="4" fontId="7" fillId="0" borderId="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2" fillId="0" borderId="0" xfId="0" applyNumberFormat="1" applyFont="1" applyFill="1"/>
    <xf numFmtId="4" fontId="1" fillId="0" borderId="0" xfId="0" applyNumberFormat="1" applyFont="1" applyFill="1"/>
    <xf numFmtId="4" fontId="7" fillId="0" borderId="2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" fontId="8" fillId="0" borderId="1" xfId="0" applyNumberFormat="1" applyFont="1" applyBorder="1"/>
    <xf numFmtId="4" fontId="8" fillId="0" borderId="1" xfId="0" applyNumberFormat="1" applyFont="1" applyFill="1" applyBorder="1"/>
    <xf numFmtId="4" fontId="7" fillId="0" borderId="0" xfId="0" applyNumberFormat="1" applyFont="1" applyFill="1" applyAlignment="1">
      <alignment vertical="center" wrapText="1"/>
    </xf>
    <xf numFmtId="4" fontId="10" fillId="0" borderId="0" xfId="0" applyNumberFormat="1" applyFont="1" applyFill="1"/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/>
    <xf numFmtId="4" fontId="5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0" fontId="3" fillId="0" borderId="0" xfId="0" applyFont="1" applyAlignment="1">
      <alignment horizontal="right"/>
    </xf>
    <xf numFmtId="4" fontId="8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6" fillId="0" borderId="2" xfId="0" applyNumberFormat="1" applyFont="1" applyBorder="1" applyAlignment="1">
      <alignment vertical="center"/>
    </xf>
    <xf numFmtId="4" fontId="1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2"/>
    </xf>
    <xf numFmtId="4" fontId="11" fillId="0" borderId="0" xfId="0" applyNumberFormat="1" applyFont="1" applyFill="1" applyAlignment="1">
      <alignment horizontal="center"/>
    </xf>
    <xf numFmtId="4" fontId="6" fillId="0" borderId="2" xfId="0" applyNumberFormat="1" applyFont="1" applyFill="1" applyBorder="1" applyAlignment="1">
      <alignment vertical="center"/>
    </xf>
    <xf numFmtId="4" fontId="1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abSelected="1" workbookViewId="0">
      <selection activeCell="F21" sqref="F21"/>
    </sheetView>
  </sheetViews>
  <sheetFormatPr defaultRowHeight="14.25"/>
  <cols>
    <col min="1" max="1" width="40" style="2" customWidth="1"/>
    <col min="2" max="2" width="15.42578125" style="6" bestFit="1" customWidth="1"/>
    <col min="3" max="3" width="11.85546875" style="6" bestFit="1" customWidth="1"/>
    <col min="4" max="4" width="11.28515625" style="6" bestFit="1" customWidth="1"/>
    <col min="5" max="5" width="11.7109375" style="6" bestFit="1" customWidth="1"/>
    <col min="6" max="6" width="10.28515625" style="20" bestFit="1" customWidth="1"/>
    <col min="7" max="7" width="11.140625" style="6" customWidth="1"/>
    <col min="8" max="8" width="10.28515625" style="6" bestFit="1" customWidth="1"/>
    <col min="9" max="9" width="11.28515625" style="6" customWidth="1"/>
    <col min="10" max="13" width="11.28515625" style="20" bestFit="1" customWidth="1"/>
    <col min="14" max="14" width="13.140625" style="6" bestFit="1" customWidth="1"/>
    <col min="15" max="15" width="13.140625" style="2" bestFit="1" customWidth="1"/>
    <col min="16" max="16384" width="9.140625" style="2"/>
  </cols>
  <sheetData>
    <row r="1" spans="1:14" ht="15">
      <c r="A1" s="1" t="s">
        <v>41</v>
      </c>
    </row>
    <row r="2" spans="1:14" s="1" customFormat="1" ht="15">
      <c r="A2" s="1" t="s">
        <v>12</v>
      </c>
      <c r="B2" s="7"/>
      <c r="C2" s="7"/>
      <c r="D2" s="7"/>
      <c r="E2" s="7"/>
      <c r="F2" s="21"/>
      <c r="G2" s="7"/>
      <c r="H2" s="7"/>
      <c r="I2" s="7"/>
      <c r="J2" s="21"/>
      <c r="K2" s="21"/>
      <c r="L2" s="21"/>
      <c r="M2" s="21"/>
      <c r="N2" s="7"/>
    </row>
    <row r="3" spans="1:14" s="1" customFormat="1" ht="15">
      <c r="B3" s="7"/>
      <c r="C3" s="7"/>
      <c r="D3" s="7"/>
      <c r="E3" s="7"/>
      <c r="F3" s="21"/>
      <c r="G3" s="7"/>
      <c r="H3" s="7"/>
      <c r="I3" s="7"/>
      <c r="J3" s="21"/>
      <c r="K3" s="21"/>
      <c r="L3" s="21"/>
      <c r="M3" s="21"/>
      <c r="N3" s="7"/>
    </row>
    <row r="4" spans="1:14" s="1" customFormat="1" ht="24.75">
      <c r="A4" s="16" t="s">
        <v>38</v>
      </c>
      <c r="B4" s="41">
        <f>SUM(B5:B6)</f>
        <v>90549.5</v>
      </c>
      <c r="C4" s="41">
        <f>SUM(C5:C6)</f>
        <v>91471</v>
      </c>
      <c r="D4" s="41">
        <f>SUM(D5:D6)</f>
        <v>29130.19</v>
      </c>
      <c r="E4" s="41">
        <f>E5+E6</f>
        <v>20781.599999999999</v>
      </c>
      <c r="F4" s="49">
        <f>SUM(F5:F6)</f>
        <v>48409</v>
      </c>
      <c r="G4" s="7"/>
      <c r="H4" s="7"/>
      <c r="I4" s="7"/>
      <c r="J4" s="21"/>
      <c r="K4" s="21"/>
      <c r="L4" s="21"/>
      <c r="M4" s="21"/>
      <c r="N4" s="7"/>
    </row>
    <row r="5" spans="1:14" s="1" customFormat="1" ht="15">
      <c r="A5" s="16" t="s">
        <v>39</v>
      </c>
      <c r="B5" s="40">
        <v>88723.5</v>
      </c>
      <c r="C5" s="40">
        <v>63095</v>
      </c>
      <c r="D5" s="40">
        <v>26604.19</v>
      </c>
      <c r="E5" s="43">
        <v>2620.6</v>
      </c>
      <c r="F5" s="47">
        <v>0</v>
      </c>
      <c r="G5" s="7"/>
      <c r="H5" s="7"/>
      <c r="I5" s="7"/>
      <c r="J5" s="21"/>
      <c r="K5" s="21"/>
      <c r="L5" s="21"/>
      <c r="M5" s="21"/>
      <c r="N5" s="7"/>
    </row>
    <row r="6" spans="1:14" s="15" customFormat="1" ht="12">
      <c r="A6" s="16" t="s">
        <v>40</v>
      </c>
      <c r="B6" s="42">
        <v>1826</v>
      </c>
      <c r="C6" s="42">
        <v>28376</v>
      </c>
      <c r="D6" s="42">
        <v>2526</v>
      </c>
      <c r="E6" s="44">
        <v>18161</v>
      </c>
      <c r="F6" s="48">
        <v>48409</v>
      </c>
      <c r="G6" s="19"/>
      <c r="H6" s="19"/>
      <c r="I6" s="18"/>
      <c r="J6" s="22"/>
      <c r="K6" s="31"/>
      <c r="L6" s="33"/>
      <c r="M6" s="33"/>
      <c r="N6" s="18"/>
    </row>
    <row r="7" spans="1:14" s="1" customFormat="1" ht="15">
      <c r="A7" s="3"/>
      <c r="B7" s="14">
        <v>42005</v>
      </c>
      <c r="C7" s="14">
        <v>42036</v>
      </c>
      <c r="D7" s="14">
        <v>42064</v>
      </c>
      <c r="E7" s="14">
        <v>42095</v>
      </c>
      <c r="F7" s="23">
        <v>42125</v>
      </c>
      <c r="G7" s="14">
        <v>42156</v>
      </c>
      <c r="H7" s="14">
        <v>42186</v>
      </c>
      <c r="I7" s="14">
        <v>42217</v>
      </c>
      <c r="J7" s="23">
        <v>42248</v>
      </c>
      <c r="K7" s="23">
        <v>42278</v>
      </c>
      <c r="L7" s="23">
        <v>42309</v>
      </c>
      <c r="M7" s="23">
        <v>42339</v>
      </c>
      <c r="N7" s="8" t="s">
        <v>13</v>
      </c>
    </row>
    <row r="8" spans="1:14" s="5" customFormat="1" ht="15">
      <c r="A8" s="9" t="s">
        <v>2</v>
      </c>
      <c r="B8" s="10">
        <f>B10+B13+B16</f>
        <v>154800</v>
      </c>
      <c r="C8" s="10">
        <f>C10+C13+C16</f>
        <v>139547.23000000001</v>
      </c>
      <c r="D8" s="10">
        <f>D10+D13+D16</f>
        <v>254623.45</v>
      </c>
      <c r="E8" s="10">
        <f>E10+E13+E16</f>
        <v>273746</v>
      </c>
      <c r="F8" s="24"/>
      <c r="G8" s="10"/>
      <c r="H8" s="10"/>
      <c r="I8" s="10"/>
      <c r="J8" s="24"/>
      <c r="K8" s="24"/>
      <c r="L8" s="24"/>
      <c r="M8" s="24"/>
      <c r="N8" s="10">
        <f>SUM(B8:M8)</f>
        <v>822716.67999999993</v>
      </c>
    </row>
    <row r="9" spans="1:14">
      <c r="A9" s="11" t="s">
        <v>4</v>
      </c>
      <c r="B9" s="4"/>
      <c r="C9" s="4"/>
      <c r="D9" s="4"/>
      <c r="E9" s="4"/>
      <c r="F9" s="25"/>
      <c r="G9" s="4"/>
      <c r="H9" s="4"/>
      <c r="I9" s="4"/>
      <c r="J9" s="25"/>
      <c r="K9" s="25"/>
      <c r="L9" s="25"/>
      <c r="M9" s="25"/>
      <c r="N9" s="4"/>
    </row>
    <row r="10" spans="1:14" s="1" customFormat="1" ht="15">
      <c r="A10" s="27" t="s">
        <v>0</v>
      </c>
      <c r="B10" s="29">
        <f>SUM(B11:B12)</f>
        <v>124800</v>
      </c>
      <c r="C10" s="29">
        <f>SUM(C11:C12)</f>
        <v>118300</v>
      </c>
      <c r="D10" s="29">
        <f>SUM(D11:D12)</f>
        <v>232707</v>
      </c>
      <c r="E10" s="29">
        <f>SUM(E11:E12)</f>
        <v>245700</v>
      </c>
      <c r="F10" s="30"/>
      <c r="G10" s="29"/>
      <c r="H10" s="29"/>
      <c r="I10" s="29"/>
      <c r="J10" s="30"/>
      <c r="K10" s="30"/>
      <c r="L10" s="30"/>
      <c r="M10" s="30"/>
      <c r="N10" s="29">
        <f t="shared" ref="N10:N17" si="0">SUM(B10:M10)</f>
        <v>721507</v>
      </c>
    </row>
    <row r="11" spans="1:14">
      <c r="A11" s="12" t="s">
        <v>30</v>
      </c>
      <c r="B11" s="4">
        <f>800+2400+4000+4800+800+1000+1600+1600+1600+800+3000+9600+1600+6000+1000+2000+800+800+800+800+1600+2400+3000+4800+8000+10000+13000+800+800+1000+5000+800+4000+4000+4800+15000</f>
        <v>124800</v>
      </c>
      <c r="C11" s="4">
        <v>118300</v>
      </c>
      <c r="D11" s="4">
        <v>142100</v>
      </c>
      <c r="E11" s="4">
        <f>800+3000+3200+1000+2000+2400+2400+4800+5000+800+1000+2000+4800+800+1000+5000+2800+4000+2000+2400+800+800+2000+2400+1600+2000+3500+8000+400+1600+1600+4800+3000</f>
        <v>83700</v>
      </c>
      <c r="F11" s="25"/>
      <c r="G11" s="4"/>
      <c r="H11" s="4"/>
      <c r="I11" s="4"/>
      <c r="J11" s="25"/>
      <c r="K11" s="25"/>
      <c r="L11" s="25"/>
      <c r="M11" s="25"/>
      <c r="N11" s="4">
        <f t="shared" si="0"/>
        <v>468900</v>
      </c>
    </row>
    <row r="12" spans="1:14">
      <c r="A12" s="12" t="s">
        <v>23</v>
      </c>
      <c r="B12" s="4"/>
      <c r="C12" s="4"/>
      <c r="D12" s="4">
        <v>90607</v>
      </c>
      <c r="E12" s="4">
        <f>3000+16800+800+200+6600+200+4000+13000+4800+10800+4000+5000+800+800+2000+1400+32600+800+15000+14400+25000</f>
        <v>162000</v>
      </c>
      <c r="F12" s="25"/>
      <c r="G12" s="4"/>
      <c r="H12" s="4"/>
      <c r="I12" s="4"/>
      <c r="J12" s="25"/>
      <c r="K12" s="25"/>
      <c r="L12" s="25"/>
      <c r="M12" s="25"/>
      <c r="N12" s="4">
        <f t="shared" si="0"/>
        <v>252607</v>
      </c>
    </row>
    <row r="13" spans="1:14" s="1" customFormat="1" ht="15">
      <c r="A13" s="28" t="s">
        <v>1</v>
      </c>
      <c r="B13" s="29">
        <f>SUM(B14:B15)</f>
        <v>30000</v>
      </c>
      <c r="C13" s="29">
        <f>SUM(C14:C15)</f>
        <v>19547.23</v>
      </c>
      <c r="D13" s="29">
        <f>SUM(D14:D15)</f>
        <v>19466.45</v>
      </c>
      <c r="E13" s="29">
        <f>SUM(E14:E15)</f>
        <v>26846</v>
      </c>
      <c r="F13" s="30"/>
      <c r="G13" s="29"/>
      <c r="H13" s="29"/>
      <c r="I13" s="29"/>
      <c r="J13" s="30"/>
      <c r="K13" s="30"/>
      <c r="L13" s="30"/>
      <c r="M13" s="30"/>
      <c r="N13" s="29">
        <f t="shared" si="0"/>
        <v>95859.68</v>
      </c>
    </row>
    <row r="14" spans="1:14">
      <c r="A14" s="12" t="s">
        <v>33</v>
      </c>
      <c r="B14" s="4"/>
      <c r="C14" s="4">
        <v>13547.23</v>
      </c>
      <c r="D14" s="4">
        <v>15318.45</v>
      </c>
      <c r="E14" s="4">
        <v>4568</v>
      </c>
      <c r="F14" s="25"/>
      <c r="G14" s="4"/>
      <c r="H14" s="4"/>
      <c r="I14" s="4"/>
      <c r="J14" s="25"/>
      <c r="K14" s="25"/>
      <c r="L14" s="25"/>
      <c r="M14" s="25"/>
      <c r="N14" s="4">
        <f t="shared" si="0"/>
        <v>33433.68</v>
      </c>
    </row>
    <row r="15" spans="1:14">
      <c r="A15" s="12" t="s">
        <v>35</v>
      </c>
      <c r="B15" s="4">
        <f>30000</f>
        <v>30000</v>
      </c>
      <c r="C15" s="4">
        <v>6000</v>
      </c>
      <c r="D15" s="4">
        <v>4148</v>
      </c>
      <c r="E15" s="4">
        <f>2745+8533+1000+10000</f>
        <v>22278</v>
      </c>
      <c r="F15" s="25"/>
      <c r="G15" s="4"/>
      <c r="H15" s="4"/>
      <c r="I15" s="4"/>
      <c r="J15" s="25"/>
      <c r="K15" s="25"/>
      <c r="L15" s="25"/>
      <c r="M15" s="25"/>
      <c r="N15" s="4">
        <f t="shared" si="0"/>
        <v>62426</v>
      </c>
    </row>
    <row r="16" spans="1:14">
      <c r="A16" s="45" t="s">
        <v>47</v>
      </c>
      <c r="B16" s="29"/>
      <c r="C16" s="29">
        <f>500+500+500+200</f>
        <v>1700</v>
      </c>
      <c r="D16" s="29">
        <v>2450</v>
      </c>
      <c r="E16" s="29">
        <f>150+150+200+200+200+200+100</f>
        <v>1200</v>
      </c>
      <c r="F16" s="25"/>
      <c r="G16" s="4"/>
      <c r="H16" s="4"/>
      <c r="I16" s="4"/>
      <c r="J16" s="25"/>
      <c r="K16" s="25"/>
      <c r="L16" s="25"/>
      <c r="M16" s="25"/>
      <c r="N16" s="4">
        <f t="shared" si="0"/>
        <v>5350</v>
      </c>
    </row>
    <row r="17" spans="1:29" s="5" customFormat="1" ht="15">
      <c r="A17" s="13" t="s">
        <v>3</v>
      </c>
      <c r="B17" s="10">
        <f>SUM(B19:B50)</f>
        <v>153878.5</v>
      </c>
      <c r="C17" s="10">
        <f>SUM(C18:C50)</f>
        <v>201888.04</v>
      </c>
      <c r="D17" s="10">
        <f>SUM(D19:D50)</f>
        <v>262872.03999999998</v>
      </c>
      <c r="E17" s="10">
        <f>SUM(E19:E50)</f>
        <v>245118.6</v>
      </c>
      <c r="F17" s="24"/>
      <c r="G17" s="10"/>
      <c r="H17" s="10"/>
      <c r="I17" s="10"/>
      <c r="J17" s="24"/>
      <c r="K17" s="24"/>
      <c r="L17" s="24"/>
      <c r="M17" s="24"/>
      <c r="N17" s="10">
        <f t="shared" si="0"/>
        <v>863757.18</v>
      </c>
      <c r="O17" s="37"/>
    </row>
    <row r="18" spans="1:29">
      <c r="A18" s="17" t="s">
        <v>4</v>
      </c>
      <c r="B18" s="4"/>
      <c r="C18" s="4"/>
      <c r="D18" s="4"/>
      <c r="E18" s="4"/>
      <c r="F18" s="25"/>
      <c r="G18" s="4"/>
      <c r="H18" s="4"/>
      <c r="I18" s="4"/>
      <c r="J18" s="25"/>
      <c r="K18" s="25"/>
      <c r="L18" s="25"/>
      <c r="M18" s="25"/>
      <c r="N18" s="29">
        <f t="shared" ref="N18:N46" si="1">SUM(B18:M18)</f>
        <v>0</v>
      </c>
    </row>
    <row r="19" spans="1:29">
      <c r="A19" s="17" t="s">
        <v>5</v>
      </c>
      <c r="B19" s="4">
        <f>10440+10600+17400</f>
        <v>38440</v>
      </c>
      <c r="C19" s="4">
        <f>10440+10600+21500</f>
        <v>42540</v>
      </c>
      <c r="D19" s="4">
        <f>34090+5000</f>
        <v>39090</v>
      </c>
      <c r="E19" s="4">
        <f>10600+4000+33930</f>
        <v>48530</v>
      </c>
      <c r="F19" s="25"/>
      <c r="G19" s="4"/>
      <c r="H19" s="4"/>
      <c r="I19" s="4"/>
      <c r="J19" s="25"/>
      <c r="K19" s="25"/>
      <c r="L19" s="25"/>
      <c r="M19" s="25"/>
      <c r="N19" s="4">
        <f>SUM(B19:M19)</f>
        <v>168600</v>
      </c>
    </row>
    <row r="20" spans="1:29">
      <c r="A20" s="17" t="s">
        <v>6</v>
      </c>
      <c r="B20" s="4">
        <f>5744+650+4350</f>
        <v>10744</v>
      </c>
      <c r="C20" s="4">
        <v>3144</v>
      </c>
      <c r="D20" s="4">
        <v>5094</v>
      </c>
      <c r="E20" s="4">
        <v>5070</v>
      </c>
      <c r="F20" s="25"/>
      <c r="G20" s="4"/>
      <c r="H20" s="4"/>
      <c r="I20" s="4"/>
      <c r="J20" s="25"/>
      <c r="K20" s="25"/>
      <c r="L20" s="25"/>
      <c r="M20" s="25"/>
      <c r="N20" s="4">
        <f>SUM(B20:M20)</f>
        <v>24052</v>
      </c>
    </row>
    <row r="21" spans="1:29">
      <c r="A21" s="17" t="s">
        <v>7</v>
      </c>
      <c r="B21" s="4">
        <f>9720.5+2254+1282+89</f>
        <v>13345.5</v>
      </c>
      <c r="C21" s="4">
        <f>10+49+145+255+702+1100+1243+5321</f>
        <v>8825</v>
      </c>
      <c r="D21" s="4"/>
      <c r="E21" s="4"/>
      <c r="F21" s="25"/>
      <c r="G21" s="4"/>
      <c r="H21" s="4"/>
      <c r="I21" s="4"/>
      <c r="J21" s="25"/>
      <c r="K21" s="25"/>
      <c r="L21" s="25"/>
      <c r="M21" s="25"/>
      <c r="N21" s="4">
        <f>SUM(B21:M21)</f>
        <v>22170.5</v>
      </c>
    </row>
    <row r="22" spans="1:29" hidden="1">
      <c r="A22" s="17" t="s">
        <v>19</v>
      </c>
      <c r="B22" s="4"/>
      <c r="C22" s="4"/>
      <c r="D22" s="4"/>
      <c r="E22" s="4"/>
      <c r="F22" s="25"/>
      <c r="G22" s="4"/>
      <c r="H22" s="4"/>
      <c r="I22" s="4"/>
      <c r="J22" s="25"/>
      <c r="K22" s="25"/>
      <c r="L22" s="25"/>
      <c r="M22" s="25"/>
      <c r="N22" s="4">
        <f t="shared" si="1"/>
        <v>0</v>
      </c>
    </row>
    <row r="23" spans="1:29" hidden="1">
      <c r="A23" s="17" t="s">
        <v>8</v>
      </c>
      <c r="B23" s="4"/>
      <c r="C23" s="4"/>
      <c r="D23" s="4"/>
      <c r="E23" s="4"/>
      <c r="F23" s="25"/>
      <c r="G23" s="4"/>
      <c r="H23" s="4"/>
      <c r="I23" s="4"/>
      <c r="J23" s="25"/>
      <c r="K23" s="25"/>
      <c r="L23" s="25"/>
      <c r="M23" s="25"/>
      <c r="N23" s="4">
        <f t="shared" si="1"/>
        <v>0</v>
      </c>
    </row>
    <row r="24" spans="1:29">
      <c r="A24" s="17" t="s">
        <v>9</v>
      </c>
      <c r="B24" s="4"/>
      <c r="C24" s="4">
        <f>10218.29+1000</f>
        <v>11218.29</v>
      </c>
      <c r="D24" s="4"/>
      <c r="E24" s="4"/>
      <c r="F24" s="25"/>
      <c r="G24" s="4"/>
      <c r="H24" s="4"/>
      <c r="I24" s="4"/>
      <c r="J24" s="25"/>
      <c r="K24" s="25"/>
      <c r="L24" s="25"/>
      <c r="M24" s="25"/>
      <c r="N24" s="4">
        <f>SUM(B24:M24)</f>
        <v>11218.29</v>
      </c>
    </row>
    <row r="25" spans="1:29">
      <c r="A25" s="17" t="s">
        <v>10</v>
      </c>
      <c r="B25" s="4">
        <v>20000</v>
      </c>
      <c r="C25" s="4"/>
      <c r="D25" s="4"/>
      <c r="E25" s="4"/>
      <c r="F25" s="25"/>
      <c r="G25" s="4"/>
      <c r="H25" s="4"/>
      <c r="I25" s="4"/>
      <c r="J25" s="25"/>
      <c r="K25" s="25"/>
      <c r="L25" s="25"/>
      <c r="M25" s="25"/>
      <c r="N25" s="4">
        <f>SUM(B25:M25)</f>
        <v>20000</v>
      </c>
    </row>
    <row r="26" spans="1:29">
      <c r="A26" s="17" t="s">
        <v>22</v>
      </c>
      <c r="B26" s="4">
        <v>50000</v>
      </c>
      <c r="C26" s="4">
        <f>20000+40000</f>
        <v>60000</v>
      </c>
      <c r="D26" s="4">
        <f>20000+10000+6000</f>
        <v>36000</v>
      </c>
      <c r="E26" s="4">
        <v>70000</v>
      </c>
      <c r="F26" s="25"/>
      <c r="G26" s="4"/>
      <c r="H26" s="4"/>
      <c r="I26" s="4"/>
      <c r="J26" s="25"/>
      <c r="K26" s="25"/>
      <c r="L26" s="25"/>
      <c r="M26" s="25"/>
      <c r="N26" s="4">
        <f>SUM(B26:M26)</f>
        <v>216000</v>
      </c>
    </row>
    <row r="27" spans="1:29">
      <c r="A27" s="17" t="s">
        <v>18</v>
      </c>
      <c r="B27" s="4"/>
      <c r="C27" s="4"/>
      <c r="D27" s="4"/>
      <c r="E27" s="4"/>
      <c r="F27" s="25"/>
      <c r="G27" s="4"/>
      <c r="H27" s="4"/>
      <c r="I27" s="4"/>
      <c r="J27" s="25"/>
      <c r="K27" s="25"/>
      <c r="L27" s="25"/>
      <c r="M27" s="25"/>
      <c r="N27" s="4">
        <f t="shared" si="1"/>
        <v>0</v>
      </c>
    </row>
    <row r="28" spans="1:29" s="1" customFormat="1" ht="15">
      <c r="A28" s="46" t="s">
        <v>42</v>
      </c>
      <c r="B28" s="29"/>
      <c r="C28" s="29"/>
      <c r="D28" s="29">
        <v>120068.04</v>
      </c>
      <c r="E28" s="29">
        <f>2620.6+7000+7800+9800+5368+1000+6800+6800+600+6000+15400+2000+6400+3000</f>
        <v>80588.600000000006</v>
      </c>
      <c r="F28" s="30"/>
      <c r="G28" s="29"/>
      <c r="H28" s="29"/>
      <c r="I28" s="29"/>
      <c r="J28" s="30"/>
      <c r="K28" s="30"/>
      <c r="L28" s="30"/>
      <c r="M28" s="30"/>
      <c r="N28" s="29">
        <f>SUM(B28:M28)</f>
        <v>200656.64000000001</v>
      </c>
    </row>
    <row r="29" spans="1:29" ht="25.5" hidden="1">
      <c r="A29" s="17" t="s">
        <v>17</v>
      </c>
      <c r="B29" s="4"/>
      <c r="C29" s="4"/>
      <c r="D29" s="4"/>
      <c r="E29" s="4"/>
      <c r="F29" s="25"/>
      <c r="G29" s="4"/>
      <c r="H29" s="4"/>
      <c r="I29" s="4"/>
      <c r="J29" s="25"/>
      <c r="K29" s="25"/>
      <c r="L29" s="25"/>
      <c r="M29" s="25"/>
      <c r="N29" s="4">
        <f t="shared" si="1"/>
        <v>0</v>
      </c>
    </row>
    <row r="30" spans="1:29" ht="25.5">
      <c r="A30" s="17" t="s">
        <v>11</v>
      </c>
      <c r="B30" s="4"/>
      <c r="C30" s="4">
        <v>41650</v>
      </c>
      <c r="D30" s="4"/>
      <c r="E30" s="4"/>
      <c r="F30" s="25"/>
      <c r="G30" s="4"/>
      <c r="H30" s="4"/>
      <c r="I30" s="4"/>
      <c r="J30" s="25"/>
      <c r="K30" s="25"/>
      <c r="L30" s="25"/>
      <c r="M30" s="25"/>
      <c r="N30" s="4">
        <f>SUM(B30:M30)</f>
        <v>41650</v>
      </c>
    </row>
    <row r="31" spans="1:29" ht="25.5">
      <c r="A31" s="17" t="s">
        <v>43</v>
      </c>
      <c r="B31" s="4">
        <v>6000</v>
      </c>
      <c r="C31" s="4">
        <f>16960.75+6000</f>
        <v>22960.75</v>
      </c>
      <c r="D31" s="4">
        <f>12000+5500</f>
        <v>17500</v>
      </c>
      <c r="E31" s="4">
        <v>12000</v>
      </c>
      <c r="F31" s="25"/>
      <c r="G31" s="4"/>
      <c r="H31" s="4"/>
      <c r="I31" s="4"/>
      <c r="J31" s="25"/>
      <c r="K31" s="25"/>
      <c r="L31" s="25"/>
      <c r="M31" s="25"/>
      <c r="N31" s="4">
        <f t="shared" si="1"/>
        <v>58460.75</v>
      </c>
      <c r="AC31" s="2">
        <v>0</v>
      </c>
    </row>
    <row r="32" spans="1:29">
      <c r="A32" s="17" t="s">
        <v>20</v>
      </c>
      <c r="B32" s="4"/>
      <c r="C32" s="4"/>
      <c r="D32" s="4"/>
      <c r="E32" s="4"/>
      <c r="F32" s="25"/>
      <c r="G32" s="4"/>
      <c r="H32" s="4"/>
      <c r="I32" s="4"/>
      <c r="J32" s="25"/>
      <c r="K32" s="25"/>
      <c r="L32" s="25"/>
      <c r="M32" s="25"/>
      <c r="N32" s="4">
        <f t="shared" si="1"/>
        <v>0</v>
      </c>
    </row>
    <row r="33" spans="1:14" ht="38.25">
      <c r="A33" s="17" t="s">
        <v>16</v>
      </c>
      <c r="B33" s="4">
        <f>3699+5000</f>
        <v>8699</v>
      </c>
      <c r="C33" s="4">
        <v>5000</v>
      </c>
      <c r="D33" s="4">
        <v>5000</v>
      </c>
      <c r="E33" s="4">
        <v>5000</v>
      </c>
      <c r="F33" s="25"/>
      <c r="G33" s="4"/>
      <c r="H33" s="4"/>
      <c r="I33" s="4"/>
      <c r="J33" s="25"/>
      <c r="K33" s="25"/>
      <c r="L33" s="25"/>
      <c r="M33" s="25"/>
      <c r="N33" s="4">
        <f>SUM(B33:M33)</f>
        <v>23699</v>
      </c>
    </row>
    <row r="34" spans="1:14">
      <c r="A34" s="17" t="s">
        <v>14</v>
      </c>
      <c r="B34" s="4"/>
      <c r="C34" s="4"/>
      <c r="D34" s="4">
        <v>3000</v>
      </c>
      <c r="E34" s="4"/>
      <c r="F34" s="25"/>
      <c r="G34" s="4"/>
      <c r="H34" s="4"/>
      <c r="I34" s="4"/>
      <c r="J34" s="25"/>
      <c r="K34" s="25"/>
      <c r="L34" s="25"/>
      <c r="M34" s="25"/>
      <c r="N34" s="4">
        <f>SUM(B34:M34)</f>
        <v>3000</v>
      </c>
    </row>
    <row r="35" spans="1:14" ht="17.25" hidden="1" customHeight="1">
      <c r="A35" s="17" t="s">
        <v>21</v>
      </c>
      <c r="B35" s="4"/>
      <c r="C35" s="4"/>
      <c r="D35" s="4"/>
      <c r="E35" s="4"/>
      <c r="F35" s="25"/>
      <c r="G35" s="4"/>
      <c r="H35" s="4"/>
      <c r="I35" s="4"/>
      <c r="J35" s="25"/>
      <c r="K35" s="25"/>
      <c r="L35" s="25"/>
      <c r="M35" s="25"/>
      <c r="N35" s="4">
        <f t="shared" si="1"/>
        <v>0</v>
      </c>
    </row>
    <row r="36" spans="1:14" hidden="1">
      <c r="A36" s="17" t="s">
        <v>34</v>
      </c>
      <c r="B36" s="4"/>
      <c r="C36" s="4"/>
      <c r="D36" s="4"/>
      <c r="E36" s="4"/>
      <c r="F36" s="25"/>
      <c r="G36" s="4"/>
      <c r="H36" s="4"/>
      <c r="I36" s="25"/>
      <c r="J36" s="25"/>
      <c r="K36" s="25"/>
      <c r="L36" s="25"/>
      <c r="M36" s="25"/>
      <c r="N36" s="4">
        <f t="shared" si="1"/>
        <v>0</v>
      </c>
    </row>
    <row r="37" spans="1:14">
      <c r="A37" s="17" t="s">
        <v>49</v>
      </c>
      <c r="B37" s="4"/>
      <c r="C37" s="4"/>
      <c r="D37" s="4"/>
      <c r="E37" s="4">
        <v>232</v>
      </c>
      <c r="F37" s="25"/>
      <c r="G37" s="4"/>
      <c r="H37" s="4"/>
      <c r="I37" s="25"/>
      <c r="J37" s="25"/>
      <c r="K37" s="25"/>
      <c r="L37" s="25"/>
      <c r="M37" s="25"/>
      <c r="N37" s="4"/>
    </row>
    <row r="38" spans="1:14">
      <c r="A38" s="17" t="s">
        <v>24</v>
      </c>
      <c r="B38" s="4"/>
      <c r="C38" s="4"/>
      <c r="D38" s="4">
        <v>27960</v>
      </c>
      <c r="E38" s="4"/>
      <c r="F38" s="25"/>
      <c r="G38" s="4"/>
      <c r="H38" s="4"/>
      <c r="I38" s="25"/>
      <c r="J38" s="25"/>
      <c r="K38" s="25"/>
      <c r="L38" s="25"/>
      <c r="M38" s="25"/>
      <c r="N38" s="4">
        <f>SUM(B38:M38)</f>
        <v>27960</v>
      </c>
    </row>
    <row r="39" spans="1:14" hidden="1">
      <c r="A39" s="17" t="s">
        <v>25</v>
      </c>
      <c r="B39" s="4"/>
      <c r="C39" s="4"/>
      <c r="D39" s="4"/>
      <c r="E39" s="4"/>
      <c r="F39" s="25"/>
      <c r="G39" s="4"/>
      <c r="H39" s="4"/>
      <c r="I39" s="25"/>
      <c r="J39" s="25"/>
      <c r="K39" s="25"/>
      <c r="L39" s="25"/>
      <c r="M39" s="25"/>
      <c r="N39" s="4">
        <f t="shared" si="1"/>
        <v>0</v>
      </c>
    </row>
    <row r="40" spans="1:14">
      <c r="A40" s="17" t="s">
        <v>31</v>
      </c>
      <c r="B40" s="4"/>
      <c r="C40" s="4"/>
      <c r="D40" s="4"/>
      <c r="E40" s="4">
        <v>10000</v>
      </c>
      <c r="F40" s="25"/>
      <c r="G40" s="4"/>
      <c r="H40" s="4"/>
      <c r="I40" s="25"/>
      <c r="J40" s="25"/>
      <c r="K40" s="25"/>
      <c r="L40" s="25"/>
      <c r="M40" s="25"/>
      <c r="N40" s="4">
        <f t="shared" si="1"/>
        <v>10000</v>
      </c>
    </row>
    <row r="41" spans="1:14">
      <c r="A41" s="17" t="s">
        <v>48</v>
      </c>
      <c r="B41" s="4"/>
      <c r="C41" s="4"/>
      <c r="D41" s="4"/>
      <c r="E41" s="4">
        <v>7500</v>
      </c>
      <c r="F41" s="25"/>
      <c r="G41" s="4"/>
      <c r="H41" s="4"/>
      <c r="I41" s="25"/>
      <c r="J41" s="25"/>
      <c r="K41" s="25"/>
      <c r="L41" s="25"/>
      <c r="M41" s="25"/>
      <c r="N41" s="4">
        <f t="shared" si="1"/>
        <v>7500</v>
      </c>
    </row>
    <row r="42" spans="1:14">
      <c r="A42" s="17" t="s">
        <v>44</v>
      </c>
      <c r="B42" s="4"/>
      <c r="C42" s="4"/>
      <c r="D42" s="4">
        <v>350</v>
      </c>
      <c r="E42" s="4">
        <v>768</v>
      </c>
      <c r="F42" s="25"/>
      <c r="G42" s="4"/>
      <c r="H42" s="4"/>
      <c r="I42" s="25"/>
      <c r="J42" s="25"/>
      <c r="K42" s="25"/>
      <c r="L42" s="25"/>
      <c r="M42" s="25"/>
      <c r="N42" s="4">
        <f>SUM(B42:M42)</f>
        <v>1118</v>
      </c>
    </row>
    <row r="43" spans="1:14">
      <c r="A43" s="17" t="s">
        <v>26</v>
      </c>
      <c r="B43" s="4">
        <v>2000</v>
      </c>
      <c r="C43" s="4">
        <v>2000</v>
      </c>
      <c r="D43" s="4">
        <v>2000</v>
      </c>
      <c r="E43" s="4">
        <v>2000</v>
      </c>
      <c r="F43" s="25"/>
      <c r="G43" s="4"/>
      <c r="H43" s="4"/>
      <c r="I43" s="25"/>
      <c r="J43" s="25"/>
      <c r="K43" s="25"/>
      <c r="L43" s="25"/>
      <c r="M43" s="25"/>
      <c r="N43" s="4">
        <f>SUM(B43:M43)</f>
        <v>8000</v>
      </c>
    </row>
    <row r="44" spans="1:14" hidden="1">
      <c r="A44" s="17" t="s">
        <v>32</v>
      </c>
      <c r="B44" s="4"/>
      <c r="C44" s="4"/>
      <c r="D44" s="4"/>
      <c r="E44" s="4"/>
      <c r="F44" s="25"/>
      <c r="G44" s="4"/>
      <c r="H44" s="4"/>
      <c r="I44" s="25"/>
      <c r="J44" s="25"/>
      <c r="K44" s="25"/>
      <c r="L44" s="25"/>
      <c r="M44" s="25"/>
      <c r="N44" s="4">
        <f t="shared" si="1"/>
        <v>0</v>
      </c>
    </row>
    <row r="45" spans="1:14">
      <c r="A45" s="17" t="s">
        <v>27</v>
      </c>
      <c r="B45" s="4"/>
      <c r="C45" s="4"/>
      <c r="D45" s="4">
        <v>660</v>
      </c>
      <c r="E45" s="4">
        <v>1980</v>
      </c>
      <c r="F45" s="25"/>
      <c r="G45" s="4"/>
      <c r="H45" s="4"/>
      <c r="I45" s="25"/>
      <c r="J45" s="25"/>
      <c r="K45" s="25"/>
      <c r="L45" s="25"/>
      <c r="M45" s="25"/>
      <c r="N45" s="4">
        <f>SUM(B45:M45)</f>
        <v>2640</v>
      </c>
    </row>
    <row r="46" spans="1:14" hidden="1">
      <c r="A46" s="17" t="s">
        <v>28</v>
      </c>
      <c r="B46" s="4"/>
      <c r="C46" s="4"/>
      <c r="D46" s="4"/>
      <c r="E46" s="4"/>
      <c r="F46" s="25"/>
      <c r="G46" s="4"/>
      <c r="H46" s="4"/>
      <c r="I46" s="25"/>
      <c r="J46" s="25"/>
      <c r="K46" s="25"/>
      <c r="L46" s="25"/>
      <c r="M46" s="25"/>
      <c r="N46" s="4">
        <f t="shared" si="1"/>
        <v>0</v>
      </c>
    </row>
    <row r="47" spans="1:14">
      <c r="A47" s="17" t="s">
        <v>29</v>
      </c>
      <c r="B47" s="4">
        <v>1450</v>
      </c>
      <c r="C47" s="4">
        <v>1350</v>
      </c>
      <c r="D47" s="4">
        <v>1450</v>
      </c>
      <c r="E47" s="4">
        <v>1450</v>
      </c>
      <c r="F47" s="25"/>
      <c r="G47" s="4"/>
      <c r="H47" s="4"/>
      <c r="I47" s="25"/>
      <c r="J47" s="25"/>
      <c r="K47" s="25"/>
      <c r="L47" s="25"/>
      <c r="M47" s="25"/>
      <c r="N47" s="4">
        <f>SUM(B47:M47)</f>
        <v>5700</v>
      </c>
    </row>
    <row r="48" spans="1:14">
      <c r="A48" s="17" t="s">
        <v>45</v>
      </c>
      <c r="B48" s="4"/>
      <c r="C48" s="4"/>
      <c r="D48" s="4">
        <v>1000</v>
      </c>
      <c r="E48" s="4"/>
      <c r="F48" s="25"/>
      <c r="G48" s="4"/>
      <c r="H48" s="4"/>
      <c r="I48" s="25"/>
      <c r="J48" s="25"/>
      <c r="K48" s="25"/>
      <c r="L48" s="25"/>
      <c r="M48" s="25"/>
      <c r="N48" s="4">
        <f>SUM(B48:M48)</f>
        <v>1000</v>
      </c>
    </row>
    <row r="49" spans="1:14">
      <c r="A49" s="17" t="s">
        <v>46</v>
      </c>
      <c r="B49" s="4"/>
      <c r="C49" s="4"/>
      <c r="D49" s="4">
        <v>500</v>
      </c>
      <c r="E49" s="4"/>
      <c r="F49" s="25"/>
      <c r="G49" s="4"/>
      <c r="H49" s="4"/>
      <c r="I49" s="25"/>
      <c r="J49" s="25"/>
      <c r="K49" s="25"/>
      <c r="L49" s="25"/>
      <c r="M49" s="25"/>
      <c r="N49" s="4">
        <f>SUM(B49:M49)</f>
        <v>500</v>
      </c>
    </row>
    <row r="50" spans="1:14">
      <c r="A50" s="17" t="s">
        <v>15</v>
      </c>
      <c r="B50" s="4">
        <v>3200</v>
      </c>
      <c r="C50" s="4">
        <v>3200</v>
      </c>
      <c r="D50" s="4">
        <v>3200</v>
      </c>
      <c r="E50" s="4"/>
      <c r="F50" s="25"/>
      <c r="G50" s="4"/>
      <c r="H50" s="4"/>
      <c r="I50" s="4"/>
      <c r="J50" s="25"/>
      <c r="K50" s="25"/>
      <c r="L50" s="25"/>
      <c r="M50" s="25"/>
      <c r="N50" s="4">
        <f>SUM(B50:M50)</f>
        <v>9600</v>
      </c>
    </row>
    <row r="51" spans="1:14">
      <c r="K51" s="26"/>
    </row>
    <row r="52" spans="1:14">
      <c r="A52" s="38" t="s">
        <v>36</v>
      </c>
      <c r="B52" s="39">
        <f>B47+B43</f>
        <v>3450</v>
      </c>
      <c r="C52" s="39">
        <f>C47+C43+6000+21500+1000</f>
        <v>31850</v>
      </c>
      <c r="D52" s="39">
        <f>D49+D48+D47+D45+D43+D42+D38+D34+D33+D31+5000+10000+6000</f>
        <v>80420</v>
      </c>
      <c r="E52" s="39">
        <f>SUM(E30:E50)+E26+43000</f>
        <v>153930</v>
      </c>
      <c r="G52" s="35"/>
      <c r="H52" s="36"/>
      <c r="I52" s="34"/>
      <c r="J52" s="32"/>
      <c r="K52" s="32"/>
      <c r="L52" s="32"/>
      <c r="M52" s="26"/>
    </row>
    <row r="53" spans="1:14">
      <c r="A53" s="38" t="s">
        <v>37</v>
      </c>
      <c r="B53" s="39">
        <f>B50+B33+B31+B26+B25+B21+B20+B19</f>
        <v>150428.5</v>
      </c>
      <c r="C53" s="39">
        <f>C50+C20+C21+C26+C30+C33+21040+16960.75+10218.29</f>
        <v>170038.04</v>
      </c>
      <c r="D53" s="39">
        <f>D50+D28+D20+34090+20000</f>
        <v>182452.03999999998</v>
      </c>
      <c r="E53" s="39">
        <f>E28+10600</f>
        <v>91188.6</v>
      </c>
      <c r="I53" s="34"/>
      <c r="J53" s="32"/>
      <c r="K53" s="32"/>
      <c r="L53" s="32"/>
    </row>
    <row r="54" spans="1:14">
      <c r="H54" s="36"/>
      <c r="I54" s="34"/>
      <c r="J54" s="32"/>
      <c r="K54" s="32"/>
      <c r="L54" s="32"/>
      <c r="M54" s="32"/>
    </row>
  </sheetData>
  <pageMargins left="0.15748031496062992" right="0.27559055118110237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2017-05-05T06:01:43Z</cp:lastPrinted>
  <dcterms:created xsi:type="dcterms:W3CDTF">2015-12-25T20:22:12Z</dcterms:created>
  <dcterms:modified xsi:type="dcterms:W3CDTF">2017-05-08T07:27:06Z</dcterms:modified>
</cp:coreProperties>
</file>