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comments4.xml" ContentType="application/vnd.openxmlformats-officedocument.spreadsheetml.comments+xml"/>
  <Override PartName="/xl/workbook.xml" ContentType="application/vnd.openxmlformats-officedocument.spreadsheetml.sheet.main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xl/drawings/vmlDrawing5.vml" ContentType="application/vnd.openxmlformats-officedocument.vmlDrawing"/>
  <Override PartName="/xl/drawings/drawing2.xml" ContentType="application/vnd.openxmlformats-officedocument.drawing+xml"/>
  <Override PartName="/xl/drawings/drawing6.xml" ContentType="application/vnd.openxmlformats-officedocument.drawing+xml"/>
  <Override PartName="/xl/drawings/vmlDrawing4.vml" ContentType="application/vnd.openxmlformats-officedocument.vmlDrawing"/>
  <Override PartName="/xl/drawings/drawing1.xml" ContentType="application/vnd.openxmlformats-officedocument.drawing+xml"/>
  <Override PartName="/xl/drawings/drawing5.xml" ContentType="application/vnd.openxmlformats-officedocument.drawing+xml"/>
  <Override PartName="/xl/drawings/vmlDrawing3.vml" ContentType="application/vnd.openxmlformats-officedocument.vmlDrawing"/>
  <Override PartName="/xl/drawings/vmlDrawing7.vml" ContentType="application/vnd.openxmlformats-officedocument.vmlDrawing"/>
  <Override PartName="/xl/drawings/drawing4.xml" ContentType="application/vnd.openxmlformats-officedocument.drawing+xml"/>
  <Override PartName="/xl/drawings/vmlDrawing2.vml" ContentType="application/vnd.openxmlformats-officedocument.vmlDrawing"/>
  <Override PartName="/xl/drawings/vmlDrawing6.vml" ContentType="application/vnd.openxmlformats-officedocument.vmlDrawing"/>
  <Override PartName="/xl/drawings/drawing3.xml" ContentType="application/vnd.openxmlformats-officedocument.drawing+xml"/>
  <Override PartName="/xl/drawings/vmlDrawing1.vml" ContentType="application/vnd.openxmlformats-officedocument.vmlDrawing"/>
  <Override PartName="/xl/comments7.xml" ContentType="application/vnd.openxmlformats-officedocument.spreadsheetml.comments+xml"/>
  <Override PartName="/xl/_rels/workbook.xml.rels" ContentType="application/vnd.openxmlformats-package.relationships+xml"/>
  <Override PartName="/xl/worksheets/sheet6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7.xml.rels" ContentType="application/vnd.openxmlformats-package.relationships+xml"/>
  <Override PartName="/xl/worksheets/_rels/sheet6.xml.rels" ContentType="application/vnd.openxmlformats-package.relationships+xml"/>
  <Override PartName="/xl/worksheets/_rels/sheet5.xml.rels" ContentType="application/vnd.openxmlformats-package.relationship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7.xml" ContentType="application/vnd.openxmlformats-officedocument.spreadsheetml.worksheet+xml"/>
  <Override PartName="/xl/worksheets/sheet4.xml" ContentType="application/vnd.openxmlformats-officedocument.spreadsheetml.worksheet+xml"/>
  <Override PartName="/xl/worksheets/sheet8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comments6.xml" ContentType="application/vnd.openxmlformats-officedocument.spreadsheetml.comments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3" firstSheet="0" showHorizontalScroll="true" showSheetTabs="true" showVerticalScroll="true" tabRatio="600" windowHeight="8192" windowWidth="16384" xWindow="0" yWindow="0"/>
  </bookViews>
  <sheets>
    <sheet name="рабочая таблица" sheetId="1" state="visible" r:id="rId2"/>
    <sheet name="На что стоит обратить внимание" sheetId="2" state="hidden" r:id="rId3"/>
    <sheet name="план на 2016" sheetId="3" state="hidden" r:id="rId4"/>
    <sheet name="членские взносы" sheetId="4" state="visible" r:id="rId5"/>
    <sheet name="баланс" sheetId="5" state="hidden" r:id="rId6"/>
    <sheet name="data" sheetId="6" state="hidden" r:id="rId7"/>
    <sheet name="справочник" sheetId="7" state="hidden" r:id="rId8"/>
    <sheet name="Лист6" sheetId="8" state="hidden" r:id="rId9"/>
  </sheets>
  <definedNames>
    <definedName function="false" hidden="true" localSheetId="5" name="_xlnm._FilterDatabase" vbProcedure="false">data!$A$4:$Y$4</definedName>
    <definedName function="false" hidden="true" localSheetId="4" name="_xlnm._FilterDatabase" vbProcedure="false">баланс!$A$3:$Y$326</definedName>
    <definedName function="false" hidden="true" localSheetId="2" name="_xlnm._FilterDatabase" vbProcedure="false">'план на 2016'!$A$4:$Z$327</definedName>
    <definedName function="false" hidden="true" localSheetId="0" name="_xlnm._FilterDatabase" vbProcedure="false">'рабочая таблица'!$A$6:$R$305</definedName>
    <definedName function="false" hidden="true" localSheetId="6" name="_xlnm._FilterDatabase" vbProcedure="false">справочник!$A$1:$AI$281</definedName>
    <definedName function="false" hidden="true" localSheetId="3" name="_xlnm._FilterDatabase" vbProcedure="false">'членские взносы'!$A$4:$AE$325</definedName>
    <definedName function="false" hidden="false" name="pivot" vbProcedure="false">OFFSET(#ref!,0,0,COUNTA(#ref!),13)</definedName>
    <definedName function="false" hidden="false" localSheetId="0" name="_xlnm._FilterDatabase" vbProcedure="false">'рабочая таблица'!$A$6:$R$305</definedName>
    <definedName function="false" hidden="false" localSheetId="0" name="_xlnm._FilterDatabase_0" vbProcedure="false">'рабочая таблица'!$A$6:$R$305</definedName>
    <definedName function="false" hidden="false" localSheetId="2" name="_xlnm._FilterDatabase" vbProcedure="false">'план на 2016'!$A$4:$Z$327</definedName>
    <definedName function="false" hidden="false" localSheetId="2" name="_xlnm._FilterDatabase_0" vbProcedure="false">'план на 2016'!$A$4:$Z$327</definedName>
    <definedName function="false" hidden="false" localSheetId="3" name="_xlnm._FilterDatabase" vbProcedure="false">'членские взносы'!$A$4:$AE$325</definedName>
    <definedName function="false" hidden="false" localSheetId="3" name="_xlnm._FilterDatabase_0" vbProcedure="false">'членские взносы'!$A$4:$AE$325</definedName>
    <definedName function="false" hidden="false" localSheetId="4" name="_xlnm._FilterDatabase" vbProcedure="false">баланс!$A$3:$Y$326</definedName>
    <definedName function="false" hidden="false" localSheetId="4" name="_xlnm._FilterDatabase_0" vbProcedure="false">баланс!$A$3:$Y$326</definedName>
    <definedName function="false" hidden="false" localSheetId="5" name="_xlnm._FilterDatabase" vbProcedure="false">data!$A$4:$Y$4</definedName>
    <definedName function="false" hidden="false" localSheetId="5" name="_xlnm._FilterDatabase_0" vbProcedure="false">data!$A$4:$Y$4</definedName>
    <definedName function="false" hidden="false" localSheetId="6" name="_xlnm._FilterDatabase" vbProcedure="false">справочник!$A$1:$AI$281</definedName>
    <definedName function="false" hidden="false" localSheetId="6" name="_xlnm._FilterDatabase_0" vbProcedure="false">справочник!$A$1:$AI$281</definedName>
  </definedNames>
  <calcPr iterateCount="100" refMode="A1" iterate="false" iterateDelta="0.0001"/>
</workbook>
</file>

<file path=xl/comments1.xml><?xml version="1.0" encoding="utf-8"?>
<comments xmlns="http://schemas.openxmlformats.org/spreadsheetml/2006/main" xmlns:xdr="http://schemas.openxmlformats.org/drawingml/2006/spreadsheetDrawing">
  <authors>
    <author/>
  </authors>
  <commentList>
    <comment authorId="0" ref="B6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Лапшин С.Н.:
</t>
        </r>
        <r>
          <rPr>
            <sz val="9"/>
            <color rgb="FF000000"/>
            <rFont val="Tahoma"/>
            <family val="2"/>
            <charset val="204"/>
          </rPr>
          <t xml:space="preserve">цветом выделены злостные должники из членов правления</t>
        </r>
      </text>
    </comment>
    <comment authorId="0" ref="C6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Лапшин С.Н.:
</t>
        </r>
        <r>
          <rPr>
            <sz val="9"/>
            <color rgb="FF000000"/>
            <rFont val="Tahoma"/>
            <family val="2"/>
            <charset val="204"/>
          </rPr>
          <t xml:space="preserve">если два и более участка, то выпадает один первый</t>
        </r>
      </text>
    </comment>
  </commentList>
</comments>
</file>

<file path=xl/comments2.xml><?xml version="1.0" encoding="utf-8"?>
<comments xmlns="http://schemas.openxmlformats.org/spreadsheetml/2006/main" xmlns:xdr="http://schemas.openxmlformats.org/drawingml/2006/spreadsheetDrawing">
  <authors>
    <author/>
  </authors>
  <commentList>
    <comment authorId="0" ref="A3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Лапшин С.Н.:
</t>
        </r>
        <r>
          <rPr>
            <sz val="9"/>
            <color rgb="FF000000"/>
            <rFont val="Tahoma"/>
            <family val="2"/>
            <charset val="204"/>
          </rPr>
          <t xml:space="preserve">если два и более участка, то выпадает один из участков</t>
        </r>
      </text>
    </comment>
    <comment authorId="0" ref="C22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Лапшин С.Н.:
</t>
        </r>
        <r>
          <rPr>
            <sz val="9"/>
            <color rgb="FF000000"/>
            <rFont val="Tahoma"/>
            <family val="2"/>
            <charset val="204"/>
          </rPr>
          <t xml:space="preserve">если два и более участка, то выпадает один из участков</t>
        </r>
      </text>
    </comment>
    <comment authorId="0" ref="C39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Лапшин С.Н.:
</t>
        </r>
        <r>
          <rPr>
            <sz val="9"/>
            <color rgb="FF000000"/>
            <rFont val="Tahoma"/>
            <family val="2"/>
            <charset val="204"/>
          </rPr>
          <t xml:space="preserve">если два и более участка, то выпадает один из участков</t>
        </r>
      </text>
    </comment>
  </commentList>
</comments>
</file>

<file path=xl/comments3.xml><?xml version="1.0" encoding="utf-8"?>
<comments xmlns="http://schemas.openxmlformats.org/spreadsheetml/2006/main" xmlns:xdr="http://schemas.openxmlformats.org/drawingml/2006/spreadsheetDrawing">
  <authors>
    <author/>
  </authors>
  <commentList>
    <comment authorId="0" ref="D130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Svetlana:
</t>
        </r>
        <r>
          <rPr>
            <sz val="9"/>
            <color rgb="FF000000"/>
            <rFont val="Tahoma"/>
            <family val="2"/>
            <charset val="204"/>
          </rPr>
          <t xml:space="preserve">Изночально собственник Кряжкова Виктория Сергеевна - подарила сыну Колесникову Н.О.</t>
        </r>
      </text>
    </comment>
    <comment authorId="0" ref="D187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Svetlana:
</t>
        </r>
        <r>
          <rPr>
            <sz val="9"/>
            <color rgb="FF000000"/>
            <rFont val="Tahoma"/>
            <family val="2"/>
            <charset val="204"/>
          </rPr>
          <t xml:space="preserve">Не смогла найти номер участка
</t>
        </r>
      </text>
    </comment>
    <comment authorId="0" ref="D247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Лапшин Сергей Николаевич:
</t>
        </r>
        <r>
          <rPr>
            <sz val="9"/>
            <color rgb="FF000000"/>
            <rFont val="Tahoma"/>
            <family val="2"/>
            <charset val="204"/>
          </rPr>
          <t xml:space="preserve">был продан с долгами 
</t>
        </r>
      </text>
    </comment>
    <comment authorId="0" ref="D312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Svetlana:
</t>
        </r>
        <r>
          <rPr>
            <sz val="9"/>
            <color rgb="FF000000"/>
            <rFont val="Tahoma"/>
            <family val="2"/>
            <charset val="204"/>
          </rPr>
          <t xml:space="preserve">Шелухина купила участок  01.07.2013 и платежи с 01.08.2013
</t>
        </r>
      </text>
    </comment>
    <comment authorId="0" ref="K78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Лапшин С.Н.:
</t>
        </r>
        <r>
          <rPr>
            <sz val="9"/>
            <color rgb="FF000000"/>
            <rFont val="Tahoma"/>
            <family val="2"/>
            <charset val="204"/>
          </rPr>
          <t xml:space="preserve">были сделаны перерасчеты со слов председателя и собственника</t>
        </r>
      </text>
    </comment>
    <comment authorId="0" ref="L98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Лапшин С.Н.:
</t>
        </r>
        <r>
          <rPr>
            <sz val="9"/>
            <color rgb="FF000000"/>
            <rFont val="Tahoma"/>
            <family val="2"/>
            <charset val="204"/>
          </rPr>
          <t xml:space="preserve">у Светланы стоял долг в 12 тыс. Лена платина налом 12 тыс. рублей
</t>
        </r>
      </text>
    </comment>
  </commentList>
</comments>
</file>

<file path=xl/comments4.xml><?xml version="1.0" encoding="utf-8"?>
<comments xmlns="http://schemas.openxmlformats.org/spreadsheetml/2006/main" xmlns:xdr="http://schemas.openxmlformats.org/drawingml/2006/spreadsheetDrawing">
  <authors>
    <author/>
  </authors>
  <commentList>
    <comment authorId="0" ref="C28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Лапшин Сергей Николаевич:
</t>
        </r>
        <r>
          <rPr>
            <sz val="9"/>
            <color rgb="FF000000"/>
            <rFont val="Tahoma"/>
            <family val="2"/>
            <charset val="204"/>
          </rPr>
          <t xml:space="preserve">убрать из ээ на чл 10 тыс. </t>
        </r>
      </text>
    </comment>
    <comment authorId="0" ref="D130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Svetlana:
</t>
        </r>
        <r>
          <rPr>
            <sz val="9"/>
            <color rgb="FF000000"/>
            <rFont val="Tahoma"/>
            <family val="2"/>
            <charset val="204"/>
          </rPr>
          <t xml:space="preserve">Изночально собственник Кряжкова Виктория Сергеевна - подарила сыну Колесникову Н.О.</t>
        </r>
      </text>
    </comment>
    <comment authorId="0" ref="D187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Svetlana:
</t>
        </r>
        <r>
          <rPr>
            <sz val="9"/>
            <color rgb="FF000000"/>
            <rFont val="Tahoma"/>
            <family val="2"/>
            <charset val="204"/>
          </rPr>
          <t xml:space="preserve">Не смогла найти номер участка
</t>
        </r>
      </text>
    </comment>
    <comment authorId="0" ref="D310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Svetlana:
</t>
        </r>
        <r>
          <rPr>
            <sz val="9"/>
            <color rgb="FF000000"/>
            <rFont val="Tahoma"/>
            <family val="2"/>
            <charset val="204"/>
          </rPr>
          <t xml:space="preserve">Шелухина купила участок  01.07.2013 и платежи с 01.08.2013
</t>
        </r>
      </text>
    </comment>
    <comment authorId="0" ref="F181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Ирина. Дата вступления30.09.11. Чл.вз. С 01.10.2011
</t>
        </r>
      </text>
    </comment>
    <comment authorId="0" ref="P187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Ирина: плюс 10 000. Перенесла в счет долга Сурковой Т.</t>
        </r>
      </text>
    </comment>
    <comment authorId="0" ref="P270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Ирина: оплата  долга от Милоянина А.</t>
        </r>
      </text>
    </comment>
    <comment authorId="0" ref="R15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Лапшин С.Н.:
</t>
        </r>
        <r>
          <rPr>
            <sz val="9"/>
            <color rgb="FF000000"/>
            <rFont val="Tahoma"/>
            <family val="2"/>
            <charset val="204"/>
          </rPr>
          <t xml:space="preserve">800 покупка материалов для пропускного режима</t>
        </r>
      </text>
    </comment>
    <comment authorId="0" ref="S192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Лапшин Сергей Николаевич:
</t>
        </r>
        <r>
          <rPr>
            <sz val="9"/>
            <color rgb="FF000000"/>
            <rFont val="Tahoma"/>
            <family val="2"/>
            <charset val="204"/>
          </rPr>
          <t xml:space="preserve">Отдали Марину на руки - отчета не было</t>
        </r>
      </text>
    </comment>
    <comment authorId="0" ref="U4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Лапшин Сергей Николаевич:
</t>
        </r>
        <r>
          <rPr>
            <sz val="9"/>
            <color rgb="FF000000"/>
            <rFont val="Tahoma"/>
            <family val="2"/>
            <charset val="204"/>
          </rPr>
          <t xml:space="preserve">нал отдавали Марину</t>
        </r>
      </text>
    </comment>
    <comment authorId="0" ref="AM8">
      <text>
        <r>
          <rPr>
            <b val="true"/>
            <sz val="8"/>
            <color rgb="FF000000"/>
            <rFont val="Tahoma"/>
            <family val="2"/>
            <charset val="204"/>
          </rPr>
          <t xml:space="preserve">Admin:
</t>
        </r>
        <r>
          <rPr>
            <sz val="8"/>
            <color rgb="FF000000"/>
            <rFont val="Tahoma"/>
            <family val="2"/>
            <charset val="204"/>
          </rPr>
          <t xml:space="preserve">Перенос переплаты за электроэнергию по завлению 15.04.2017</t>
        </r>
      </text>
    </comment>
    <comment authorId="0" ref="AM263">
      <text>
        <r>
          <rPr>
            <b val="true"/>
            <sz val="8"/>
            <color rgb="FF000000"/>
            <rFont val="Tahoma"/>
            <family val="2"/>
            <charset val="204"/>
          </rPr>
          <t xml:space="preserve">Admin:
</t>
        </r>
        <r>
          <rPr>
            <sz val="8"/>
            <color rgb="FF000000"/>
            <rFont val="Tahoma"/>
            <family val="2"/>
            <charset val="204"/>
          </rPr>
          <t xml:space="preserve">перенос оплаты с Целевых взносов на дороги. Заявление 18.03.2017</t>
        </r>
      </text>
    </comment>
    <comment authorId="0" ref="AM274">
      <text>
        <r>
          <rPr>
            <b val="true"/>
            <sz val="8"/>
            <color rgb="FF000000"/>
            <rFont val="Tahoma"/>
            <family val="2"/>
            <charset val="204"/>
          </rPr>
          <t xml:space="preserve">Admin:
</t>
        </r>
        <r>
          <rPr>
            <sz val="8"/>
            <color rgb="FF000000"/>
            <rFont val="Tahoma"/>
            <family val="2"/>
            <charset val="204"/>
          </rPr>
          <t xml:space="preserve">пернос переплаты за электричество по заявлению</t>
        </r>
      </text>
    </comment>
  </commentList>
</comments>
</file>

<file path=xl/comments5.xml><?xml version="1.0" encoding="utf-8"?>
<comments xmlns="http://schemas.openxmlformats.org/spreadsheetml/2006/main" xmlns:xdr="http://schemas.openxmlformats.org/drawingml/2006/spreadsheetDrawing">
  <authors>
    <author/>
  </authors>
  <commentList>
    <comment authorId="0" ref="D129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Svetlana:
</t>
        </r>
        <r>
          <rPr>
            <sz val="9"/>
            <color rgb="FF000000"/>
            <rFont val="Tahoma"/>
            <family val="2"/>
            <charset val="204"/>
          </rPr>
          <t xml:space="preserve">Изночально собственник Кряжкова Виктория Сергеевна - подарила сыну Колесникову Н.О.</t>
        </r>
      </text>
    </comment>
    <comment authorId="0" ref="D186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Svetlana:
</t>
        </r>
        <r>
          <rPr>
            <sz val="9"/>
            <color rgb="FF000000"/>
            <rFont val="Tahoma"/>
            <family val="2"/>
            <charset val="204"/>
          </rPr>
          <t xml:space="preserve">Не смогла найти номер участка
</t>
        </r>
      </text>
    </comment>
    <comment authorId="0" ref="D311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Svetlana:
</t>
        </r>
        <r>
          <rPr>
            <sz val="9"/>
            <color rgb="FF000000"/>
            <rFont val="Tahoma"/>
            <family val="2"/>
            <charset val="204"/>
          </rPr>
          <t xml:space="preserve">Шелухина купила участок  01.07.2013 и платежи с 01.08.2013
</t>
        </r>
      </text>
    </comment>
  </commentList>
</comments>
</file>

<file path=xl/comments6.xml><?xml version="1.0" encoding="utf-8"?>
<comments xmlns="http://schemas.openxmlformats.org/spreadsheetml/2006/main" xmlns:xdr="http://schemas.openxmlformats.org/drawingml/2006/spreadsheetDrawing">
  <authors>
    <author/>
  </authors>
  <commentList>
    <comment authorId="0" ref="D130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Svetlana:
</t>
        </r>
        <r>
          <rPr>
            <sz val="9"/>
            <color rgb="FF000000"/>
            <rFont val="Tahoma"/>
            <family val="2"/>
            <charset val="204"/>
          </rPr>
          <t xml:space="preserve">Изночально собственник Кряжкова Виктория Сергеевна - подарила сыну Колесникову Н.О.</t>
        </r>
      </text>
    </comment>
    <comment authorId="0" ref="D187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Svetlana:
</t>
        </r>
        <r>
          <rPr>
            <sz val="9"/>
            <color rgb="FF000000"/>
            <rFont val="Tahoma"/>
            <family val="2"/>
            <charset val="204"/>
          </rPr>
          <t xml:space="preserve">Не смогла найти номер участка
</t>
        </r>
      </text>
    </comment>
    <comment authorId="0" ref="D312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Svetlana:
</t>
        </r>
        <r>
          <rPr>
            <sz val="9"/>
            <color rgb="FF000000"/>
            <rFont val="Tahoma"/>
            <family val="2"/>
            <charset val="204"/>
          </rPr>
          <t xml:space="preserve">Шелухина купила участок  01.07.2013 и платежи с 01.08.2013
</t>
        </r>
      </text>
    </comment>
  </commentList>
</comments>
</file>

<file path=xl/comments7.xml><?xml version="1.0" encoding="utf-8"?>
<comments xmlns="http://schemas.openxmlformats.org/spreadsheetml/2006/main" xmlns:xdr="http://schemas.openxmlformats.org/drawingml/2006/spreadsheetDrawing">
  <authors>
    <author/>
  </authors>
  <commentList>
    <comment authorId="0" ref="D126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Svetlana:
</t>
        </r>
        <r>
          <rPr>
            <sz val="9"/>
            <color rgb="FF000000"/>
            <rFont val="Tahoma"/>
            <family val="2"/>
            <charset val="204"/>
          </rPr>
          <t xml:space="preserve">Изночально собственник Кряжкова Виктория Сергеевна - подарила сыну Колесникову Н.О.</t>
        </r>
      </text>
    </comment>
    <comment authorId="0" ref="D184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Svetlana:
</t>
        </r>
        <r>
          <rPr>
            <sz val="9"/>
            <color rgb="FF000000"/>
            <rFont val="Tahoma"/>
            <family val="2"/>
            <charset val="204"/>
          </rPr>
          <t xml:space="preserve">Не смогла найти номер участка
</t>
        </r>
      </text>
    </comment>
    <comment authorId="0" ref="D240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Svetlana:
</t>
        </r>
        <r>
          <rPr>
            <sz val="9"/>
            <color rgb="FF000000"/>
            <rFont val="Tahoma"/>
            <family val="2"/>
            <charset val="204"/>
          </rPr>
          <t xml:space="preserve">Шелухина купила участок  01.07.2013 и платежи с 01.08.2013
</t>
        </r>
      </text>
    </comment>
  </commentList>
</comments>
</file>

<file path=xl/sharedStrings.xml><?xml version="1.0" encoding="utf-8"?>
<sst xmlns="http://schemas.openxmlformats.org/spreadsheetml/2006/main" count="4416" uniqueCount="735">
  <si>
    <t>свыше 10 тыс. руб.</t>
  </si>
  <si>
    <t>от 5 тыс. руб. до 10 тыс. руб.</t>
  </si>
  <si>
    <t>от 1 до 5 тыс. руб</t>
  </si>
  <si>
    <t>нет долгов, оплачено вперед</t>
  </si>
  <si>
    <t>ID</t>
  </si>
  <si>
    <t>Ф.И.О.</t>
  </si>
  <si>
    <t>номер участка</t>
  </si>
  <si>
    <t>член правления</t>
  </si>
  <si>
    <t>телефонный номер</t>
  </si>
  <si>
    <t>куратор</t>
  </si>
  <si>
    <t>Сумма по полю 01.01.2016</t>
  </si>
  <si>
    <t>Сумма по полю 01.02.2016</t>
  </si>
  <si>
    <t>Сумма по полю 01.03.2016</t>
  </si>
  <si>
    <t>Сумма по полю 01.04.2016</t>
  </si>
  <si>
    <t>Сумма по полю 01.05.2016</t>
  </si>
  <si>
    <t>Сумма по полю 01.06.2016</t>
  </si>
  <si>
    <t>Сумма по полю 01.07.2016</t>
  </si>
  <si>
    <t>Сумма по полю 01.08.2016</t>
  </si>
  <si>
    <t>Сумма по полю 01.09.2016</t>
  </si>
  <si>
    <t>Сумма по полю 01.10.2016</t>
  </si>
  <si>
    <t>Сумма по полю 01.11.2016</t>
  </si>
  <si>
    <t>Сумма по полю 01.12.2016</t>
  </si>
  <si>
    <t>Общий итог</t>
  </si>
  <si>
    <t>Рожкова Глафира Андреевна</t>
  </si>
  <si>
    <t>Сидельников Михаил Васильевич</t>
  </si>
  <si>
    <t>Лошкарев Виктор Ильич</t>
  </si>
  <si>
    <t>Борисов Олег Александрович</t>
  </si>
  <si>
    <t>Кушваха Виджай Шанкар</t>
  </si>
  <si>
    <t>Темникова Елена Станиславна</t>
  </si>
  <si>
    <t>Олейников Дмитрий Александрович</t>
  </si>
  <si>
    <t>Жохова Елена Сергеевна</t>
  </si>
  <si>
    <t>Колесников Никита Олегович(у Кряжковой Виктория Сергеевна</t>
  </si>
  <si>
    <t>Спиридонов Андрей Владимирович</t>
  </si>
  <si>
    <t>Севастьянов Михаил Григорьевич</t>
  </si>
  <si>
    <t>Недосенко Олег Анатольевич</t>
  </si>
  <si>
    <t>Кириллов Вадим Александрович</t>
  </si>
  <si>
    <t>Анциферов Алексей Сергеевич</t>
  </si>
  <si>
    <t>Кириллов Дмитрий Александрович</t>
  </si>
  <si>
    <t>Карпова Елена Витальевна</t>
  </si>
  <si>
    <t>Бекмансурова Динара Василевна</t>
  </si>
  <si>
    <t>Измайлов Михаил Михайлович</t>
  </si>
  <si>
    <t>Сбитнева Юлия Сергеевна</t>
  </si>
  <si>
    <t>Нелюбов Сергей Владимирович</t>
  </si>
  <si>
    <t>Самоволькина Ирина Владимировна</t>
  </si>
  <si>
    <t>Ермошин Владимир Владимирович</t>
  </si>
  <si>
    <t>Колташ Анна Владимировна</t>
  </si>
  <si>
    <t>Артемьев Сергей Иванович</t>
  </si>
  <si>
    <t>Ступнев Евгений  Романович</t>
  </si>
  <si>
    <t>Беспаленко Зинаида Александровна</t>
  </si>
  <si>
    <t>Марин Андрей Вячеславович</t>
  </si>
  <si>
    <t>Карпекина Лилия Рафаэльевна</t>
  </si>
  <si>
    <t>Левина Елена Александровна (Дмитрий)</t>
  </si>
  <si>
    <t>Иванова Татьяна Викторовна</t>
  </si>
  <si>
    <t>Бондаренко Владимир Иванович</t>
  </si>
  <si>
    <t>Самородов</t>
  </si>
  <si>
    <t>Абу Махади Мохаммед Ибрагим</t>
  </si>
  <si>
    <t>Садовников Алексей Владимирович(Рошка Александр Николаевич)</t>
  </si>
  <si>
    <t>Шептухина Александра Борисовна</t>
  </si>
  <si>
    <t>Степанова Марина Николаевна (Артем)</t>
  </si>
  <si>
    <t>Лайпанов Рустам Сеитбиевич</t>
  </si>
  <si>
    <t>Финогин Сергей Александрович</t>
  </si>
  <si>
    <t>Шелухина Мария Сергеевна</t>
  </si>
  <si>
    <t>Хрупало Николай Алексеевич (118+120)</t>
  </si>
  <si>
    <t>Моисеев Андрей Валентинович</t>
  </si>
  <si>
    <t>Трыкин Евгений Викторович</t>
  </si>
  <si>
    <t>Сломов Константин Витальевич</t>
  </si>
  <si>
    <t>Ли Наталья Сергеевна</t>
  </si>
  <si>
    <t>Горячев Дмитрий Николаевич</t>
  </si>
  <si>
    <t>Захаров Михаил Сергеевич</t>
  </si>
  <si>
    <t>Месхидзе Оксана Валерьевна</t>
  </si>
  <si>
    <t>Лапшин Сергей Николаевич</t>
  </si>
  <si>
    <t>Захаренкова Светлана Евгеньевна</t>
  </si>
  <si>
    <t>Леськов Олег Петрович</t>
  </si>
  <si>
    <t>Лунёв Денис Александрович</t>
  </si>
  <si>
    <t>Бурдух Юрие</t>
  </si>
  <si>
    <t>Байбикова Рузалия Равилевна / Байбикова Руфия Равилевна</t>
  </si>
  <si>
    <t>Амплеева Мария Александровна</t>
  </si>
  <si>
    <t>Корчинская Ирина Анатольевна</t>
  </si>
  <si>
    <t>Бирюков Александр Сергеевич</t>
  </si>
  <si>
    <t>Безменова Татьяна Игоревна</t>
  </si>
  <si>
    <t>Кудрявцева Наталья Викторовна</t>
  </si>
  <si>
    <t>Новикова Светлана Владимировна (Анатолий)</t>
  </si>
  <si>
    <t>Янковская Яна Валерьевна</t>
  </si>
  <si>
    <t>Мирошниченко Екатерина Олеговна</t>
  </si>
  <si>
    <t>Лебедева Елена Александровна</t>
  </si>
  <si>
    <t>Виртилецкий Денис Вячеславович</t>
  </si>
  <si>
    <t>Пономарева Олеся Сергеевна</t>
  </si>
  <si>
    <t>Олег (Гусев Николай Михайлович — был)</t>
  </si>
  <si>
    <t>Высоких Антон Маркович</t>
  </si>
  <si>
    <t>Васильцова Елена Владимировна</t>
  </si>
  <si>
    <t>Лебедев Андрей Анатольевич</t>
  </si>
  <si>
    <t>Сидельникова Ольга Петровна</t>
  </si>
  <si>
    <t>Козловский Алексей Гаврилович</t>
  </si>
  <si>
    <t>Пузанова Екатерина Вячеславовна</t>
  </si>
  <si>
    <t>Салопаева Татьяна Сергеевна</t>
  </si>
  <si>
    <t>Данильянц Юрий Константинович</t>
  </si>
  <si>
    <t>Рудая Наталья Викторовна</t>
  </si>
  <si>
    <t>Родичева Наталья Николаевна - Завилевская Е.И. ???</t>
  </si>
  <si>
    <t>Куликова Наталья Александровна</t>
  </si>
  <si>
    <t>Ратников Алексей Сергеевич</t>
  </si>
  <si>
    <t>Вольский Андрей Юрьевич</t>
  </si>
  <si>
    <t>Кондрашов Роман Вячеславович</t>
  </si>
  <si>
    <t>Антипова Жанна Михайловна</t>
  </si>
  <si>
    <t>Бугрова Вероника Артуровна</t>
  </si>
  <si>
    <t>Жирная Татьяна Сергеевна</t>
  </si>
  <si>
    <t>Белов Семён Иванович</t>
  </si>
  <si>
    <t>Коваленко Ирина Леонидовна</t>
  </si>
  <si>
    <t>Тимофеева Татьяна Александровна (Денис)</t>
  </si>
  <si>
    <t>Ларионова Наталья Владимировна</t>
  </si>
  <si>
    <t>Косенков Степан Фед-ч(Галактионова)</t>
  </si>
  <si>
    <t>Афян Сасун Аркадиевич</t>
  </si>
  <si>
    <t>Харинкина Танзиля Гарафутдиновна</t>
  </si>
  <si>
    <t>Алексеев Андрей Олегович</t>
  </si>
  <si>
    <t>Брылёв Андрей Вячеславович</t>
  </si>
  <si>
    <t>Крупник Андрей Валерьевич</t>
  </si>
  <si>
    <t>Абушаев Роман Шамильевич</t>
  </si>
  <si>
    <t>Малов Алексей Викторович</t>
  </si>
  <si>
    <t>Коновальцев Олег Серафимович</t>
  </si>
  <si>
    <t>Мельников Михаил Вячеславович / Диденко</t>
  </si>
  <si>
    <t>Пахарева Ольга Александровна (Дмитрий)</t>
  </si>
  <si>
    <t>Хрупало Николай Алексеевич</t>
  </si>
  <si>
    <t>Сысоев Евгений Анатольевич</t>
  </si>
  <si>
    <t>Шустов Василий Александрович</t>
  </si>
  <si>
    <t>Яшин Евгений Иванович</t>
  </si>
  <si>
    <t>Петункин Игорь Минович</t>
  </si>
  <si>
    <t>Казымов Горхмаз Гамид/Лавренчук Александр Владиславович</t>
  </si>
  <si>
    <t>Колесов Вадим Владимирович</t>
  </si>
  <si>
    <t>Колышкина Александра Сергеевна</t>
  </si>
  <si>
    <t>Афанасьева Злата Сергеевна</t>
  </si>
  <si>
    <t>Евглевская Ольга Борисовна</t>
  </si>
  <si>
    <t>Кондратьева Юлия Викторовна</t>
  </si>
  <si>
    <t>Маслова Валентина Петровна</t>
  </si>
  <si>
    <t>Марковнина Светлана Викторовна</t>
  </si>
  <si>
    <t>Десюкова Марина Александровна</t>
  </si>
  <si>
    <t>Саргсян Оганнес Ншанович</t>
  </si>
  <si>
    <t>Ахромеев Андрей Владимирович</t>
  </si>
  <si>
    <t>Сидоров Александр Юрьевич</t>
  </si>
  <si>
    <t>Трубченко Петр Александрович</t>
  </si>
  <si>
    <t>Ловыгина Татьяна Александровна</t>
  </si>
  <si>
    <t>Олейникова Евгения Александровна</t>
  </si>
  <si>
    <t>Гордейчик Игорь Борисович</t>
  </si>
  <si>
    <t>Федорова Юлия Владимировна</t>
  </si>
  <si>
    <t>Бенгя Владимир Михайлович (Диана)</t>
  </si>
  <si>
    <t>Новикова Наталья Петровна</t>
  </si>
  <si>
    <t>Матвеев Денис Львович</t>
  </si>
  <si>
    <t>Кудревцев Евгений Александрович</t>
  </si>
  <si>
    <t>Каляникова Наталья Сергеевна</t>
  </si>
  <si>
    <t>Фомин Игорь Анатольевич</t>
  </si>
  <si>
    <t>Сысоев Семен Евгеньевич</t>
  </si>
  <si>
    <t>Иванов Владимир Николаевич</t>
  </si>
  <si>
    <t>Буланова Лилия Михайловна</t>
  </si>
  <si>
    <t>Маркова Тамара Ивановна</t>
  </si>
  <si>
    <t>Беляков Виктор Михайлович</t>
  </si>
  <si>
    <t>Суркова Татьяна Александровна</t>
  </si>
  <si>
    <t>Закревская Марина Владимировна</t>
  </si>
  <si>
    <t>Двойрина Юлия Владимировна</t>
  </si>
  <si>
    <t>Осадчев Константин Владимирович</t>
  </si>
  <si>
    <t>Солодкий Дмитрий Павлович</t>
  </si>
  <si>
    <t>Косенкова Елизавета Евгеньевна</t>
  </si>
  <si>
    <t>Валеев Артур Рашидович</t>
  </si>
  <si>
    <t>Кондратюк Наталья Петровна 1/2,  Соболев Олег Юрьевич 1/2</t>
  </si>
  <si>
    <t>Чернявская Оксана Юрьевна</t>
  </si>
  <si>
    <t>Красникова Раиса Михайловна</t>
  </si>
  <si>
    <t>Губарева Татьяна Григорьевна</t>
  </si>
  <si>
    <t>Молчанова Ирина Владимировна</t>
  </si>
  <si>
    <t>Сазонов Сергей Александрович - Диденко Оксана Владимировна</t>
  </si>
  <si>
    <t>Кондрашов Сергей Вячеславович//Балыкин Александр Иванович</t>
  </si>
  <si>
    <t>Лопухинова Надежда Михайловна</t>
  </si>
  <si>
    <t>Жарикова Светлана Юрьевна</t>
  </si>
  <si>
    <t>Поликарпова Наталья Дмитриевна</t>
  </si>
  <si>
    <t>Иванова Светлана Сергеевна</t>
  </si>
  <si>
    <t>Тарасенко Анатолий Семенович</t>
  </si>
  <si>
    <t>Сергиенко Николай Михайлович</t>
  </si>
  <si>
    <t>Горбунов Максим Николаевич</t>
  </si>
  <si>
    <t>Лещёва Ольга Владимировна</t>
  </si>
  <si>
    <t>Заручинский Вячеслав Владимирович</t>
  </si>
  <si>
    <t>Севрюгина Ольга Викторовна</t>
  </si>
  <si>
    <t>Серебряков Игорь Васильевич</t>
  </si>
  <si>
    <t>Анисимова Елена Анатольевна</t>
  </si>
  <si>
    <t>Шалинов Андрей Вадимович + уч. 97</t>
  </si>
  <si>
    <t>Епанчинцева Людмила Филипповна</t>
  </si>
  <si>
    <t>Нормуротов Анваржон Абдирайимович</t>
  </si>
  <si>
    <t>Аксенов Дмитрий Викторович</t>
  </si>
  <si>
    <t>Ершова Виктория Львовна</t>
  </si>
  <si>
    <t>Полякова Марина Александровна</t>
  </si>
  <si>
    <t>Щербаков Павел Евгеньевич</t>
  </si>
  <si>
    <t>Сафронова Наталья Михайловна (у Дедков Илья Егорьевич купила)</t>
  </si>
  <si>
    <t>Никифоров Андрей Леонидович</t>
  </si>
  <si>
    <t>Маркина Людмила Николаевна, Марина</t>
  </si>
  <si>
    <t>Катушкин Роман Юрьевич</t>
  </si>
  <si>
    <t>Пикалёва Алла Григорьевна (Юрий)</t>
  </si>
  <si>
    <t>Щербакова Татьяна Дмитриевна</t>
  </si>
  <si>
    <t>Заборская Светлана Анатольевна (Андрей)</t>
  </si>
  <si>
    <t>Мурадова Альбина Сергеевна</t>
  </si>
  <si>
    <t>Анисимова (Корнеева) Татьяна Николаевна</t>
  </si>
  <si>
    <t>Безбородова Людмила Михайловна</t>
  </si>
  <si>
    <t>Васильев Николай Владимирович</t>
  </si>
  <si>
    <t>Дубов Александр Сергеевич</t>
  </si>
  <si>
    <t>Хан Виталий Борисович</t>
  </si>
  <si>
    <t>Старостин Виктор Вячеславович</t>
  </si>
  <si>
    <t>Стрелков Николай Валентинович</t>
  </si>
  <si>
    <t>Фомин Андрей Анатольевич</t>
  </si>
  <si>
    <t>Денисов Сергей Александрович</t>
  </si>
  <si>
    <t>Пархачева Эльвира Валентиновна (Алксандр)</t>
  </si>
  <si>
    <t>Горбунов Владимир Александрович</t>
  </si>
  <si>
    <t>Стрелков Андрей Вячеславович</t>
  </si>
  <si>
    <t>Решетов Владимир Геннадьевич</t>
  </si>
  <si>
    <t>Носикова Мария Леонидовна</t>
  </si>
  <si>
    <t>Сёмин Александр Иванович</t>
  </si>
  <si>
    <t>Милишенко Надежда Ивановна</t>
  </si>
  <si>
    <t>Катушкин Роман Юрьевич//Валеев Артур Рашидович</t>
  </si>
  <si>
    <t>Носикова Александра Васильевна</t>
  </si>
  <si>
    <t>Асташкин Павел Александрович(продал???)</t>
  </si>
  <si>
    <t>Бадирьян Тамара Викторовна</t>
  </si>
  <si>
    <t>Прохоров Владимир Михайлович</t>
  </si>
  <si>
    <t>Евсеев Александр Сергеевич</t>
  </si>
  <si>
    <t>Блинков Анатолий Сергеевич</t>
  </si>
  <si>
    <t>Попова Нина Ивановна</t>
  </si>
  <si>
    <t>Водянова Ольга Александровна</t>
  </si>
  <si>
    <t>Петрик Наталья Вячеславовна(ПродалаУстинова Ирина)</t>
  </si>
  <si>
    <t>Дидушко Денис Васильевич (Василий)</t>
  </si>
  <si>
    <t>Якушина Любовь Викторовна</t>
  </si>
  <si>
    <t>Зиннатов Рафаэль Шакурович</t>
  </si>
  <si>
    <t>Соколова Ирина Анатольевна</t>
  </si>
  <si>
    <t>Марков Максим Юрьевич</t>
  </si>
  <si>
    <t>Якиманский Александр Александрович</t>
  </si>
  <si>
    <t>Кашичкин Александр Борисович</t>
  </si>
  <si>
    <t>Куликов Александр Владимирович</t>
  </si>
  <si>
    <t>Мирошниченко Андрей Иванович Захарова Елена Александровна</t>
  </si>
  <si>
    <t>Кикоть Наталья Петровна (Андрей)</t>
  </si>
  <si>
    <t>Колыгина Нина Николаевна</t>
  </si>
  <si>
    <t>Кононенко Алла Николаевна (Александр)</t>
  </si>
  <si>
    <t>Андреева Любовь Ивановна(у Севастьянова)</t>
  </si>
  <si>
    <t>Еременко Виктор Александрович (Валентина)</t>
  </si>
  <si>
    <t>Хачатрян Алла Самвеловна</t>
  </si>
  <si>
    <t>Смирнов Максим Анатольевич, Светлана</t>
  </si>
  <si>
    <t>Модин Игорь Николаевич</t>
  </si>
  <si>
    <t>Суворов Сергей Анатольевич</t>
  </si>
  <si>
    <t>Денисов Дмитрий Алексеевич</t>
  </si>
  <si>
    <t>Яструб Валерий Викторович</t>
  </si>
  <si>
    <t>Кириенко Раиса Федоровна</t>
  </si>
  <si>
    <t>Жигунов Юрий Александрович</t>
  </si>
  <si>
    <t>Бранцова Татьяна Валерьевна</t>
  </si>
  <si>
    <t>Спивак Сергей Николаевич</t>
  </si>
  <si>
    <t>Волгушев Дмитрий Геннадиевич</t>
  </si>
  <si>
    <t>Розова Татьяна Викторовна</t>
  </si>
  <si>
    <t>Фисенко Вадим Петрович</t>
  </si>
  <si>
    <t>Бельская Светлана Александровна (Владимир)</t>
  </si>
  <si>
    <t>Бельский Владимир Владимирович (Светлана)</t>
  </si>
  <si>
    <t>Лунева Ольга Петровна</t>
  </si>
  <si>
    <t>Петров Борис Викторович</t>
  </si>
  <si>
    <t>Широков Евгений Александрович</t>
  </si>
  <si>
    <t>Канышкина Юлия Юрьевна</t>
  </si>
  <si>
    <t>Кривой Владимир Аркадьевич</t>
  </si>
  <si>
    <t>Федорова Наталья Владимировна</t>
  </si>
  <si>
    <t>Петрова Елена Николаевна</t>
  </si>
  <si>
    <t>Хайлов Алексей Анатольевич</t>
  </si>
  <si>
    <t>Маргиева Марина Евгеньевна</t>
  </si>
  <si>
    <t>Рыжов Андрей Николаевич</t>
  </si>
  <si>
    <t>Бондарев Станислав Дмитриевич</t>
  </si>
  <si>
    <t>Хаустова Люция Егоровна</t>
  </si>
  <si>
    <t>Семенова Рима Прановна</t>
  </si>
  <si>
    <t>Белоглазова Людмила Ивановна</t>
  </si>
  <si>
    <t>Елисеев Сергей Вячеславович</t>
  </si>
  <si>
    <t>Просянов Александр Александрович</t>
  </si>
  <si>
    <t>Тюленев Вячеслав Рудольфович</t>
  </si>
  <si>
    <t>Маслов Александр Александрович</t>
  </si>
  <si>
    <t>Сиротин Дмитрий Борисович (Приставалова)</t>
  </si>
  <si>
    <t>Постернак Татьяна Николаевна</t>
  </si>
  <si>
    <t>Шорахматов Мухаммадхуджа Замшоевич</t>
  </si>
  <si>
    <t>Шалинов Андрей Вадимович</t>
  </si>
  <si>
    <t>Острикова Наталья Львовна</t>
  </si>
  <si>
    <t>Рощина Ирина Михайловна</t>
  </si>
  <si>
    <t>Володина Инна Александровна</t>
  </si>
  <si>
    <t>Ермолаева Виктория Александровна</t>
  </si>
  <si>
    <t>Устинов Федор Валентинович(Петрик)</t>
  </si>
  <si>
    <t>Серкин Сергей Львовович</t>
  </si>
  <si>
    <t>Васильева Ольга Александровна</t>
  </si>
  <si>
    <t>Степанов Валерий Владимирович</t>
  </si>
  <si>
    <t>Савина Нина Ивановна</t>
  </si>
  <si>
    <t>Ермошина Татьяна Евгеньевна (Владимир)</t>
  </si>
  <si>
    <t>Казарин Сергей Викторович</t>
  </si>
  <si>
    <t>Черешнева Виктория Викторовна</t>
  </si>
  <si>
    <t>Рыбалкин Андрей Сергеевич</t>
  </si>
  <si>
    <t>Мудрак Владимир Григорьевич (Марина)</t>
  </si>
  <si>
    <t>Шурдук Лариса Анатольевна (Игорь)</t>
  </si>
  <si>
    <t>Быданцева Нина Юрьевна</t>
  </si>
  <si>
    <t>Новиков Виктор Викторович</t>
  </si>
  <si>
    <t>Шабунина Светлана Николаевна</t>
  </si>
  <si>
    <t>Темникова Елена Станиславовна</t>
  </si>
  <si>
    <t>Ермакова Татьяна Викторовна</t>
  </si>
  <si>
    <t>Нефедов Михаил Владимирович</t>
  </si>
  <si>
    <t>Элефтерова Евгения Викторовна (Михаил)</t>
  </si>
  <si>
    <t>Недосенко Татьяна Сергеевна (Олег)</t>
  </si>
  <si>
    <t>Кожемякин Сергей Владимирович</t>
  </si>
  <si>
    <t>Иванов Денис Сильвестрович</t>
  </si>
  <si>
    <t>Короткевич Наталья Владимировна</t>
  </si>
  <si>
    <t>Фомичев Александр Петрович</t>
  </si>
  <si>
    <t>Кулиш Сергей Александрович</t>
  </si>
  <si>
    <t>Маслов Андрей Геннадьевич (1/2)                 Щербакова Надежда Михайловна (1/2)</t>
  </si>
  <si>
    <t>Александров Владимир Александрович</t>
  </si>
  <si>
    <t>Дорошенко Владимир Алексеевич</t>
  </si>
  <si>
    <t>Виноградова Наталья Дмитриевна (Николай)</t>
  </si>
  <si>
    <t>Решетов Владимир Генадьевич</t>
  </si>
  <si>
    <t>Бондарь Василий Дмитриевич</t>
  </si>
  <si>
    <t>Чикачёв Сергей Иванович</t>
  </si>
  <si>
    <t>Тадлов Виталий Петрович</t>
  </si>
  <si>
    <t>Иваненко Петр Олегович</t>
  </si>
  <si>
    <t>Толкова Елена Анатольевна (Олег)</t>
  </si>
  <si>
    <t>Киеня Валентина Александровна (Анатолий)</t>
  </si>
  <si>
    <t>Вершинина Елена Анатольевна</t>
  </si>
  <si>
    <t>Давыдова Анна Сергеевна</t>
  </si>
  <si>
    <t>Науменко Дмитрий Александрович</t>
  </si>
  <si>
    <t>Янковская Елена Александровна</t>
  </si>
  <si>
    <t>Будаев Андрей Анатольевич</t>
  </si>
  <si>
    <t>Гусева Светлана Григорьевна</t>
  </si>
  <si>
    <t>Гайкова (Дьякова) Мария Викторовна</t>
  </si>
  <si>
    <t>Горянов Михаил Андреевич</t>
  </si>
  <si>
    <t>Тимофеева Лариса Викторовна</t>
  </si>
  <si>
    <t>Чигрины Анна Анатольевна и Геннадий Иванович</t>
  </si>
  <si>
    <t>Ганин Александр Борисович</t>
  </si>
  <si>
    <t>Даточный Алексей Валерьевич</t>
  </si>
  <si>
    <t>Захарова Людмила Захаровна</t>
  </si>
  <si>
    <t>Фисенко Дмитрий Петрович</t>
  </si>
  <si>
    <t>Милоянин Алексей Леонидович</t>
  </si>
  <si>
    <t>Долги по членам правления</t>
  </si>
  <si>
    <t>прделагаю из этого списка выдрать</t>
  </si>
  <si>
    <t>Член правления</t>
  </si>
  <si>
    <t>Город</t>
  </si>
  <si>
    <t>(926)726-6624</t>
  </si>
  <si>
    <t>г. Высоковск</t>
  </si>
  <si>
    <t>(926)226-9654 (903)238-8436</t>
  </si>
  <si>
    <t>(925)051-6761 (967)079-1427</t>
  </si>
  <si>
    <t>д. Шипулино</t>
  </si>
  <si>
    <t>(915)434-3911 (916) 159-44-96</t>
  </si>
  <si>
    <t>(916)827-7559</t>
  </si>
  <si>
    <t>г. Зеленоград</t>
  </si>
  <si>
    <t>(916)493-5464</t>
  </si>
  <si>
    <t>г. Солнечногорск</t>
  </si>
  <si>
    <t>(903)236-8802    (903)116-4767</t>
  </si>
  <si>
    <t>(916) 114-5316 (916)870-9325 (967)299-8498</t>
  </si>
  <si>
    <t>г. Клин</t>
  </si>
  <si>
    <t>(905)526-3658  (925)116-5373</t>
  </si>
  <si>
    <t>(963)772-1491</t>
  </si>
  <si>
    <t>(905)583-5178</t>
  </si>
  <si>
    <t>(915)082-1357</t>
  </si>
  <si>
    <t>Это злостные неплательщики - те по кому есть города 100% вступали в партнерство</t>
  </si>
  <si>
    <t>(916) 605-8064</t>
  </si>
  <si>
    <t>г. Москва</t>
  </si>
  <si>
    <t>(926) 736-3311 (920) 814-1810</t>
  </si>
  <si>
    <t>Орловская область</t>
  </si>
  <si>
    <t>(925) 223-62-48</t>
  </si>
  <si>
    <t>(915) 119-5355</t>
  </si>
  <si>
    <t>г.Москва</t>
  </si>
  <si>
    <t>(351) 721-26-45, (495) 542-49-09, (925) 011-75-16</t>
  </si>
  <si>
    <t>(926)258-1065</t>
  </si>
  <si>
    <t>(964) 514 1642</t>
  </si>
  <si>
    <t>Норильск</t>
  </si>
  <si>
    <t>(926)353-2073 (499)141-8433</t>
  </si>
  <si>
    <t>(985)929-1070</t>
  </si>
  <si>
    <t>НП СЗУ "Высокое"</t>
  </si>
  <si>
    <t>Отчет по членским взносам за 2015-2016 гг</t>
  </si>
  <si>
    <t>Номер участка</t>
  </si>
  <si>
    <t>Кадастр. номер участка</t>
  </si>
  <si>
    <t>Расчеты по членским взносам</t>
  </si>
  <si>
    <t>Сцепка</t>
  </si>
  <si>
    <t>Дата вступления в НП СЗУ "Высокое"</t>
  </si>
  <si>
    <t>1-ый расчетный месяц</t>
  </si>
  <si>
    <t>Кол-во месяцев</t>
  </si>
  <si>
    <t>Сумма членских взносов, которые должны быть уплачены на 01.01.2016 г (исходя из кол-ва месяцев)</t>
  </si>
  <si>
    <t>Сумма оплаченных членских взносов на 01.11.2015</t>
  </si>
  <si>
    <t>Оплата членских взносов за декабрь 2015</t>
  </si>
  <si>
    <t>Остаток задолженности по членским взносам на 01.01.2016</t>
  </si>
  <si>
    <t>Остаток задолженности по членским взносам на 01.01.2017</t>
  </si>
  <si>
    <t>количество участков</t>
  </si>
  <si>
    <t>50:03:0070280:947</t>
  </si>
  <si>
    <t>50:03:0070280:905</t>
  </si>
  <si>
    <t>50:03:0070280:730</t>
  </si>
  <si>
    <t>50:03:0070280:850</t>
  </si>
  <si>
    <t>306-307</t>
  </si>
  <si>
    <t>50:03:0070280:997</t>
  </si>
  <si>
    <t>50:03:0070280:894</t>
  </si>
  <si>
    <t>50:03:0070280:731</t>
  </si>
  <si>
    <t>50:03:0070280:814</t>
  </si>
  <si>
    <t>50:03:0070280:973</t>
  </si>
  <si>
    <t>50:03:0070280:707</t>
  </si>
  <si>
    <t>50:03:0070280:701</t>
  </si>
  <si>
    <t>50:03:0070280:758</t>
  </si>
  <si>
    <t>50:03:0070280:761</t>
  </si>
  <si>
    <t>50:03:0070280:1021</t>
  </si>
  <si>
    <t>50:03:0070280:999</t>
  </si>
  <si>
    <t>50:03:0070280:888</t>
  </si>
  <si>
    <t>50:03:0070280:785</t>
  </si>
  <si>
    <t>50:03:0070280:802</t>
  </si>
  <si>
    <t>50:03:0070280:812</t>
  </si>
  <si>
    <t>50:03:0070280:897</t>
  </si>
  <si>
    <t>50:03:0070280:1002</t>
  </si>
  <si>
    <t>50:03:0070280:776</t>
  </si>
  <si>
    <t>50:03:0070280:983</t>
  </si>
  <si>
    <t>50:03:0070280:945</t>
  </si>
  <si>
    <t>50:03:0070280:966</t>
  </si>
  <si>
    <t>50:03:0070280:940</t>
  </si>
  <si>
    <t>50:03:0070280:704</t>
  </si>
  <si>
    <t>50:03:0070280:1024</t>
  </si>
  <si>
    <t>50:03:0070280:960</t>
  </si>
  <si>
    <t>50:03:0070280:951</t>
  </si>
  <si>
    <t>50:03:0070280:789</t>
  </si>
  <si>
    <t>50:03:0070280:1773</t>
  </si>
  <si>
    <t>50:03:0070280:835</t>
  </si>
  <si>
    <t>50:03:0070280:831</t>
  </si>
  <si>
    <t>50:03:0070280:986</t>
  </si>
  <si>
    <t>50:03:0070280:818</t>
  </si>
  <si>
    <t>50:03:0070280:797</t>
  </si>
  <si>
    <t>50:03:0070280:921</t>
  </si>
  <si>
    <t>50:03:0070280:919</t>
  </si>
  <si>
    <t>50:03:0070280:1009</t>
  </si>
  <si>
    <t>50:03:0070280:1010</t>
  </si>
  <si>
    <t>50:03:0070280:825</t>
  </si>
  <si>
    <t>50:03:0070280:1423</t>
  </si>
  <si>
    <t>50:03:0070280:798</t>
  </si>
  <si>
    <t>50:03:0070280:866</t>
  </si>
  <si>
    <t>50:03:0070280:972</t>
  </si>
  <si>
    <t>50:03:0070280:854</t>
  </si>
  <si>
    <t>50:03:0070280:987</t>
  </si>
  <si>
    <t>50:03:0070280:898</t>
  </si>
  <si>
    <t>50:03:0070280:907</t>
  </si>
  <si>
    <t>50:03:0070280:813</t>
  </si>
  <si>
    <t>50:03:0070280:961</t>
  </si>
  <si>
    <t>50:03:0070280:1019</t>
  </si>
  <si>
    <t>50:03:0070280:932</t>
  </si>
  <si>
    <t>50:03:0070280:1000</t>
  </si>
  <si>
    <t>50:03:0070280:781</t>
  </si>
  <si>
    <t>50:03:0070280:935</t>
  </si>
  <si>
    <t>50:03:0070280:860</t>
  </si>
  <si>
    <t>50:03:0070280:909</t>
  </si>
  <si>
    <t>50:03:0070280:780</t>
  </si>
  <si>
    <t>50:03:0070280:957</t>
  </si>
  <si>
    <t>50:03:0070280:1017</t>
  </si>
  <si>
    <t>71-72</t>
  </si>
  <si>
    <t>50:03:0070280:753</t>
  </si>
  <si>
    <t>50:03:0070280:875</t>
  </si>
  <si>
    <t>50:03:0070280:900</t>
  </si>
  <si>
    <t>50:03:0070280:782</t>
  </si>
  <si>
    <t>50:03:0070280:746</t>
  </si>
  <si>
    <t>50:03:0070280:969</t>
  </si>
  <si>
    <t>50:03:0070280:807</t>
  </si>
  <si>
    <t>50:03:0070280:1007</t>
  </si>
  <si>
    <t>50:03:0070280:822</t>
  </si>
  <si>
    <t>50:03:0070280:985</t>
  </si>
  <si>
    <t>50:03:0070280:975</t>
  </si>
  <si>
    <t>50:03:0070280:925</t>
  </si>
  <si>
    <t>50:03:0070280:760</t>
  </si>
  <si>
    <t>50:03:0070280:783</t>
  </si>
  <si>
    <t>50:03:0070280:726</t>
  </si>
  <si>
    <t>50:03:0070280:902</t>
  </si>
  <si>
    <t>50:03:0070280:968</t>
  </si>
  <si>
    <t>50:03:0070280:1428</t>
  </si>
  <si>
    <t>243-244</t>
  </si>
  <si>
    <t>50:03:0070280:736</t>
  </si>
  <si>
    <t>50:03:0070280:896</t>
  </si>
  <si>
    <t>50:03:0070280:788</t>
  </si>
  <si>
    <t>50:03:0070280:693</t>
  </si>
  <si>
    <t>50:03:0070280:841</t>
  </si>
  <si>
    <t>50:03:0070280:981</t>
  </si>
  <si>
    <t>50:03:0070280:937</t>
  </si>
  <si>
    <t>50:03:0070280:906</t>
  </si>
  <si>
    <t>50:03:0070280:790</t>
  </si>
  <si>
    <t>50:03:0070280:908</t>
  </si>
  <si>
    <t>50:03:0070280:703</t>
  </si>
  <si>
    <t>50:03:0070280:934</t>
  </si>
  <si>
    <t>50:03:0070280:697</t>
  </si>
  <si>
    <t>50:03:0070280:1026</t>
  </si>
  <si>
    <t>50:03:0070280:928</t>
  </si>
  <si>
    <t>50:03:0070280:709</t>
  </si>
  <si>
    <t>50:03:0070280:840</t>
  </si>
  <si>
    <t>50:03:0070280:778</t>
  </si>
  <si>
    <t>50:03:0070280:911</t>
  </si>
  <si>
    <t>50:03:0070280:1001</t>
  </si>
  <si>
    <t>50:03:0070280:912</t>
  </si>
  <si>
    <t>50:03:0070280:811</t>
  </si>
  <si>
    <t>50:03:0070280:742</t>
  </si>
  <si>
    <t>50:03:0070280:756</t>
  </si>
  <si>
    <t>50:03:0070280:817</t>
  </si>
  <si>
    <t>50:03:0070280:832</t>
  </si>
  <si>
    <t>50:03:0070280:1422</t>
  </si>
  <si>
    <t>50:03:0070280:895</t>
  </si>
  <si>
    <t>50:03:0070280:751</t>
  </si>
  <si>
    <t>50:03:0070280:863</t>
  </si>
  <si>
    <t>50:03:0070280:692</t>
  </si>
  <si>
    <t>50:03:0070280:958</t>
  </si>
  <si>
    <t>50:03:0070280:859</t>
  </si>
  <si>
    <t>50:03:0070280:718</t>
  </si>
  <si>
    <t>50:03:0070280:716</t>
  </si>
  <si>
    <t>50:03:0070280:725</t>
  </si>
  <si>
    <t>50:03:0070280:764</t>
  </si>
  <si>
    <t>50:03:0070280:1011</t>
  </si>
  <si>
    <t>50:03:0070280:882</t>
  </si>
  <si>
    <t>23.08.2011</t>
  </si>
  <si>
    <t>50:03:0070280:804</t>
  </si>
  <si>
    <t>50:03:0070280:711</t>
  </si>
  <si>
    <t>50:03:0070280:1008</t>
  </si>
  <si>
    <t>50:03:0070280:810</t>
  </si>
  <si>
    <t>50:03:0070280:808</t>
  </si>
  <si>
    <t>50:03:0070280:984</t>
  </si>
  <si>
    <t>50:03:0070280:869</t>
  </si>
  <si>
    <t>50:03:0070280:892</t>
  </si>
  <si>
    <t>50:03:0070280:851</t>
  </si>
  <si>
    <t>50:03:0070280:887</t>
  </si>
  <si>
    <t>50:03:0070280:772</t>
  </si>
  <si>
    <t>50:03:0070280:952</t>
  </si>
  <si>
    <t>50:03:0070280:933</t>
  </si>
  <si>
    <t>50:03:0070280:829</t>
  </si>
  <si>
    <t>50:03:0070280:724</t>
  </si>
  <si>
    <t>50:03:0070280:927</t>
  </si>
  <si>
    <t>50:03:0070280:886</t>
  </si>
  <si>
    <t>50:03:0070280:936</t>
  </si>
  <si>
    <t>50:03:0070280:838</t>
  </si>
  <si>
    <t>50:03:0070280:837</t>
  </si>
  <si>
    <t>50:03:0070280:963</t>
  </si>
  <si>
    <t>50:03:0070280:959</t>
  </si>
  <si>
    <t>50:03:0070280:791</t>
  </si>
  <si>
    <t>50:03:0070280:834</t>
  </si>
  <si>
    <t>50:03:0070280:700</t>
  </si>
  <si>
    <t>50:03:0070280:926</t>
  </si>
  <si>
    <t>50:03:0070280:943</t>
  </si>
  <si>
    <t>50:03:0070280:941</t>
  </si>
  <si>
    <t>50:03:0070280:942</t>
  </si>
  <si>
    <t>50:03:0070280:1465</t>
  </si>
  <si>
    <t>50:03:0070280:773</t>
  </si>
  <si>
    <t>50:03:0070280:891</t>
  </si>
  <si>
    <t>50:03:0070280:1020</t>
  </si>
  <si>
    <t>50:03:0070280:775</t>
  </si>
  <si>
    <t>50:03:0070280:769</t>
  </si>
  <si>
    <t>50:03:0070280:904</t>
  </si>
  <si>
    <t>50:03:0070280:702</t>
  </si>
  <si>
    <t>50:03:0070280:714</t>
  </si>
  <si>
    <t>50:03:0070280:865</t>
  </si>
  <si>
    <t>50:03:0070280:717</t>
  </si>
  <si>
    <t>50:03:0070280:706</t>
  </si>
  <si>
    <t>50:03:0070280:978</t>
  </si>
  <si>
    <t>50:03:0070280:800</t>
  </si>
  <si>
    <t>50:03:0070280:1651</t>
  </si>
  <si>
    <t>50:03:0070280:996</t>
  </si>
  <si>
    <t>50:03:0070280:733</t>
  </si>
  <si>
    <t>50:03:0070280:842</t>
  </si>
  <si>
    <t>50:03:0070280:914</t>
  </si>
  <si>
    <t>50:03:0070280:913</t>
  </si>
  <si>
    <t>50:03:0070280:843</t>
  </si>
  <si>
    <t>50:03:0070280:792</t>
  </si>
  <si>
    <t>50:03:0070280:836</t>
  </si>
  <si>
    <t>50:03:0070280:1022</t>
  </si>
  <si>
    <t>50:03:0070280:774</t>
  </si>
  <si>
    <t>50:03:0070280:767</t>
  </si>
  <si>
    <t>50:03:0070280:766</t>
  </si>
  <si>
    <t>50:03:0070280:994</t>
  </si>
  <si>
    <t>50:03:0070280:879</t>
  </si>
  <si>
    <t>50:03:0070280:901</t>
  </si>
  <si>
    <t>50:03:0070280:819</t>
  </si>
  <si>
    <t>50:03:0070280:867</t>
  </si>
  <si>
    <t>50:03:0070280:1006</t>
  </si>
  <si>
    <t>50:03:0070280:990</t>
  </si>
  <si>
    <t>50:03:0070280:849</t>
  </si>
  <si>
    <t>50:03:0070280:995</t>
  </si>
  <si>
    <t>50:03:0070280:826</t>
  </si>
  <si>
    <t>50:03:0070280:855</t>
  </si>
  <si>
    <t>50:03:0070280:803</t>
  </si>
  <si>
    <t>50:03:0070280:708</t>
  </si>
  <si>
    <t>50:03:0070280:880</t>
  </si>
  <si>
    <t>50:03:0070280:871</t>
  </si>
  <si>
    <t>50:03:0070280:955</t>
  </si>
  <si>
    <t>29_</t>
  </si>
  <si>
    <t>50:03:0070280:858</t>
  </si>
  <si>
    <t>50:03:0070280:903</t>
  </si>
  <si>
    <t>50:03:0070280:768</t>
  </si>
  <si>
    <t>50:03:0070280:915</t>
  </si>
  <si>
    <t>50:03:0070280:920</t>
  </si>
  <si>
    <t>50:03:0070280:1012</t>
  </si>
  <si>
    <t>50:03:0070280:762</t>
  </si>
  <si>
    <t>50:03:0070280:924</t>
  </si>
  <si>
    <t>50:03:0070280:944</t>
  </si>
  <si>
    <t>50:03:0070280:821</t>
  </si>
  <si>
    <t>50:03:0070280:763</t>
  </si>
  <si>
    <t>50:03:0070280:922</t>
  </si>
  <si>
    <t>50:03:0070280:741</t>
  </si>
  <si>
    <t>265-266</t>
  </si>
  <si>
    <t>50:03:0070280:738</t>
  </si>
  <si>
    <t>210-211</t>
  </si>
  <si>
    <t>50:03:0070280:1464</t>
  </si>
  <si>
    <t>50:03:0070280:885</t>
  </si>
  <si>
    <t>50:03:0070280:1031</t>
  </si>
  <si>
    <t>50:03:0070280:749</t>
  </si>
  <si>
    <t>50:03:0070280:750</t>
  </si>
  <si>
    <t>50:03:0070280:754</t>
  </si>
  <si>
    <t>50:03:0070280:830</t>
  </si>
  <si>
    <t>50:03:0070280:893</t>
  </si>
  <si>
    <t>50:03:0070280:721</t>
  </si>
  <si>
    <t>50:03:0070280:732</t>
  </si>
  <si>
    <t>50:03:0070280:722</t>
  </si>
  <si>
    <t>50:03:0070280:723</t>
  </si>
  <si>
    <t>50:03:0070280:1003</t>
  </si>
  <si>
    <t>50:03:0070280:976</t>
  </si>
  <si>
    <t>50:03:0070280:881</t>
  </si>
  <si>
    <t>290_</t>
  </si>
  <si>
    <t>50:03:0070280:779</t>
  </si>
  <si>
    <t>50:03:0070280:777</t>
  </si>
  <si>
    <t>50:03:0070280:839</t>
  </si>
  <si>
    <t>50:03:0070280:793</t>
  </si>
  <si>
    <t>50:03:0070280:923</t>
  </si>
  <si>
    <t>50:03:0070280:715</t>
  </si>
  <si>
    <t>50:03:0070280:743</t>
  </si>
  <si>
    <t>133-134</t>
  </si>
  <si>
    <t>50:03:0070280:979</t>
  </si>
  <si>
    <t>50:03:0070280:848</t>
  </si>
  <si>
    <t>50:03:0070280:816</t>
  </si>
  <si>
    <t>50:03:0070280:989</t>
  </si>
  <si>
    <t>50:03:0070280:870</t>
  </si>
  <si>
    <t>50:03:0070280:727</t>
  </si>
  <si>
    <t>50:03:0070280:771</t>
  </si>
  <si>
    <t>50:03:0070280:974</t>
  </si>
  <si>
    <t>50:03:0070280:917</t>
  </si>
  <si>
    <t>50:03:0070280:916</t>
  </si>
  <si>
    <t>50:03:0070280:745</t>
  </si>
  <si>
    <t>50:03:0070280:1004</t>
  </si>
  <si>
    <t>50:03:0070280:824</t>
  </si>
  <si>
    <t>51-52</t>
  </si>
  <si>
    <t>50:03:0070280:965</t>
  </si>
  <si>
    <t>50:03:0070280:970</t>
  </si>
  <si>
    <t>50:03:0070280:719</t>
  </si>
  <si>
    <t>50:03:0070280:765</t>
  </si>
  <si>
    <t>50:03:0070280:1018</t>
  </si>
  <si>
    <t>50:03:0070280:962</t>
  </si>
  <si>
    <t>50:03:0070280:971</t>
  </si>
  <si>
    <t>50:03:0070280:748</t>
  </si>
  <si>
    <t>50:03:0070280:770</t>
  </si>
  <si>
    <t>50:03:0070280:740</t>
  </si>
  <si>
    <t>50:03:0070280:739</t>
  </si>
  <si>
    <t>50:03:0070280:988</t>
  </si>
  <si>
    <t>73-74</t>
  </si>
  <si>
    <t>50:03:0070280:884</t>
  </si>
  <si>
    <t>50:03:0070280:828</t>
  </si>
  <si>
    <t>50:03:0070280:735</t>
  </si>
  <si>
    <t>50:03:0070280:890</t>
  </si>
  <si>
    <t>50:03:0070280:796</t>
  </si>
  <si>
    <t>50:03:0070280:956</t>
  </si>
  <si>
    <t>Петрик Наталья Вячеславовна</t>
  </si>
  <si>
    <t>50:03:0070280:857</t>
  </si>
  <si>
    <t>50:03:0070280:856</t>
  </si>
  <si>
    <t>142-143</t>
  </si>
  <si>
    <t>50:03:0070280:1413</t>
  </si>
  <si>
    <t>50:03:0070280:930</t>
  </si>
  <si>
    <t>50:03:0070280:931</t>
  </si>
  <si>
    <t>50:03:0070280:786</t>
  </si>
  <si>
    <t>50:03:0070280:787</t>
  </si>
  <si>
    <t>50:03:0070280:820</t>
  </si>
  <si>
    <t>50:03:0070280:712</t>
  </si>
  <si>
    <t>50:03:0070280:823</t>
  </si>
  <si>
    <t>50:03:0070280:744</t>
  </si>
  <si>
    <t>50:03:0070280:878</t>
  </si>
  <si>
    <t>50:03:0070280:734</t>
  </si>
  <si>
    <t>116+118+120</t>
  </si>
  <si>
    <t>50:03:0070280:1427</t>
  </si>
  <si>
    <t>50:03:0070280:918</t>
  </si>
  <si>
    <t>50:03:0070280:710</t>
  </si>
  <si>
    <t>50:03:0070280:747</t>
  </si>
  <si>
    <t>50:03:0070280:889</t>
  </si>
  <si>
    <t>50:03:0070280:868</t>
  </si>
  <si>
    <t>97+93</t>
  </si>
  <si>
    <t>50:03:0070280:827</t>
  </si>
  <si>
    <t>50:03:0070280:864</t>
  </si>
  <si>
    <t>50:03:0070280:752</t>
  </si>
  <si>
    <t>50:03:0070280:1013</t>
  </si>
  <si>
    <t>50:03:0070280:759</t>
  </si>
  <si>
    <t>50:03:0070280:861</t>
  </si>
  <si>
    <t>50:03:0070280:815</t>
  </si>
  <si>
    <t>50:03:0070280:799</t>
  </si>
  <si>
    <t>50:03:0070280:757</t>
  </si>
  <si>
    <t>50:03:0070280:899</t>
  </si>
  <si>
    <t>50:03:0070280:698</t>
  </si>
  <si>
    <t>50:03:0070280:794</t>
  </si>
  <si>
    <t>50:03:0070280:705</t>
  </si>
  <si>
    <t>50:03:0070280:964</t>
  </si>
  <si>
    <t>50:03:0070280:1016</t>
  </si>
  <si>
    <t>50:03:0070280:696</t>
  </si>
  <si>
    <t>50:03:0070280:910</t>
  </si>
  <si>
    <t>оплата членских взносов за январь 2016</t>
  </si>
  <si>
    <t>оплата членских взносов зафевраль 2016</t>
  </si>
  <si>
    <t>оплата членских взносов за март 2016</t>
  </si>
  <si>
    <t>оплата членских взносов за апрель 2016</t>
  </si>
  <si>
    <t>оплата членских взносов за май 2016</t>
  </si>
  <si>
    <t>оплата членских взносов за июнь 2016</t>
  </si>
  <si>
    <t>оплата членских взносов за июль2016</t>
  </si>
  <si>
    <t>оплата членских взносов за август 2016</t>
  </si>
  <si>
    <t>оплата членских взносов за сентябрь 2016</t>
  </si>
  <si>
    <t>оплата членских взносов за октябрь 2016</t>
  </si>
  <si>
    <t>оплата членских взносов за ноябрь 2016</t>
  </si>
  <si>
    <t>оплата членских взносов за декабрь 2016</t>
  </si>
  <si>
    <t>ИТОГО оплачено членских взносов за 2016 г.</t>
  </si>
  <si>
    <t>Количество месяцев 2016</t>
  </si>
  <si>
    <t>Сумма начисленных членских взносов в 2016 г.</t>
  </si>
  <si>
    <t>Задолженность  на 01.01.2017</t>
  </si>
  <si>
    <t>Начислено членскх взносов за январь 2017</t>
  </si>
  <si>
    <t>Оплата членских взносов в январе 2017</t>
  </si>
  <si>
    <t>Задолженность по членским взносам на 01.02.2017</t>
  </si>
  <si>
    <t>Начислено членких взносов за февраль 2017</t>
  </si>
  <si>
    <t>Оплата членских взносов в февраль 2017</t>
  </si>
  <si>
    <t>Задолженность по членским взносам на 01.03.2017</t>
  </si>
  <si>
    <t>Начислено членких взносов за март 2017</t>
  </si>
  <si>
    <t>Оплата членских взносов в марте 2017</t>
  </si>
  <si>
    <t>Задолженность по членским взносам на 01.04.2017</t>
  </si>
  <si>
    <t>Начислено членких взносов за апрель 2017</t>
  </si>
  <si>
    <t>Оплата членских взносов в апреле 2017</t>
  </si>
  <si>
    <t>Задолженность по членским взносам на 01.05.2017</t>
  </si>
  <si>
    <t>290___</t>
  </si>
  <si>
    <t>Устинов Федор Валентинович</t>
  </si>
  <si>
    <t>номер</t>
  </si>
  <si>
    <t>246-247</t>
  </si>
  <si>
    <t>сцепка</t>
  </si>
  <si>
    <t>&gt;1</t>
  </si>
  <si>
    <t>306-307-210-211</t>
  </si>
  <si>
    <t>(пусто)</t>
  </si>
  <si>
    <t>Итог Результат</t>
  </si>
  <si>
    <t>ВОЛГЕЩЕВ ДМИТРИЙЦ ГЕННАДЬЕВИЧ</t>
  </si>
  <si>
    <t>ИВАНОВ СЕРГЕЙ АЛЕКСАНДРОВИЧ</t>
  </si>
  <si>
    <t>ЛЕСКОВСКИЙ АНАТОЛИЙ ВИТАЛЬЕВИЧ</t>
  </si>
  <si>
    <t>камышкина юлия юрьевна</t>
  </si>
  <si>
    <t>план</t>
  </si>
  <si>
    <t>Данные</t>
  </si>
  <si>
    <t>Количество - 01.01.2016</t>
  </si>
  <si>
    <t>Количество - 01.02.2016</t>
  </si>
  <si>
    <t>Количество - 01.03.2016</t>
  </si>
  <si>
    <t>Количество - 01.04.2016</t>
  </si>
  <si>
    <t>Количество - 01.05.2016</t>
  </si>
  <si>
    <t>Количество - 01.06.2016</t>
  </si>
  <si>
    <t>#Н/Д</t>
  </si>
  <si>
    <t>- все -</t>
  </si>
</sst>
</file>

<file path=xl/styles.xml><?xml version="1.0" encoding="utf-8"?>
<styleSheet xmlns="http://schemas.openxmlformats.org/spreadsheetml/2006/main">
  <numFmts count="7">
    <numFmt formatCode="GENERAL" numFmtId="164"/>
    <numFmt formatCode="#,##0" numFmtId="165"/>
    <numFmt formatCode="#,##0.00" numFmtId="166"/>
    <numFmt formatCode="DD/MM/YYYY" numFmtId="167"/>
    <numFmt formatCode="_-* #,##0.00,_₽_-;\-* #,##0.00,_₽_-;_-* \-??\ _₽_-;_-@_-" numFmtId="168"/>
    <numFmt formatCode="DD/MM/YYYY" numFmtId="169"/>
    <numFmt formatCode="#,##0.00" numFmtId="170"/>
  </numFmts>
  <fonts count="23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  <font>
      <b val="true"/>
      <sz val="9"/>
      <color rgb="FF000000"/>
      <name val="Tahoma"/>
      <family val="2"/>
      <charset val="204"/>
    </font>
    <font>
      <sz val="9"/>
      <color rgb="FF000000"/>
      <name val="Tahoma"/>
      <family val="2"/>
      <charset val="204"/>
    </font>
    <font>
      <b val="true"/>
      <sz val="11"/>
      <color rgb="FFFF0000"/>
      <name val="Calibri"/>
      <family val="2"/>
      <charset val="204"/>
    </font>
    <font>
      <sz val="11"/>
      <color rgb="FFFFFFFF"/>
      <name val="Calibri"/>
      <family val="2"/>
      <charset val="204"/>
    </font>
    <font>
      <b val="true"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 val="true"/>
      <i val="true"/>
      <sz val="10"/>
      <name val="Times New Roman"/>
      <family val="1"/>
      <charset val="204"/>
    </font>
    <font>
      <i val="true"/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color rgb="FF000000"/>
      <name val="Times New Roman"/>
      <family val="1"/>
      <charset val="204"/>
    </font>
    <font>
      <b val="true"/>
      <i val="true"/>
      <sz val="10"/>
      <color rgb="FF000000"/>
      <name val="Times New Roman"/>
      <family val="1"/>
      <charset val="204"/>
    </font>
    <font>
      <b val="true"/>
      <i val="true"/>
      <sz val="11"/>
      <color rgb="FF000000"/>
      <name val="Times New Roman"/>
      <family val="1"/>
      <charset val="204"/>
    </font>
    <font>
      <b val="true"/>
      <sz val="8"/>
      <color rgb="FF000000"/>
      <name val="Tahoma"/>
      <family val="2"/>
      <charset val="204"/>
    </font>
    <font>
      <sz val="8"/>
      <color rgb="FF000000"/>
      <name val="Tahoma"/>
      <family val="2"/>
      <charset val="204"/>
    </font>
    <font>
      <b val="true"/>
      <sz val="10"/>
      <name val="Times New Roman"/>
      <family val="1"/>
      <charset val="204"/>
    </font>
    <font>
      <sz val="11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0000"/>
        <bgColor rgb="FFC00000"/>
      </patternFill>
    </fill>
    <fill>
      <patternFill patternType="solid">
        <fgColor rgb="FFFFC000"/>
        <bgColor rgb="FFFF9900"/>
      </patternFill>
    </fill>
    <fill>
      <patternFill patternType="solid">
        <fgColor rgb="FF00B050"/>
        <bgColor rgb="FF008080"/>
      </patternFill>
    </fill>
    <fill>
      <patternFill patternType="solid">
        <fgColor rgb="FFDCE6F2"/>
        <bgColor rgb="FFD9D9D9"/>
      </patternFill>
    </fill>
    <fill>
      <patternFill patternType="solid">
        <fgColor rgb="FFFFFF00"/>
        <bgColor rgb="FFFFFF00"/>
      </patternFill>
    </fill>
    <fill>
      <patternFill patternType="solid">
        <fgColor rgb="FFD9D9D9"/>
        <bgColor rgb="FFDCE6F2"/>
      </patternFill>
    </fill>
    <fill>
      <patternFill patternType="solid">
        <fgColor rgb="FF92D050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C00000"/>
        <bgColor rgb="FFFF0000"/>
      </patternFill>
    </fill>
  </fills>
  <borders count="34">
    <border diagonalDown="false" diagonalUp="false">
      <left/>
      <right/>
      <top/>
      <bottom/>
      <diagonal/>
    </border>
    <border diagonalDown="false" diagonalUp="false">
      <left/>
      <right/>
      <top/>
      <bottom style="thin">
        <color rgb="FF95B3D7"/>
      </bottom>
      <diagonal/>
    </border>
    <border diagonalDown="false" diagonalUp="false">
      <left/>
      <right/>
      <top style="thin">
        <color rgb="FF95B3D7"/>
      </top>
      <bottom/>
      <diagonal/>
    </border>
    <border diagonalDown="false" diagonalUp="false">
      <left/>
      <right/>
      <top/>
      <bottom style="thin">
        <color rgb="FFDCE6F2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thin"/>
      <top/>
      <bottom/>
      <diagonal/>
    </border>
    <border diagonalDown="false" diagonalUp="false">
      <left style="thick"/>
      <right style="medium"/>
      <top style="thick"/>
      <bottom style="medium"/>
      <diagonal/>
    </border>
    <border diagonalDown="false" diagonalUp="false">
      <left style="medium"/>
      <right style="thick"/>
      <top style="thick"/>
      <bottom style="medium"/>
      <diagonal/>
    </border>
    <border diagonalDown="false" diagonalUp="false">
      <left style="thick"/>
      <right style="medium"/>
      <top style="medium"/>
      <bottom/>
      <diagonal/>
    </border>
    <border diagonalDown="false" diagonalUp="false">
      <left style="medium"/>
      <right style="thick"/>
      <top style="medium"/>
      <bottom/>
      <diagonal/>
    </border>
    <border diagonalDown="false" diagonalUp="false">
      <left style="thick"/>
      <right style="medium"/>
      <top/>
      <bottom/>
      <diagonal/>
    </border>
    <border diagonalDown="false" diagonalUp="false">
      <left style="medium"/>
      <right style="thick"/>
      <top/>
      <bottom/>
      <diagonal/>
    </border>
    <border diagonalDown="false" diagonalUp="false">
      <left/>
      <right/>
      <top style="thin">
        <color rgb="FFDCE6F2"/>
      </top>
      <bottom style="thin">
        <color rgb="FFDCE6F2"/>
      </bottom>
      <diagonal/>
    </border>
    <border diagonalDown="false" diagonalUp="false">
      <left style="medium"/>
      <right style="thick"/>
      <top/>
      <bottom style="medium"/>
      <diagonal/>
    </border>
    <border diagonalDown="false" diagonalUp="false">
      <left style="thick"/>
      <right style="medium"/>
      <top/>
      <bottom style="thick"/>
      <diagonal/>
    </border>
    <border diagonalDown="false" diagonalUp="false">
      <left style="medium"/>
      <right style="thick"/>
      <top style="medium"/>
      <bottom style="thick"/>
      <diagonal/>
    </border>
    <border diagonalDown="false" diagonalUp="false">
      <left style="thick"/>
      <right style="medium"/>
      <top style="thick"/>
      <bottom/>
      <diagonal/>
    </border>
    <border diagonalDown="false" diagonalUp="false">
      <left style="medium"/>
      <right/>
      <top style="thick"/>
      <bottom style="medium"/>
      <diagonal/>
    </border>
    <border diagonalDown="false" diagonalUp="false">
      <left/>
      <right/>
      <top style="thick"/>
      <bottom style="medium"/>
      <diagonal/>
    </border>
    <border diagonalDown="false" diagonalUp="false">
      <left/>
      <right style="thick"/>
      <top style="thick"/>
      <bottom style="medium"/>
      <diagonal/>
    </border>
    <border diagonalDown="false" diagonalUp="false">
      <left style="thick"/>
      <right style="medium"/>
      <top/>
      <bottom style="medium"/>
      <diagonal/>
    </border>
    <border diagonalDown="false" diagonalUp="false">
      <left style="medium"/>
      <right/>
      <top/>
      <bottom style="medium"/>
      <diagonal/>
    </border>
    <border diagonalDown="false" diagonalUp="false">
      <left/>
      <right/>
      <top/>
      <bottom style="medium"/>
      <diagonal/>
    </border>
    <border diagonalDown="false" diagonalUp="false">
      <left/>
      <right style="thick"/>
      <top/>
      <bottom style="medium"/>
      <diagonal/>
    </border>
    <border diagonalDown="false" diagonalUp="false">
      <left style="medium"/>
      <right/>
      <top style="medium"/>
      <bottom/>
      <diagonal/>
    </border>
    <border diagonalDown="false" diagonalUp="false">
      <left/>
      <right/>
      <top style="medium"/>
      <bottom/>
      <diagonal/>
    </border>
    <border diagonalDown="false" diagonalUp="false">
      <left/>
      <right style="thick"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/>
      <right style="thick"/>
      <top/>
      <bottom/>
      <diagonal/>
    </border>
    <border diagonalDown="false" diagonalUp="false">
      <left style="medium"/>
      <right/>
      <top style="medium"/>
      <bottom style="thick"/>
      <diagonal/>
    </border>
    <border diagonalDown="false" diagonalUp="false">
      <left/>
      <right/>
      <top style="medium"/>
      <bottom style="thick"/>
      <diagonal/>
    </border>
    <border diagonalDown="false" diagonalUp="false">
      <left/>
      <right style="thick"/>
      <top style="medium"/>
      <bottom style="thick"/>
      <diagonal/>
    </border>
    <border diagonalDown="false" diagonalUp="false">
      <left style="medium"/>
      <right style="medium"/>
      <top style="medium"/>
      <bottom style="medium"/>
      <diagonal/>
    </border>
  </borders>
  <cellStyleXfs count="28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true" applyBorder="true" applyFont="true" applyProtection="true" borderId="0" fillId="0" fontId="0" numFmtId="168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13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0" numFmtId="164">
      <alignment horizontal="left" indent="0" shrinkToFit="false" textRotation="0" vertical="bottom" wrapText="false"/>
      <protection hidden="false" locked="true"/>
    </xf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4" numFmtId="164">
      <alignment horizontal="left" indent="0" shrinkToFit="false" textRotation="0" vertical="bottom" wrapText="false"/>
      <protection hidden="false" locked="true"/>
    </xf>
    <xf applyAlignment="true" applyBorder="true" applyFont="true" applyProtection="true" borderId="0" fillId="0" fontId="4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22" numFmtId="164">
      <alignment horizontal="general" indent="0" shrinkToFit="false" textRotation="0" vertical="bottom" wrapText="false"/>
      <protection hidden="false" locked="true"/>
    </xf>
  </cellStyleXfs>
  <cellXfs count="150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2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3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4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5" fontId="4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0" fillId="5" fontId="4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0" fillId="5" fontId="4" numFmtId="165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4" numFmtId="164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65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0" fillId="0" fontId="4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0" fillId="0" fontId="0" numFmtId="165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2" fillId="0" fontId="4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2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2" fillId="0" fontId="0" numFmtId="165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7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0" numFmtId="164" xfId="0">
      <alignment horizontal="center" indent="0" shrinkToFit="false" textRotation="0" vertical="bottom" wrapText="false"/>
      <protection hidden="false" locked="true"/>
    </xf>
    <xf applyAlignment="false" applyBorder="false" applyFont="tru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false" applyFont="false" applyProtection="false" borderId="0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3" fillId="0" fontId="8" numFmtId="164" xfId="0">
      <alignment horizontal="center" indent="0" shrinkToFit="false" textRotation="0" vertical="bottom" wrapText="false"/>
      <protection hidden="false" locked="true"/>
    </xf>
    <xf applyAlignment="false" applyBorder="false" applyFont="true" applyProtection="false" borderId="0" fillId="6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9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9" numFmtId="166" xfId="0">
      <alignment horizontal="right" indent="0" shrinkToFit="false" textRotation="0" vertical="bottom" wrapText="false"/>
      <protection hidden="false" locked="true"/>
    </xf>
    <xf applyAlignment="true" applyBorder="true" applyFont="true" applyProtection="false" borderId="4" fillId="0" fontId="10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0" fontId="9" numFmtId="166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4" fillId="0" fontId="10" numFmtId="166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7" fontId="11" numFmtId="166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7" fontId="11" numFmtId="167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0" fontId="10" numFmtId="164" xfId="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0" fontId="10" numFmtId="167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0" fontId="10" numFmtId="166" xfId="0">
      <alignment horizontal="right" indent="0" shrinkToFit="false" textRotation="0" vertical="center" wrapText="true"/>
      <protection hidden="false" locked="true"/>
    </xf>
    <xf applyAlignment="true" applyBorder="true" applyFont="true" applyProtection="false" borderId="4" fillId="7" fontId="11" numFmtId="165" xfId="0">
      <alignment horizontal="right" indent="0" shrinkToFit="false" textRotation="0" vertical="center" wrapText="true"/>
      <protection hidden="false" locked="true"/>
    </xf>
    <xf applyAlignment="true" applyBorder="true" applyFont="true" applyProtection="false" borderId="4" fillId="0" fontId="12" numFmtId="165" xfId="0">
      <alignment horizontal="right" indent="0" shrinkToFit="false" textRotation="0" vertical="center" wrapText="true"/>
      <protection hidden="false" locked="true"/>
    </xf>
    <xf applyAlignment="true" applyBorder="true" applyFont="true" applyProtection="false" borderId="4" fillId="8" fontId="10" numFmtId="167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8" fontId="10" numFmtId="166" xfId="0">
      <alignment horizontal="right" indent="0" shrinkToFit="false" textRotation="0" vertical="center" wrapText="true"/>
      <protection hidden="false" locked="true"/>
    </xf>
    <xf applyAlignment="true" applyBorder="true" applyFont="true" applyProtection="false" borderId="4" fillId="8" fontId="10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8" fontId="11" numFmtId="165" xfId="0">
      <alignment horizontal="right" indent="0" shrinkToFit="false" textRotation="0" vertical="center" wrapText="true"/>
      <protection hidden="false" locked="true"/>
    </xf>
    <xf applyAlignment="true" applyBorder="true" applyFont="true" applyProtection="false" borderId="4" fillId="0" fontId="11" numFmtId="165" xfId="0">
      <alignment horizontal="right" indent="0" shrinkToFit="false" textRotation="0" vertical="center" wrapText="true"/>
      <protection hidden="false" locked="true"/>
    </xf>
    <xf applyAlignment="true" applyBorder="true" applyFont="true" applyProtection="false" borderId="4" fillId="6" fontId="10" numFmtId="166" xfId="0">
      <alignment horizontal="right" indent="0" shrinkToFit="false" textRotation="0" vertical="center" wrapText="true"/>
      <protection hidden="false" locked="true"/>
    </xf>
    <xf applyAlignment="true" applyBorder="true" applyFont="true" applyProtection="false" borderId="4" fillId="2" fontId="10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9" fontId="10" numFmtId="167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0" fontId="10" numFmtId="164" xfId="2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4" fillId="0" fontId="1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4" fillId="0" fontId="10" numFmtId="164" xfId="0">
      <alignment horizontal="center" indent="0" shrinkToFit="false" textRotation="0" vertical="bottom" wrapText="true"/>
      <protection hidden="false" locked="true"/>
    </xf>
    <xf applyAlignment="false" applyBorder="false" applyFont="false" applyProtection="false" borderId="0" fillId="1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4" fillId="10" fontId="10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10" fontId="10" numFmtId="164" xfId="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10" fontId="10" numFmtId="167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10" fontId="10" numFmtId="166" xfId="0">
      <alignment horizontal="right" indent="0" shrinkToFit="false" textRotation="0" vertical="center" wrapText="true"/>
      <protection hidden="false" locked="true"/>
    </xf>
    <xf applyAlignment="true" applyBorder="true" applyFont="true" applyProtection="false" borderId="4" fillId="10" fontId="11" numFmtId="165" xfId="0">
      <alignment horizontal="right" indent="0" shrinkToFit="false" textRotation="0" vertical="center" wrapText="true"/>
      <protection hidden="false" locked="true"/>
    </xf>
    <xf applyAlignment="true" applyBorder="true" applyFont="true" applyProtection="false" borderId="4" fillId="10" fontId="12" numFmtId="165" xfId="0">
      <alignment horizontal="right" indent="0" shrinkToFit="false" textRotation="0" vertical="center" wrapText="true"/>
      <protection hidden="false" locked="true"/>
    </xf>
    <xf applyAlignment="true" applyBorder="true" applyFont="true" applyProtection="false" borderId="4" fillId="6" fontId="10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0" fontId="10" numFmtId="164" xfId="0">
      <alignment horizontal="left" indent="0" shrinkToFit="false" textRotation="0" vertical="center" wrapText="true"/>
      <protection hidden="false" locked="true"/>
    </xf>
    <xf applyAlignment="true" applyBorder="false" applyFont="true" applyProtection="false" borderId="0" fillId="0" fontId="14" numFmtId="167" xfId="0">
      <alignment horizontal="right" indent="0" shrinkToFit="false" textRotation="0" vertical="bottom" wrapText="false"/>
      <protection hidden="false" locked="true"/>
    </xf>
    <xf applyAlignment="true" applyBorder="false" applyFont="true" applyProtection="false" borderId="0" fillId="0" fontId="14" numFmtId="166" xfId="0">
      <alignment horizontal="right" indent="0" shrinkToFit="false" textRotation="0" vertical="bottom" wrapText="false"/>
      <protection hidden="false" locked="true"/>
    </xf>
    <xf applyAlignment="true" applyBorder="true" applyFont="true" applyProtection="false" borderId="5" fillId="0" fontId="10" numFmtId="164" xfId="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7" fontId="15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7" fontId="15" numFmtId="164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4" fillId="7" fontId="11" numFmtId="166" xfId="0">
      <alignment horizontal="right" indent="0" shrinkToFit="false" textRotation="0" vertical="center" wrapText="true"/>
      <protection hidden="false" locked="true"/>
    </xf>
    <xf applyAlignment="true" applyBorder="true" applyFont="true" applyProtection="false" borderId="4" fillId="0" fontId="11" numFmtId="166" xfId="0">
      <alignment horizontal="right" indent="0" shrinkToFit="false" textRotation="0" vertical="center" wrapText="true"/>
      <protection hidden="false" locked="true"/>
    </xf>
    <xf applyAlignment="true" applyBorder="true" applyFont="true" applyProtection="true" borderId="4" fillId="0" fontId="15" numFmtId="168" xfId="15">
      <alignment horizontal="right" indent="0" shrinkToFit="false" textRotation="0" vertical="bottom" wrapText="false"/>
      <protection hidden="false" locked="true"/>
    </xf>
    <xf applyAlignment="false" applyBorder="true" applyFont="true" applyProtection="false" borderId="4" fillId="0" fontId="15" numFmtId="166" xfId="0">
      <alignment horizontal="general" indent="0" shrinkToFit="false" textRotation="0" vertical="bottom" wrapText="false"/>
      <protection hidden="false" locked="true"/>
    </xf>
    <xf applyAlignment="true" applyBorder="false" applyFont="false" applyProtection="false" borderId="0" fillId="8" fontId="0" numFmtId="164" xfId="0">
      <alignment horizontal="center" indent="0" shrinkToFit="false" textRotation="0" vertical="bottom" wrapText="false"/>
      <protection hidden="false" locked="true"/>
    </xf>
    <xf applyAlignment="false" applyBorder="false" applyFont="false" applyProtection="false" borderId="0" fillId="8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4" fillId="8" fontId="10" numFmtId="164" xfId="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8" fontId="11" numFmtId="166" xfId="0">
      <alignment horizontal="right" indent="0" shrinkToFit="false" textRotation="0" vertical="center" wrapText="true"/>
      <protection hidden="false" locked="true"/>
    </xf>
    <xf applyAlignment="true" applyBorder="true" applyFont="true" applyProtection="true" borderId="4" fillId="8" fontId="15" numFmtId="168" xfId="15">
      <alignment horizontal="right" indent="0" shrinkToFit="false" textRotation="0" vertical="bottom" wrapText="false"/>
      <protection hidden="false" locked="true"/>
    </xf>
    <xf applyAlignment="true" applyBorder="true" applyFont="true" applyProtection="false" borderId="4" fillId="8" fontId="15" numFmtId="166" xfId="0">
      <alignment horizontal="right" indent="0" shrinkToFit="false" textRotation="0" vertical="center" wrapText="false"/>
      <protection hidden="false" locked="true"/>
    </xf>
    <xf applyAlignment="false" applyBorder="true" applyFont="true" applyProtection="false" borderId="4" fillId="8" fontId="16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4" fillId="8" fontId="11" numFmtId="166" xfId="0">
      <alignment horizontal="center" indent="0" shrinkToFit="false" textRotation="0" vertical="center" wrapText="true"/>
      <protection hidden="false" locked="true"/>
    </xf>
    <xf applyAlignment="false" applyBorder="true" applyFont="true" applyProtection="false" borderId="4" fillId="8" fontId="15" numFmtId="166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4" fillId="8" fontId="15" numFmtId="166" xfId="0">
      <alignment horizontal="center" indent="0" shrinkToFit="false" textRotation="0" vertical="center" wrapText="false"/>
      <protection hidden="false" locked="true"/>
    </xf>
    <xf applyAlignment="true" applyBorder="true" applyFont="true" applyProtection="true" borderId="4" fillId="0" fontId="11" numFmtId="168" xfId="15">
      <alignment horizontal="right" indent="0" shrinkToFit="false" textRotation="0" vertical="center" wrapText="true"/>
      <protection hidden="false" locked="true"/>
    </xf>
    <xf applyAlignment="true" applyBorder="true" applyFont="true" applyProtection="false" borderId="4" fillId="0" fontId="10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0" fontId="10" numFmtId="164" xfId="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0" fontId="10" numFmtId="169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0" fontId="10" numFmtId="170" xfId="0">
      <alignment horizontal="right" indent="0" shrinkToFit="false" textRotation="0" vertical="center" wrapText="true"/>
      <protection hidden="false" locked="true"/>
    </xf>
    <xf applyAlignment="true" applyBorder="true" applyFont="true" applyProtection="false" borderId="4" fillId="7" fontId="11" numFmtId="170" xfId="0">
      <alignment horizontal="right" indent="0" shrinkToFit="false" textRotation="0" vertical="center" wrapText="true"/>
      <protection hidden="false" locked="true"/>
    </xf>
    <xf applyAlignment="true" applyBorder="true" applyFont="true" applyProtection="false" borderId="4" fillId="0" fontId="11" numFmtId="170" xfId="0">
      <alignment horizontal="right" indent="0" shrinkToFit="false" textRotation="0" vertical="center" wrapText="true"/>
      <protection hidden="false" locked="true"/>
    </xf>
    <xf applyAlignment="true" applyBorder="true" applyFont="true" applyProtection="true" borderId="4" fillId="0" fontId="15" numFmtId="168" xfId="15">
      <alignment horizontal="right" indent="0" shrinkToFit="false" textRotation="0" vertical="bottom" wrapText="false"/>
      <protection hidden="false" locked="true"/>
    </xf>
    <xf applyAlignment="false" applyBorder="true" applyFont="true" applyProtection="false" borderId="4" fillId="0" fontId="15" numFmtId="170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4" fillId="8" fontId="11" numFmtId="168" xfId="15">
      <alignment horizontal="right" indent="0" shrinkToFit="false" textRotation="0" vertical="center" wrapText="true"/>
      <protection hidden="false" locked="true"/>
    </xf>
    <xf applyAlignment="true" applyBorder="true" applyFont="true" applyProtection="true" borderId="4" fillId="0" fontId="15" numFmtId="168" xfId="15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4" fillId="0" fontId="11" numFmtId="168" xfId="15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0" fontId="12" numFmtId="166" xfId="0">
      <alignment horizontal="right" indent="0" shrinkToFit="false" textRotation="0" vertical="center" wrapText="true"/>
      <protection hidden="false" locked="true"/>
    </xf>
    <xf applyAlignment="true" applyBorder="true" applyFont="true" applyProtection="false" borderId="4" fillId="8" fontId="10" numFmtId="164" xfId="2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4" fillId="8" fontId="12" numFmtId="166" xfId="0">
      <alignment horizontal="right" indent="0" shrinkToFit="false" textRotation="0" vertical="center" wrapText="true"/>
      <protection hidden="false" locked="true"/>
    </xf>
    <xf applyAlignment="true" applyBorder="true" applyFont="true" applyProtection="false" borderId="4" fillId="2" fontId="12" numFmtId="166" xfId="0">
      <alignment horizontal="right" indent="0" shrinkToFit="false" textRotation="0" vertical="center" wrapText="true"/>
      <protection hidden="false" locked="true"/>
    </xf>
    <xf applyAlignment="true" applyBorder="true" applyFont="true" applyProtection="false" borderId="4" fillId="8" fontId="15" numFmtId="166" xfId="0">
      <alignment horizontal="right" indent="0" shrinkToFit="false" textRotation="0" vertical="bottom" wrapText="false"/>
      <protection hidden="false" locked="true"/>
    </xf>
    <xf applyAlignment="true" applyBorder="true" applyFont="true" applyProtection="false" borderId="4" fillId="8" fontId="15" numFmtId="166" xfId="0">
      <alignment horizontal="center" indent="0" shrinkToFit="false" textRotation="0" vertical="bottom" wrapText="false"/>
      <protection hidden="false" locked="true"/>
    </xf>
    <xf applyAlignment="true" applyBorder="false" applyFont="true" applyProtection="false" borderId="0" fillId="0" fontId="0" numFmtId="164" xfId="0">
      <alignment horizontal="center" indent="0" shrinkToFit="false" textRotation="0" vertical="center" wrapText="false"/>
      <protection hidden="false" locked="true"/>
    </xf>
    <xf applyAlignment="true" applyBorder="false" applyFont="true" applyProtection="false" borderId="0" fillId="0" fontId="0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4" fillId="2" fontId="10" numFmtId="164" xfId="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3" fontId="10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9" fontId="10" numFmtId="164" xfId="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2" fontId="1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5" fillId="0" fontId="19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0" fontId="19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6" fillId="0" fontId="19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0" fillId="0" fontId="19" numFmtId="164" xfId="0">
      <alignment horizontal="center" indent="0" shrinkToFit="false" textRotation="0" vertical="center" wrapText="true"/>
      <protection hidden="false" locked="true"/>
    </xf>
    <xf applyAlignment="false" applyBorder="true" applyFont="true" applyProtection="false" borderId="7" fillId="0" fontId="0" numFmtId="164" xfId="21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8" fillId="0" fontId="0" numFmtId="164" xfId="22">
      <alignment horizontal="general" indent="0" shrinkToFit="false" textRotation="0" vertical="bottom" wrapText="false"/>
      <protection hidden="false" locked="true"/>
    </xf>
    <xf applyAlignment="true" applyBorder="false" applyFont="false" applyProtection="false" borderId="0" fillId="0" fontId="0" numFmtId="164" xfId="0">
      <alignment horizontal="left" indent="0" shrinkToFit="false" textRotation="0" vertical="bottom" wrapText="false"/>
      <protection hidden="false" locked="true"/>
    </xf>
    <xf applyAlignment="false" applyBorder="true" applyFont="true" applyProtection="false" borderId="9" fillId="0" fontId="0" numFmtId="164" xfId="23">
      <alignment horizontal="left" indent="0" shrinkToFit="false" textRotation="0" vertical="bottom" wrapText="false"/>
      <protection hidden="false" locked="true"/>
    </xf>
    <xf applyAlignment="false" applyBorder="true" applyFont="false" applyProtection="false" borderId="10" fillId="0" fontId="0" numFmtId="164" xfId="24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20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1" fillId="0" fontId="0" numFmtId="164" xfId="23">
      <alignment horizontal="left" indent="0" shrinkToFit="false" textRotation="0" vertical="bottom" wrapText="false"/>
      <protection hidden="false" locked="true"/>
    </xf>
    <xf applyAlignment="false" applyBorder="true" applyFont="false" applyProtection="false" borderId="12" fillId="0" fontId="0" numFmtId="164" xfId="24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3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4" fillId="0" fontId="10" numFmtId="164" xfId="20">
      <alignment horizontal="left" indent="0" shrinkToFit="false" textRotation="0" vertical="center" wrapText="false"/>
      <protection hidden="false" locked="true"/>
    </xf>
    <xf applyAlignment="true" applyBorder="true" applyFont="true" applyProtection="false" borderId="4" fillId="0" fontId="10" numFmtId="164" xfId="0">
      <alignment horizontal="left" indent="0" shrinkToFit="false" textRotation="0" vertical="bottom" wrapText="false"/>
      <protection hidden="false" locked="true"/>
    </xf>
    <xf applyAlignment="true" applyBorder="true" applyFont="true" applyProtection="false" borderId="4" fillId="0" fontId="10" numFmtId="164" xfId="0">
      <alignment horizontal="left" indent="0" shrinkToFit="false" textRotation="0" vertical="bottom" wrapText="true"/>
      <protection hidden="false" locked="true"/>
    </xf>
    <xf applyAlignment="false" applyBorder="true" applyFont="false" applyProtection="false" borderId="14" fillId="0" fontId="0" numFmtId="164" xfId="24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5" fillId="0" fontId="4" numFmtId="164" xfId="25">
      <alignment horizontal="left" indent="0" shrinkToFit="false" textRotation="0" vertical="bottom" wrapText="false"/>
      <protection hidden="false" locked="true"/>
    </xf>
    <xf applyAlignment="false" applyBorder="true" applyFont="false" applyProtection="false" borderId="16" fillId="0" fontId="4" numFmtId="164" xfId="26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2" fillId="5" fontId="21" numFmtId="164" xfId="27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2" fillId="0" fontId="21" numFmtId="164" xfId="27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2" fillId="0" fontId="21" numFmtId="164" xfId="27">
      <alignment horizontal="general" indent="0" shrinkToFit="false" textRotation="0" vertical="center" wrapText="false"/>
      <protection hidden="false" locked="true"/>
    </xf>
    <xf applyAlignment="true" applyBorder="false" applyFont="true" applyProtection="false" borderId="0" fillId="0" fontId="22" numFmtId="164" xfId="27">
      <alignment horizontal="general" indent="0" shrinkToFit="false" textRotation="0" vertical="center" wrapText="false"/>
      <protection hidden="false" locked="true"/>
    </xf>
    <xf applyAlignment="false" applyBorder="true" applyFont="false" applyProtection="false" borderId="17" fillId="0" fontId="0" numFmtId="164" xfId="22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8" fillId="0" fontId="0" numFmtId="164" xfId="21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19" fillId="0" fontId="0" numFmtId="164" xfId="22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20" fillId="0" fontId="0" numFmtId="164" xfId="22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21" fillId="0" fontId="0" numFmtId="164" xfId="21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22" fillId="0" fontId="0" numFmtId="164" xfId="23">
      <alignment horizontal="left" indent="0" shrinkToFit="false" textRotation="0" vertical="bottom" wrapText="false"/>
      <protection hidden="false" locked="true"/>
    </xf>
    <xf applyAlignment="false" applyBorder="true" applyFont="true" applyProtection="false" borderId="23" fillId="0" fontId="0" numFmtId="164" xfId="23">
      <alignment horizontal="left" indent="0" shrinkToFit="false" textRotation="0" vertical="bottom" wrapText="false"/>
      <protection hidden="false" locked="true"/>
    </xf>
    <xf applyAlignment="false" applyBorder="true" applyFont="true" applyProtection="false" borderId="24" fillId="0" fontId="0" numFmtId="164" xfId="23">
      <alignment horizontal="left" indent="0" shrinkToFit="false" textRotation="0" vertical="bottom" wrapText="false"/>
      <protection hidden="false" locked="true"/>
    </xf>
    <xf applyAlignment="false" applyBorder="true" applyFont="false" applyProtection="false" borderId="9" fillId="0" fontId="0" numFmtId="164" xfId="23">
      <alignment horizontal="left" indent="0" shrinkToFit="false" textRotation="0" vertical="bottom" wrapText="false"/>
      <protection hidden="false" locked="true"/>
    </xf>
    <xf applyAlignment="false" applyBorder="true" applyFont="false" applyProtection="false" borderId="25" fillId="0" fontId="0" numFmtId="164" xfId="24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26" fillId="0" fontId="0" numFmtId="164" xfId="24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26" fillId="0" fontId="0" numFmtId="164" xfId="24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27" fillId="0" fontId="0" numFmtId="164" xfId="24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11" fillId="0" fontId="0" numFmtId="164" xfId="23">
      <alignment horizontal="left" indent="0" shrinkToFit="false" textRotation="0" vertical="bottom" wrapText="false"/>
      <protection hidden="false" locked="true"/>
    </xf>
    <xf applyAlignment="false" applyBorder="true" applyFont="false" applyProtection="false" borderId="28" fillId="0" fontId="0" numFmtId="164" xfId="24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64" xfId="24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29" fillId="0" fontId="0" numFmtId="164" xfId="24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64" xfId="24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29" fillId="0" fontId="0" numFmtId="164" xfId="24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28" fillId="0" fontId="0" numFmtId="164" xfId="24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22" fillId="0" fontId="0" numFmtId="164" xfId="24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23" fillId="0" fontId="0" numFmtId="164" xfId="24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24" fillId="0" fontId="0" numFmtId="164" xfId="24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5" fillId="0" fontId="4" numFmtId="164" xfId="25">
      <alignment horizontal="left" indent="0" shrinkToFit="false" textRotation="0" vertical="bottom" wrapText="false"/>
      <protection hidden="false" locked="true"/>
    </xf>
    <xf applyAlignment="false" applyBorder="true" applyFont="false" applyProtection="false" borderId="30" fillId="0" fontId="4" numFmtId="164" xfId="26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31" fillId="0" fontId="4" numFmtId="164" xfId="26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32" fillId="0" fontId="4" numFmtId="164" xfId="26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0" numFmtId="164" xfId="21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33" fillId="0" fontId="0" numFmtId="164" xfId="0">
      <alignment horizontal="general" indent="0" shrinkToFit="false" textRotation="0" vertical="bottom" wrapText="false"/>
      <protection hidden="false" locked="true"/>
    </xf>
  </cellXfs>
  <cellStyles count="14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Excel Built-in Обычный_Моя" xfId="20"/>
    <cellStyle builtinId="54" customBuiltin="true" name="Excel Built-in Поле сводной таблицы" xfId="21"/>
    <cellStyle builtinId="54" customBuiltin="true" name="Excel Built-in Угол сводной таблицы" xfId="22"/>
    <cellStyle builtinId="54" customBuiltin="true" name="Excel Built-in Категория сводной таблицы" xfId="23"/>
    <cellStyle builtinId="54" customBuiltin="true" name="Excel Built-in Значение сводной таблицы" xfId="24"/>
    <cellStyle builtinId="54" customBuiltin="true" name="Excel Built-in Заголовок сводной таблицы" xfId="25"/>
    <cellStyle builtinId="54" customBuiltin="true" name="Excel Built-in Результат сводной таблицы" xfId="26"/>
    <cellStyle builtinId="54" customBuiltin="true" name="Excel Built-in Обычный 3" xfId="27"/>
  </cellStyles>
  <dxfs count="99">
    <dxf>
      <font>
        <sz val="11"/>
        <color rgb="FF000000"/>
        <name val="Calibri"/>
        <family val="2"/>
        <charset val="204"/>
      </font>
      <numFmt formatCode="GENERAL" numFmtId="164"/>
      <fill>
        <patternFill>
          <bgColor rgb="FF00B050"/>
        </patternFill>
      </fill>
    </dxf>
    <dxf>
      <font>
        <sz val="11"/>
        <color rgb="FF000000"/>
        <name val="Calibri"/>
        <family val="2"/>
        <charset val="204"/>
      </font>
      <numFmt formatCode="GENERAL" numFmtId="164"/>
      <fill>
        <patternFill>
          <bgColor rgb="FFFFC000"/>
        </patternFill>
      </fill>
    </dxf>
    <dxf>
      <font>
        <sz val="11"/>
        <color rgb="FF000000"/>
        <name val="Calibri"/>
        <family val="2"/>
        <charset val="204"/>
      </font>
      <numFmt formatCode="GENERAL" numFmtId="164"/>
      <fill>
        <patternFill>
          <bgColor rgb="FFFF0000"/>
        </patternFill>
      </fill>
    </dxf>
    <dxf>
      <font>
        <sz val="11"/>
        <color rgb="FF000000"/>
        <name val="Calibri"/>
        <family val="2"/>
        <charset val="204"/>
      </font>
      <numFmt formatCode="GENERAL" numFmtId="164"/>
      <fill>
        <patternFill>
          <bgColor rgb="FF00B050"/>
        </patternFill>
      </fill>
    </dxf>
    <dxf>
      <font>
        <sz val="11"/>
        <color rgb="FF000000"/>
        <name val="Calibri"/>
        <family val="2"/>
        <charset val="204"/>
      </font>
      <numFmt formatCode="GENERAL" numFmtId="164"/>
      <fill>
        <patternFill>
          <bgColor rgb="FFFFC000"/>
        </patternFill>
      </fill>
    </dxf>
    <dxf>
      <font>
        <sz val="11"/>
        <color rgb="FF000000"/>
        <name val="Calibri"/>
        <family val="2"/>
        <charset val="204"/>
      </font>
      <numFmt formatCode="GENERAL" numFmtId="164"/>
      <fill>
        <patternFill>
          <bgColor rgb="FFFF0000"/>
        </patternFill>
      </fill>
    </dxf>
    <dxf>
      <font>
        <sz val="11"/>
        <color rgb="FF000000"/>
        <name val="Calibri"/>
        <family val="2"/>
        <charset val="204"/>
      </font>
      <numFmt formatCode="GENERAL" numFmtId="164"/>
      <fill>
        <patternFill>
          <bgColor rgb="FF00B050"/>
        </patternFill>
      </fill>
    </dxf>
    <dxf>
      <font>
        <sz val="11"/>
        <color rgb="FF000000"/>
        <name val="Calibri"/>
        <family val="2"/>
        <charset val="204"/>
      </font>
      <numFmt formatCode="GENERAL" numFmtId="164"/>
      <fill>
        <patternFill>
          <bgColor rgb="FFFFC000"/>
        </patternFill>
      </fill>
    </dxf>
    <dxf>
      <font>
        <sz val="11"/>
        <color rgb="FF000000"/>
        <name val="Calibri"/>
        <family val="2"/>
        <charset val="204"/>
      </font>
      <numFmt formatCode="GENERAL" numFmtId="164"/>
      <fill>
        <patternFill>
          <bgColor rgb="FFFF0000"/>
        </patternFill>
      </fill>
    </dxf>
    <dxf>
      <font>
        <sz val="11"/>
        <color rgb="FF000000"/>
        <name val="Calibri"/>
        <family val="2"/>
        <charset val="204"/>
      </font>
      <numFmt formatCode="GENERAL" numFmtId="164"/>
      <fill>
        <patternFill>
          <bgColor rgb="FF00B050"/>
        </patternFill>
      </fill>
    </dxf>
    <dxf>
      <font>
        <sz val="11"/>
        <color rgb="FF000000"/>
        <name val="Calibri"/>
        <family val="2"/>
        <charset val="204"/>
      </font>
      <numFmt formatCode="GENERAL" numFmtId="164"/>
      <fill>
        <patternFill>
          <bgColor rgb="FFFFC000"/>
        </patternFill>
      </fill>
    </dxf>
    <dxf>
      <font>
        <sz val="11"/>
        <color rgb="FF000000"/>
        <name val="Calibri"/>
        <family val="2"/>
        <charset val="204"/>
      </font>
      <numFmt formatCode="GENERAL" numFmtId="164"/>
      <fill>
        <patternFill>
          <bgColor rgb="FFFF0000"/>
        </patternFill>
      </fill>
    </dxf>
    <dxf>
      <font>
        <sz val="11"/>
        <color rgb="FF000000"/>
        <name val="Calibri"/>
        <family val="2"/>
        <charset val="204"/>
      </font>
      <numFmt formatCode="GENERAL" numFmtId="164"/>
      <fill>
        <patternFill>
          <bgColor rgb="FF00B050"/>
        </patternFill>
      </fill>
    </dxf>
    <dxf>
      <font>
        <sz val="11"/>
        <color rgb="FF000000"/>
        <name val="Calibri"/>
        <family val="2"/>
        <charset val="204"/>
      </font>
      <numFmt formatCode="GENERAL" numFmtId="164"/>
      <fill>
        <patternFill>
          <bgColor rgb="FFFFC000"/>
        </patternFill>
      </fill>
    </dxf>
    <dxf>
      <font>
        <sz val="11"/>
        <color rgb="FF000000"/>
        <name val="Calibri"/>
        <family val="2"/>
        <charset val="204"/>
      </font>
      <numFmt formatCode="GENERAL" numFmtId="164"/>
      <fill>
        <patternFill>
          <bgColor rgb="FFFF0000"/>
        </patternFill>
      </fill>
    </dxf>
    <dxf>
      <font>
        <sz val="11"/>
        <color rgb="FF000000"/>
        <name val="Calibri"/>
        <family val="2"/>
        <charset val="204"/>
      </font>
      <numFmt formatCode="GENERAL" numFmtId="164"/>
      <fill>
        <patternFill>
          <bgColor rgb="FF00B050"/>
        </patternFill>
      </fill>
    </dxf>
    <dxf>
      <font>
        <sz val="11"/>
        <color rgb="FF000000"/>
        <name val="Calibri"/>
        <family val="2"/>
        <charset val="204"/>
      </font>
      <numFmt formatCode="GENERAL" numFmtId="164"/>
      <fill>
        <patternFill>
          <bgColor rgb="FFFFC000"/>
        </patternFill>
      </fill>
    </dxf>
    <dxf>
      <font>
        <sz val="11"/>
        <color rgb="FF000000"/>
        <name val="Calibri"/>
        <family val="2"/>
        <charset val="204"/>
      </font>
      <numFmt formatCode="GENERAL" numFmtId="164"/>
      <fill>
        <patternFill>
          <bgColor rgb="FFFF0000"/>
        </patternFill>
      </fill>
    </dxf>
    <dxf>
      <font>
        <sz val="11"/>
        <color rgb="FF000000"/>
        <name val="Calibri"/>
        <family val="2"/>
        <charset val="204"/>
      </font>
      <numFmt formatCode="GENERAL" numFmtId="164"/>
      <fill>
        <patternFill>
          <bgColor rgb="FF00B050"/>
        </patternFill>
      </fill>
    </dxf>
    <dxf>
      <font>
        <sz val="11"/>
        <color rgb="FF000000"/>
        <name val="Calibri"/>
        <family val="2"/>
        <charset val="204"/>
      </font>
      <numFmt formatCode="GENERAL" numFmtId="164"/>
      <fill>
        <patternFill>
          <bgColor rgb="FFFFC000"/>
        </patternFill>
      </fill>
    </dxf>
    <dxf>
      <font>
        <sz val="11"/>
        <color rgb="FF000000"/>
        <name val="Calibri"/>
        <family val="2"/>
        <charset val="204"/>
      </font>
      <numFmt formatCode="GENERAL" numFmtId="164"/>
      <fill>
        <patternFill>
          <bgColor rgb="FFFF0000"/>
        </patternFill>
      </fill>
    </dxf>
    <dxf>
      <font>
        <sz val="11"/>
        <color rgb="FF000000"/>
        <name val="Calibri"/>
        <family val="2"/>
        <charset val="204"/>
      </font>
      <numFmt formatCode="GENERAL" numFmtId="164"/>
      <fill>
        <patternFill>
          <bgColor rgb="FF00B050"/>
        </patternFill>
      </fill>
    </dxf>
    <dxf>
      <font>
        <sz val="11"/>
        <color rgb="FF000000"/>
        <name val="Calibri"/>
        <family val="2"/>
        <charset val="204"/>
      </font>
      <numFmt formatCode="GENERAL" numFmtId="164"/>
      <fill>
        <patternFill>
          <bgColor rgb="FFFFC000"/>
        </patternFill>
      </fill>
    </dxf>
    <dxf>
      <font>
        <sz val="11"/>
        <color rgb="FF000000"/>
        <name val="Calibri"/>
        <family val="2"/>
        <charset val="204"/>
      </font>
      <numFmt formatCode="GENERAL" numFmtId="164"/>
      <fill>
        <patternFill>
          <bgColor rgb="FFFF0000"/>
        </patternFill>
      </fill>
    </dxf>
    <dxf>
      <font>
        <sz val="11"/>
        <color rgb="FF000000"/>
        <name val="Calibri"/>
        <family val="2"/>
        <charset val="204"/>
      </font>
      <numFmt formatCode="GENERAL" numFmtId="164"/>
      <fill>
        <patternFill>
          <bgColor rgb="FF00B050"/>
        </patternFill>
      </fill>
    </dxf>
    <dxf>
      <font>
        <sz val="11"/>
        <color rgb="FF000000"/>
        <name val="Calibri"/>
        <family val="2"/>
        <charset val="204"/>
      </font>
      <numFmt formatCode="GENERAL" numFmtId="164"/>
      <fill>
        <patternFill>
          <bgColor rgb="FFFFC000"/>
        </patternFill>
      </fill>
    </dxf>
    <dxf>
      <font>
        <sz val="11"/>
        <color rgb="FF000000"/>
        <name val="Calibri"/>
        <family val="2"/>
        <charset val="204"/>
      </font>
      <numFmt formatCode="GENERAL" numFmtId="164"/>
      <fill>
        <patternFill>
          <bgColor rgb="FFFF0000"/>
        </patternFill>
      </fill>
    </dxf>
    <dxf>
      <font>
        <sz val="11"/>
        <color rgb="FF000000"/>
        <name val="Calibri"/>
        <family val="2"/>
        <charset val="204"/>
      </font>
      <numFmt formatCode="GENERAL" numFmtId="164"/>
      <fill>
        <patternFill>
          <bgColor rgb="FF00B050"/>
        </patternFill>
      </fill>
    </dxf>
    <dxf>
      <font>
        <sz val="11"/>
        <color rgb="FF000000"/>
        <name val="Calibri"/>
        <family val="2"/>
        <charset val="204"/>
      </font>
      <numFmt formatCode="GENERAL" numFmtId="164"/>
      <fill>
        <patternFill>
          <bgColor rgb="FFFFC000"/>
        </patternFill>
      </fill>
    </dxf>
    <dxf>
      <font>
        <sz val="11"/>
        <color rgb="FF000000"/>
        <name val="Calibri"/>
        <family val="2"/>
        <charset val="204"/>
      </font>
      <numFmt formatCode="GENERAL" numFmtId="164"/>
      <fill>
        <patternFill>
          <bgColor rgb="FFFF0000"/>
        </patternFill>
      </fill>
    </dxf>
    <dxf>
      <font>
        <sz val="11"/>
        <color rgb="FF000000"/>
        <name val="Calibri"/>
        <family val="2"/>
        <charset val="204"/>
      </font>
      <numFmt formatCode="GENERAL" numFmtId="164"/>
      <fill>
        <patternFill>
          <bgColor rgb="FF00B050"/>
        </patternFill>
      </fill>
    </dxf>
    <dxf>
      <font>
        <sz val="11"/>
        <color rgb="FF000000"/>
        <name val="Calibri"/>
        <family val="2"/>
        <charset val="204"/>
      </font>
      <numFmt formatCode="GENERAL" numFmtId="164"/>
      <fill>
        <patternFill>
          <bgColor rgb="FFFFC000"/>
        </patternFill>
      </fill>
    </dxf>
    <dxf>
      <font>
        <sz val="11"/>
        <color rgb="FF000000"/>
        <name val="Calibri"/>
        <family val="2"/>
        <charset val="204"/>
      </font>
      <numFmt formatCode="GENERAL" numFmtId="164"/>
      <fill>
        <patternFill>
          <bgColor rgb="FFFF0000"/>
        </patternFill>
      </fill>
    </dxf>
    <dxf>
      <font>
        <sz val="11"/>
        <color rgb="FF000000"/>
        <name val="Calibri"/>
        <family val="2"/>
        <charset val="204"/>
      </font>
      <numFmt formatCode="GENERAL" numFmtId="164"/>
      <fill>
        <patternFill>
          <bgColor rgb="FF00B050"/>
        </patternFill>
      </fill>
    </dxf>
    <dxf>
      <font>
        <sz val="11"/>
        <color rgb="FF000000"/>
        <name val="Calibri"/>
        <family val="2"/>
        <charset val="204"/>
      </font>
      <numFmt formatCode="GENERAL" numFmtId="164"/>
      <fill>
        <patternFill>
          <bgColor rgb="FFFFC000"/>
        </patternFill>
      </fill>
    </dxf>
    <dxf>
      <font>
        <sz val="11"/>
        <color rgb="FF000000"/>
        <name val="Calibri"/>
        <family val="2"/>
        <charset val="204"/>
      </font>
      <numFmt formatCode="GENERAL" numFmtId="164"/>
      <fill>
        <patternFill>
          <bgColor rgb="FFFF0000"/>
        </patternFill>
      </fill>
    </dxf>
    <dxf>
      <font>
        <sz val="11"/>
        <color rgb="FF000000"/>
        <name val="Calibri"/>
        <family val="2"/>
        <charset val="204"/>
      </font>
      <numFmt formatCode="GENERAL" numFmtId="164"/>
      <fill>
        <patternFill>
          <bgColor rgb="FF00B050"/>
        </patternFill>
      </fill>
    </dxf>
    <dxf>
      <font>
        <sz val="11"/>
        <color rgb="FF000000"/>
        <name val="Calibri"/>
        <family val="2"/>
        <charset val="204"/>
      </font>
      <numFmt formatCode="GENERAL" numFmtId="164"/>
      <fill>
        <patternFill>
          <bgColor rgb="FFFFC000"/>
        </patternFill>
      </fill>
    </dxf>
    <dxf>
      <font>
        <sz val="11"/>
        <color rgb="FF000000"/>
        <name val="Calibri"/>
        <family val="2"/>
        <charset val="204"/>
      </font>
      <numFmt formatCode="GENERAL" numFmtId="164"/>
      <fill>
        <patternFill>
          <bgColor rgb="FFFF0000"/>
        </patternFill>
      </fill>
    </dxf>
    <dxf>
      <font>
        <sz val="11"/>
        <color rgb="FF000000"/>
        <name val="Calibri"/>
        <family val="2"/>
        <charset val="204"/>
      </font>
      <numFmt formatCode="GENERAL" numFmtId="164"/>
      <fill>
        <patternFill>
          <bgColor rgb="FF00B050"/>
        </patternFill>
      </fill>
    </dxf>
    <dxf>
      <font>
        <sz val="11"/>
        <color rgb="FF000000"/>
        <name val="Calibri"/>
        <family val="2"/>
        <charset val="204"/>
      </font>
      <numFmt formatCode="GENERAL" numFmtId="164"/>
      <fill>
        <patternFill>
          <bgColor rgb="FFFFC000"/>
        </patternFill>
      </fill>
    </dxf>
    <dxf>
      <font>
        <sz val="11"/>
        <color rgb="FF000000"/>
        <name val="Calibri"/>
        <family val="2"/>
        <charset val="204"/>
      </font>
      <numFmt formatCode="GENERAL" numFmtId="164"/>
      <fill>
        <patternFill>
          <bgColor rgb="FFFF0000"/>
        </patternFill>
      </fill>
    </dxf>
    <dxf>
      <font>
        <sz val="11"/>
        <color rgb="FF000000"/>
        <name val="Calibri"/>
        <family val="2"/>
        <charset val="204"/>
      </font>
      <numFmt formatCode="GENERAL" numFmtId="164"/>
      <fill>
        <patternFill>
          <bgColor rgb="FF00B050"/>
        </patternFill>
      </fill>
    </dxf>
    <dxf>
      <font>
        <sz val="11"/>
        <color rgb="FF000000"/>
        <name val="Calibri"/>
        <family val="2"/>
        <charset val="204"/>
      </font>
      <numFmt formatCode="GENERAL" numFmtId="164"/>
      <fill>
        <patternFill>
          <bgColor rgb="FFFFC000"/>
        </patternFill>
      </fill>
    </dxf>
    <dxf>
      <font>
        <sz val="11"/>
        <color rgb="FF000000"/>
        <name val="Calibri"/>
        <family val="2"/>
        <charset val="204"/>
      </font>
      <numFmt formatCode="GENERAL" numFmtId="164"/>
      <fill>
        <patternFill>
          <bgColor rgb="FFFF0000"/>
        </patternFill>
      </fill>
    </dxf>
    <dxf>
      <font>
        <sz val="11"/>
        <color rgb="FF000000"/>
        <name val="Calibri"/>
        <family val="2"/>
        <charset val="204"/>
      </font>
      <numFmt formatCode="GENERAL" numFmtId="164"/>
      <fill>
        <patternFill>
          <bgColor rgb="FF00B050"/>
        </patternFill>
      </fill>
    </dxf>
    <dxf>
      <font>
        <sz val="11"/>
        <color rgb="FF000000"/>
        <name val="Calibri"/>
        <family val="2"/>
        <charset val="204"/>
      </font>
      <numFmt formatCode="GENERAL" numFmtId="164"/>
      <fill>
        <patternFill>
          <bgColor rgb="FFFFC000"/>
        </patternFill>
      </fill>
    </dxf>
    <dxf>
      <font>
        <sz val="11"/>
        <color rgb="FF000000"/>
        <name val="Calibri"/>
        <family val="2"/>
        <charset val="204"/>
      </font>
      <numFmt formatCode="GENERAL" numFmtId="164"/>
      <fill>
        <patternFill>
          <bgColor rgb="FFFF0000"/>
        </patternFill>
      </fill>
    </dxf>
    <dxf>
      <font>
        <sz val="11"/>
        <color rgb="FF000000"/>
        <name val="Calibri"/>
        <family val="2"/>
        <charset val="204"/>
      </font>
      <numFmt formatCode="GENERAL" numFmtId="164"/>
      <fill>
        <patternFill>
          <bgColor rgb="FF00B050"/>
        </patternFill>
      </fill>
    </dxf>
    <dxf>
      <font>
        <sz val="11"/>
        <color rgb="FF000000"/>
        <name val="Calibri"/>
        <family val="2"/>
        <charset val="204"/>
      </font>
      <numFmt formatCode="GENERAL" numFmtId="164"/>
      <fill>
        <patternFill>
          <bgColor rgb="FFFFC000"/>
        </patternFill>
      </fill>
    </dxf>
    <dxf>
      <font>
        <sz val="11"/>
        <color rgb="FF000000"/>
        <name val="Calibri"/>
        <family val="2"/>
        <charset val="204"/>
      </font>
      <numFmt formatCode="GENERAL" numFmtId="164"/>
      <fill>
        <patternFill>
          <bgColor rgb="FFFF0000"/>
        </patternFill>
      </fill>
    </dxf>
    <dxf>
      <font>
        <sz val="11"/>
        <color rgb="FF000000"/>
        <name val="Calibri"/>
        <family val="2"/>
        <charset val="204"/>
      </font>
      <numFmt formatCode="GENERAL" numFmtId="164"/>
      <fill>
        <patternFill>
          <bgColor rgb="FF00B050"/>
        </patternFill>
      </fill>
    </dxf>
    <dxf>
      <font>
        <sz val="11"/>
        <color rgb="FF000000"/>
        <name val="Calibri"/>
        <family val="2"/>
        <charset val="204"/>
      </font>
      <numFmt formatCode="GENERAL" numFmtId="164"/>
      <fill>
        <patternFill>
          <bgColor rgb="FFFFC000"/>
        </patternFill>
      </fill>
    </dxf>
    <dxf>
      <font>
        <sz val="11"/>
        <color rgb="FF000000"/>
        <name val="Calibri"/>
        <family val="2"/>
        <charset val="204"/>
      </font>
      <numFmt formatCode="GENERAL" numFmtId="164"/>
      <fill>
        <patternFill>
          <bgColor rgb="FFFF0000"/>
        </patternFill>
      </fill>
    </dxf>
    <dxf>
      <font>
        <sz val="11"/>
        <color rgb="FF000000"/>
        <name val="Calibri"/>
        <family val="2"/>
        <charset val="204"/>
      </font>
      <numFmt formatCode="GENERAL" numFmtId="164"/>
      <fill>
        <patternFill>
          <bgColor rgb="FF00B050"/>
        </patternFill>
      </fill>
    </dxf>
    <dxf>
      <font>
        <sz val="11"/>
        <color rgb="FF000000"/>
        <name val="Calibri"/>
        <family val="2"/>
        <charset val="204"/>
      </font>
      <numFmt formatCode="GENERAL" numFmtId="164"/>
      <fill>
        <patternFill>
          <bgColor rgb="FFFFC000"/>
        </patternFill>
      </fill>
    </dxf>
    <dxf>
      <font>
        <sz val="11"/>
        <color rgb="FF000000"/>
        <name val="Calibri"/>
        <family val="2"/>
        <charset val="204"/>
      </font>
      <numFmt formatCode="GENERAL" numFmtId="164"/>
      <fill>
        <patternFill>
          <bgColor rgb="FFFF0000"/>
        </patternFill>
      </fill>
    </dxf>
    <dxf>
      <font>
        <sz val="11"/>
        <color rgb="FF000000"/>
        <name val="Calibri"/>
        <family val="2"/>
        <charset val="204"/>
      </font>
      <numFmt formatCode="GENERAL" numFmtId="164"/>
      <fill>
        <patternFill>
          <bgColor rgb="FF00B050"/>
        </patternFill>
      </fill>
    </dxf>
    <dxf>
      <font>
        <sz val="11"/>
        <color rgb="FF000000"/>
        <name val="Calibri"/>
        <family val="2"/>
        <charset val="204"/>
      </font>
      <numFmt formatCode="GENERAL" numFmtId="164"/>
      <fill>
        <patternFill>
          <bgColor rgb="FFFFC000"/>
        </patternFill>
      </fill>
    </dxf>
    <dxf>
      <font>
        <sz val="11"/>
        <color rgb="FF000000"/>
        <name val="Calibri"/>
        <family val="2"/>
        <charset val="204"/>
      </font>
      <numFmt formatCode="GENERAL" numFmtId="164"/>
      <fill>
        <patternFill>
          <bgColor rgb="FFFF0000"/>
        </patternFill>
      </fill>
    </dxf>
    <dxf>
      <font>
        <sz val="11"/>
        <color rgb="FF000000"/>
        <name val="Calibri"/>
        <family val="2"/>
        <charset val="204"/>
      </font>
      <numFmt formatCode="GENERAL" numFmtId="164"/>
      <fill>
        <patternFill>
          <bgColor rgb="FF00B050"/>
        </patternFill>
      </fill>
    </dxf>
    <dxf>
      <font>
        <sz val="11"/>
        <color rgb="FF000000"/>
        <name val="Calibri"/>
        <family val="2"/>
        <charset val="204"/>
      </font>
      <numFmt formatCode="GENERAL" numFmtId="164"/>
      <fill>
        <patternFill>
          <bgColor rgb="FFFFC000"/>
        </patternFill>
      </fill>
    </dxf>
    <dxf>
      <font>
        <sz val="11"/>
        <color rgb="FF000000"/>
        <name val="Calibri"/>
        <family val="2"/>
        <charset val="204"/>
      </font>
      <numFmt formatCode="GENERAL" numFmtId="164"/>
      <fill>
        <patternFill>
          <bgColor rgb="FFFF0000"/>
        </patternFill>
      </fill>
    </dxf>
    <dxf>
      <font>
        <sz val="11"/>
        <color rgb="FF000000"/>
        <name val="Calibri"/>
        <family val="2"/>
        <charset val="204"/>
      </font>
      <numFmt formatCode="GENERAL" numFmtId="164"/>
      <fill>
        <patternFill>
          <bgColor rgb="FF00B050"/>
        </patternFill>
      </fill>
    </dxf>
    <dxf>
      <font>
        <sz val="11"/>
        <color rgb="FF000000"/>
        <name val="Calibri"/>
        <family val="2"/>
        <charset val="204"/>
      </font>
      <numFmt formatCode="GENERAL" numFmtId="164"/>
      <fill>
        <patternFill>
          <bgColor rgb="FFFFC000"/>
        </patternFill>
      </fill>
    </dxf>
    <dxf>
      <font>
        <sz val="11"/>
        <color rgb="FF000000"/>
        <name val="Calibri"/>
        <family val="2"/>
        <charset val="204"/>
      </font>
      <numFmt formatCode="GENERAL" numFmtId="164"/>
      <fill>
        <patternFill>
          <bgColor rgb="FFFF0000"/>
        </patternFill>
      </fill>
    </dxf>
    <dxf>
      <font>
        <sz val="11"/>
        <color rgb="FF000000"/>
        <name val="Calibri"/>
        <family val="2"/>
        <charset val="204"/>
      </font>
      <numFmt formatCode="GENERAL" numFmtId="164"/>
      <fill>
        <patternFill>
          <bgColor rgb="FF00B050"/>
        </patternFill>
      </fill>
    </dxf>
    <dxf>
      <font>
        <sz val="11"/>
        <color rgb="FF000000"/>
        <name val="Calibri"/>
        <family val="2"/>
        <charset val="204"/>
      </font>
      <numFmt formatCode="GENERAL" numFmtId="164"/>
      <fill>
        <patternFill>
          <bgColor rgb="FFFFC000"/>
        </patternFill>
      </fill>
    </dxf>
    <dxf>
      <font>
        <sz val="11"/>
        <color rgb="FF000000"/>
        <name val="Calibri"/>
        <family val="2"/>
        <charset val="204"/>
      </font>
      <numFmt formatCode="GENERAL" numFmtId="164"/>
      <fill>
        <patternFill>
          <bgColor rgb="FFFF0000"/>
        </patternFill>
      </fill>
    </dxf>
    <dxf>
      <font>
        <sz val="11"/>
        <color rgb="FF000000"/>
        <name val="Calibri"/>
        <family val="2"/>
        <charset val="204"/>
      </font>
      <numFmt formatCode="GENERAL" numFmtId="164"/>
      <fill>
        <patternFill>
          <bgColor rgb="FF00B050"/>
        </patternFill>
      </fill>
    </dxf>
    <dxf>
      <font>
        <sz val="11"/>
        <color rgb="FF000000"/>
        <name val="Calibri"/>
        <family val="2"/>
        <charset val="204"/>
      </font>
      <numFmt formatCode="GENERAL" numFmtId="164"/>
      <fill>
        <patternFill>
          <bgColor rgb="FFFFC000"/>
        </patternFill>
      </fill>
    </dxf>
    <dxf>
      <font>
        <sz val="11"/>
        <color rgb="FF000000"/>
        <name val="Calibri"/>
        <family val="2"/>
        <charset val="204"/>
      </font>
      <numFmt formatCode="GENERAL" numFmtId="164"/>
      <fill>
        <patternFill>
          <bgColor rgb="FFFF0000"/>
        </patternFill>
      </fill>
    </dxf>
    <dxf>
      <font>
        <sz val="11"/>
        <color rgb="FF000000"/>
        <name val="Calibri"/>
        <family val="2"/>
        <charset val="204"/>
      </font>
      <numFmt formatCode="GENERAL" numFmtId="164"/>
      <fill>
        <patternFill>
          <bgColor rgb="FF00B050"/>
        </patternFill>
      </fill>
    </dxf>
    <dxf>
      <font>
        <sz val="11"/>
        <color rgb="FF000000"/>
        <name val="Calibri"/>
        <family val="2"/>
        <charset val="204"/>
      </font>
      <numFmt formatCode="GENERAL" numFmtId="164"/>
      <fill>
        <patternFill>
          <bgColor rgb="FFFFC000"/>
        </patternFill>
      </fill>
    </dxf>
    <dxf>
      <font>
        <sz val="11"/>
        <color rgb="FF000000"/>
        <name val="Calibri"/>
        <family val="2"/>
        <charset val="204"/>
      </font>
      <numFmt formatCode="GENERAL" numFmtId="164"/>
      <fill>
        <patternFill>
          <bgColor rgb="FFFF0000"/>
        </patternFill>
      </fill>
    </dxf>
    <dxf>
      <font>
        <sz val="11"/>
        <color rgb="FF000000"/>
        <name val="Calibri"/>
        <family val="2"/>
        <charset val="204"/>
      </font>
      <numFmt formatCode="GENERAL" numFmtId="164"/>
      <fill>
        <patternFill>
          <bgColor rgb="FF00B050"/>
        </patternFill>
      </fill>
    </dxf>
    <dxf>
      <font>
        <sz val="11"/>
        <color rgb="FF000000"/>
        <name val="Calibri"/>
        <family val="2"/>
        <charset val="204"/>
      </font>
      <numFmt formatCode="GENERAL" numFmtId="164"/>
      <fill>
        <patternFill>
          <bgColor rgb="FFFFC000"/>
        </patternFill>
      </fill>
    </dxf>
    <dxf>
      <font>
        <sz val="11"/>
        <color rgb="FF000000"/>
        <name val="Calibri"/>
        <family val="2"/>
        <charset val="204"/>
      </font>
      <numFmt formatCode="GENERAL" numFmtId="164"/>
      <fill>
        <patternFill>
          <bgColor rgb="FFFF0000"/>
        </patternFill>
      </fill>
    </dxf>
    <dxf>
      <font>
        <sz val="11"/>
        <color rgb="FF000000"/>
        <name val="Calibri"/>
        <family val="2"/>
        <charset val="204"/>
      </font>
      <numFmt formatCode="GENERAL" numFmtId="164"/>
      <fill>
        <patternFill>
          <bgColor rgb="FF00B050"/>
        </patternFill>
      </fill>
    </dxf>
    <dxf>
      <font>
        <sz val="11"/>
        <color rgb="FF000000"/>
        <name val="Calibri"/>
        <family val="2"/>
        <charset val="204"/>
      </font>
      <numFmt formatCode="GENERAL" numFmtId="164"/>
      <fill>
        <patternFill>
          <bgColor rgb="FFFFC000"/>
        </patternFill>
      </fill>
    </dxf>
    <dxf>
      <font>
        <sz val="11"/>
        <color rgb="FF000000"/>
        <name val="Calibri"/>
        <family val="2"/>
        <charset val="204"/>
      </font>
      <numFmt formatCode="GENERAL" numFmtId="164"/>
      <fill>
        <patternFill>
          <bgColor rgb="FFFF0000"/>
        </patternFill>
      </fill>
    </dxf>
    <dxf>
      <font>
        <sz val="11"/>
        <color rgb="FF000000"/>
        <name val="Calibri"/>
        <family val="2"/>
        <charset val="204"/>
      </font>
      <numFmt formatCode="GENERAL" numFmtId="164"/>
      <fill>
        <patternFill>
          <bgColor rgb="FF00B050"/>
        </patternFill>
      </fill>
    </dxf>
    <dxf>
      <font>
        <sz val="11"/>
        <color rgb="FF000000"/>
        <name val="Calibri"/>
        <family val="2"/>
        <charset val="204"/>
      </font>
      <numFmt formatCode="GENERAL" numFmtId="164"/>
      <fill>
        <patternFill>
          <bgColor rgb="FFFFC000"/>
        </patternFill>
      </fill>
    </dxf>
    <dxf>
      <font>
        <sz val="11"/>
        <color rgb="FF000000"/>
        <name val="Calibri"/>
        <family val="2"/>
        <charset val="204"/>
      </font>
      <numFmt formatCode="GENERAL" numFmtId="164"/>
      <fill>
        <patternFill>
          <bgColor rgb="FFFF0000"/>
        </patternFill>
      </fill>
    </dxf>
    <dxf>
      <font>
        <sz val="11"/>
        <color rgb="FF000000"/>
        <name val="Calibri"/>
        <family val="2"/>
        <charset val="204"/>
      </font>
      <numFmt formatCode="GENERAL" numFmtId="164"/>
      <fill>
        <patternFill>
          <bgColor rgb="FF00B050"/>
        </patternFill>
      </fill>
    </dxf>
    <dxf>
      <font>
        <sz val="11"/>
        <color rgb="FF000000"/>
        <name val="Calibri"/>
        <family val="2"/>
        <charset val="204"/>
      </font>
      <numFmt formatCode="GENERAL" numFmtId="164"/>
      <fill>
        <patternFill>
          <bgColor rgb="FFFFC000"/>
        </patternFill>
      </fill>
    </dxf>
    <dxf>
      <font>
        <sz val="11"/>
        <color rgb="FF000000"/>
        <name val="Calibri"/>
        <family val="2"/>
        <charset val="204"/>
      </font>
      <numFmt formatCode="GENERAL" numFmtId="164"/>
      <fill>
        <patternFill>
          <bgColor rgb="FFFF0000"/>
        </patternFill>
      </fill>
    </dxf>
    <dxf>
      <font>
        <sz val="11"/>
        <color rgb="FF000000"/>
        <name val="Calibri"/>
        <family val="2"/>
        <charset val="204"/>
      </font>
      <numFmt formatCode="GENERAL" numFmtId="164"/>
      <fill>
        <patternFill>
          <bgColor rgb="FF00B050"/>
        </patternFill>
      </fill>
    </dxf>
    <dxf>
      <font>
        <sz val="11"/>
        <color rgb="FF000000"/>
        <name val="Calibri"/>
        <family val="2"/>
        <charset val="204"/>
      </font>
      <numFmt formatCode="GENERAL" numFmtId="164"/>
      <fill>
        <patternFill>
          <bgColor rgb="FFFFC000"/>
        </patternFill>
      </fill>
    </dxf>
    <dxf>
      <font>
        <sz val="11"/>
        <color rgb="FF000000"/>
        <name val="Calibri"/>
        <family val="2"/>
        <charset val="204"/>
      </font>
      <numFmt formatCode="GENERAL" numFmtId="164"/>
      <fill>
        <patternFill>
          <bgColor rgb="FFFF0000"/>
        </patternFill>
      </fill>
    </dxf>
    <dxf>
      <font>
        <sz val="11"/>
        <color rgb="FF000000"/>
        <name val="Calibri"/>
        <family val="2"/>
        <charset val="204"/>
      </font>
      <numFmt formatCode="GENERAL" numFmtId="164"/>
      <fill>
        <patternFill>
          <bgColor rgb="FF00B050"/>
        </patternFill>
      </fill>
    </dxf>
    <dxf>
      <font>
        <sz val="11"/>
        <color rgb="FF000000"/>
        <name val="Calibri"/>
        <family val="2"/>
        <charset val="204"/>
      </font>
      <numFmt formatCode="GENERAL" numFmtId="164"/>
      <fill>
        <patternFill>
          <bgColor rgb="FFFFC000"/>
        </patternFill>
      </fill>
    </dxf>
    <dxf>
      <font>
        <sz val="11"/>
        <color rgb="FF000000"/>
        <name val="Calibri"/>
        <family val="2"/>
        <charset val="204"/>
      </font>
      <numFmt formatCode="GENERAL" numFmtId="164"/>
      <fill>
        <patternFill>
          <bgColor rgb="FFFF0000"/>
        </patternFill>
      </fill>
    </dxf>
    <dxf>
      <font>
        <sz val="11"/>
        <color rgb="FF000000"/>
        <name val="Calibri"/>
        <family val="2"/>
        <charset val="204"/>
      </font>
      <numFmt formatCode="GENERAL" numFmtId="164"/>
      <fill>
        <patternFill>
          <bgColor rgb="FF00B050"/>
        </patternFill>
      </fill>
    </dxf>
    <dxf>
      <font>
        <sz val="11"/>
        <color rgb="FF000000"/>
        <name val="Calibri"/>
        <family val="2"/>
        <charset val="204"/>
      </font>
      <numFmt formatCode="GENERAL" numFmtId="164"/>
      <fill>
        <patternFill>
          <bgColor rgb="FFFFC000"/>
        </patternFill>
      </fill>
    </dxf>
    <dxf>
      <font>
        <sz val="11"/>
        <color rgb="FF000000"/>
        <name val="Calibri"/>
        <family val="2"/>
        <charset val="204"/>
      </font>
      <numFmt formatCode="GENERAL" numFmtId="164"/>
      <fill>
        <patternFill>
          <bgColor rgb="FFFF0000"/>
        </patternFill>
      </fill>
    </dxf>
    <dxf>
      <font>
        <sz val="11"/>
        <color rgb="FF000000"/>
        <name val="Calibri"/>
        <family val="2"/>
        <charset val="204"/>
      </font>
      <numFmt formatCode="GENERAL" numFmtId="164"/>
      <fill>
        <patternFill>
          <bgColor rgb="FF00B050"/>
        </patternFill>
      </fill>
    </dxf>
    <dxf>
      <font>
        <sz val="11"/>
        <color rgb="FF000000"/>
        <name val="Calibri"/>
        <family val="2"/>
        <charset val="204"/>
      </font>
      <numFmt formatCode="GENERAL" numFmtId="164"/>
      <fill>
        <patternFill>
          <bgColor rgb="FFFFC000"/>
        </patternFill>
      </fill>
    </dxf>
    <dxf>
      <font>
        <sz val="11"/>
        <color rgb="FF000000"/>
        <name val="Calibri"/>
        <family val="2"/>
        <charset val="204"/>
      </font>
      <numFmt formatCode="GENERAL" numFmtId="164"/>
      <fill>
        <patternFill>
          <bgColor rgb="FFFF000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CE6F2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5B3D7"/>
      <rgbColor rgb="FFFF99CC"/>
      <rgbColor rgb="FFCC99FF"/>
      <rgbColor rgb="FFFFCC99"/>
      <rgbColor rgb="FF3366FF"/>
      <rgbColor rgb="FF33CCCC"/>
      <rgbColor rgb="FF92D050"/>
      <rgbColor rgb="FFFFC0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sharedStrings" Target="sharedStrings.xml"/>
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/>
</file>

<file path=xl/drawings/drawing2.xml><?xml version="1.0" encoding="utf-8"?>
<xdr:wsDr xmlns:a="http://schemas.openxmlformats.org/drawingml/2006/main" xmlns:r="http://schemas.openxmlformats.org/officeDocument/2006/relationships" xmlns:xdr="http://schemas.openxmlformats.org/drawingml/2006/spreadsheetDrawing"/>
</file>

<file path=xl/drawings/drawing3.xml><?xml version="1.0" encoding="utf-8"?>
<xdr:wsDr xmlns:a="http://schemas.openxmlformats.org/drawingml/2006/main" xmlns:r="http://schemas.openxmlformats.org/officeDocument/2006/relationships" xmlns:xdr="http://schemas.openxmlformats.org/drawingml/2006/spreadsheetDrawing"/>
</file>

<file path=xl/drawings/drawing4.xml><?xml version="1.0" encoding="utf-8"?>
<xdr:wsDr xmlns:a="http://schemas.openxmlformats.org/drawingml/2006/main" xmlns:r="http://schemas.openxmlformats.org/officeDocument/2006/relationships" xmlns:xdr="http://schemas.openxmlformats.org/drawingml/2006/spreadsheetDrawing"/>
</file>

<file path=xl/drawings/drawing5.xml><?xml version="1.0" encoding="utf-8"?>
<xdr:wsDr xmlns:a="http://schemas.openxmlformats.org/drawingml/2006/main" xmlns:r="http://schemas.openxmlformats.org/officeDocument/2006/relationships" xmlns:xdr="http://schemas.openxmlformats.org/drawingml/2006/spreadsheetDrawing"/>
</file>

<file path=xl/drawings/drawing6.xml><?xml version="1.0" encoding="utf-8"?>
<xdr:wsDr xmlns:a="http://schemas.openxmlformats.org/drawingml/2006/main" xmlns:r="http://schemas.openxmlformats.org/officeDocument/2006/relationships" xmlns:xdr="http://schemas.openxmlformats.org/drawingml/2006/spreadsheetDrawing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vmlDrawing" Target="../drawings/vmlDrawing2.v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3.v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drawing" Target="../drawings/drawing3.xml"/><Relationship Id="rId3" Type="http://schemas.openxmlformats.org/officeDocument/2006/relationships/vmlDrawing" Target="../drawings/vmlDrawing4.v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comments" Target="../comments5.xml"/><Relationship Id="rId2" Type="http://schemas.openxmlformats.org/officeDocument/2006/relationships/drawing" Target="../drawings/drawing4.xml"/><Relationship Id="rId3" Type="http://schemas.openxmlformats.org/officeDocument/2006/relationships/vmlDrawing" Target="../drawings/vmlDrawing5.v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comments" Target="../comments6.xml"/><Relationship Id="rId2" Type="http://schemas.openxmlformats.org/officeDocument/2006/relationships/drawing" Target="../drawings/drawing5.xml"/><Relationship Id="rId3" Type="http://schemas.openxmlformats.org/officeDocument/2006/relationships/vmlDrawing" Target="../drawings/vmlDrawing6.v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comments" Target="../comments7.xml"/><Relationship Id="rId2" Type="http://schemas.openxmlformats.org/officeDocument/2006/relationships/drawing" Target="../drawings/drawing6.xml"/><Relationship Id="rId3" Type="http://schemas.openxmlformats.org/officeDocument/2006/relationships/vmlDrawing" Target="../drawings/vmlDrawing7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305"/>
  <sheetViews>
    <sheetView colorId="64" defaultGridColor="true" rightToLeft="false" showFormulas="false" showGridLines="true" showOutlineSymbols="true" showRowColHeaders="true" showZeros="true" tabSelected="false" topLeftCell="A1" view="normal" windowProtection="true" workbookViewId="0" zoomScale="100" zoomScaleNormal="100" zoomScalePageLayoutView="100">
      <pane activePane="bottomRight" state="frozen" topLeftCell="L284" xSplit="6" ySplit="6"/>
      <selection activeCell="A1" activeCellId="0" pane="topLeft" sqref="A1"/>
      <selection activeCell="L1" activeCellId="0" pane="topRight" sqref="L1"/>
      <selection activeCell="A284" activeCellId="0" pane="bottomLeft" sqref="A284"/>
      <selection activeCell="M8" activeCellId="0" pane="bottomRight" sqref="M8"/>
    </sheetView>
  </sheetViews>
  <sheetFormatPr defaultRowHeight="15"/>
  <cols>
    <col collapsed="false" hidden="false" max="1" min="1" style="0" width="11.8622448979592"/>
    <col collapsed="false" hidden="false" max="2" min="2" style="0" width="25.2908163265306"/>
    <col collapsed="false" hidden="false" max="3" min="3" style="0" width="14.4285714285714"/>
    <col collapsed="false" hidden="true" max="4" min="4" style="0" width="0"/>
    <col collapsed="false" hidden="false" max="5" min="5" style="0" width="19.7091836734694"/>
    <col collapsed="false" hidden="false" max="6" min="6" style="0" width="46.4183673469388"/>
    <col collapsed="false" hidden="false" max="18" min="7" style="0" width="25.5663265306122"/>
    <col collapsed="false" hidden="false" max="1025" min="19" style="0" width="8.72959183673469"/>
  </cols>
  <sheetData>
    <row collapsed="false" customFormat="false" customHeight="false" hidden="false" ht="15" outlineLevel="0" r="1">
      <c r="A1" s="1"/>
      <c r="B1" s="0" t="s">
        <v>0</v>
      </c>
    </row>
    <row collapsed="false" customFormat="false" customHeight="false" hidden="false" ht="15" outlineLevel="0" r="2">
      <c r="A2" s="2"/>
      <c r="B2" s="0" t="s">
        <v>1</v>
      </c>
    </row>
    <row collapsed="false" customFormat="false" customHeight="false" hidden="false" ht="15" outlineLevel="0" r="3">
      <c r="B3" s="0" t="s">
        <v>2</v>
      </c>
    </row>
    <row collapsed="false" customFormat="false" customHeight="false" hidden="false" ht="15" outlineLevel="0" r="4">
      <c r="A4" s="3"/>
      <c r="B4" s="0" t="s">
        <v>3</v>
      </c>
    </row>
    <row collapsed="false" customFormat="false" customHeight="false" hidden="false" ht="15" outlineLevel="0" r="6">
      <c r="A6" s="4" t="s">
        <v>4</v>
      </c>
      <c r="B6" s="4" t="s">
        <v>5</v>
      </c>
      <c r="C6" s="4" t="s">
        <v>6</v>
      </c>
      <c r="D6" s="5" t="s">
        <v>7</v>
      </c>
      <c r="E6" s="5" t="s">
        <v>8</v>
      </c>
      <c r="F6" s="4" t="s">
        <v>9</v>
      </c>
      <c r="G6" s="4" t="s">
        <v>10</v>
      </c>
      <c r="H6" s="4" t="s">
        <v>11</v>
      </c>
      <c r="I6" s="4" t="s">
        <v>12</v>
      </c>
      <c r="J6" s="4" t="s">
        <v>13</v>
      </c>
      <c r="K6" s="4" t="s">
        <v>14</v>
      </c>
      <c r="L6" s="4" t="s">
        <v>15</v>
      </c>
      <c r="M6" s="4" t="s">
        <v>16</v>
      </c>
      <c r="N6" s="4" t="s">
        <v>17</v>
      </c>
      <c r="O6" s="4" t="s">
        <v>18</v>
      </c>
      <c r="P6" s="4" t="s">
        <v>19</v>
      </c>
      <c r="Q6" s="4" t="s">
        <v>20</v>
      </c>
      <c r="R6" s="4" t="s">
        <v>21</v>
      </c>
    </row>
    <row collapsed="false" customFormat="false" customHeight="false" hidden="false" ht="15" outlineLevel="0" r="7">
      <c r="A7" s="4" t="s">
        <v>22</v>
      </c>
      <c r="B7" s="5"/>
      <c r="C7" s="5"/>
      <c r="D7" s="5"/>
      <c r="E7" s="5"/>
      <c r="F7" s="5"/>
      <c r="G7" s="6" t="n">
        <v>3756757.7</v>
      </c>
      <c r="H7" s="6" t="n">
        <v>3822557.7</v>
      </c>
      <c r="I7" s="6" t="n">
        <v>3920957.7</v>
      </c>
      <c r="J7" s="6" t="n">
        <v>4039007.7</v>
      </c>
      <c r="K7" s="6" t="n">
        <v>4083657.7</v>
      </c>
      <c r="L7" s="6" t="n">
        <v>4018357.7</v>
      </c>
      <c r="M7" s="6" t="n">
        <v>4255957.7</v>
      </c>
      <c r="N7" s="6" t="n">
        <v>4493557.7</v>
      </c>
      <c r="O7" s="6" t="n">
        <v>4731157.7</v>
      </c>
      <c r="P7" s="6" t="n">
        <v>4968757.7</v>
      </c>
      <c r="Q7" s="6" t="n">
        <v>5206357.7</v>
      </c>
      <c r="R7" s="6" t="n">
        <v>5443957.7</v>
      </c>
    </row>
    <row collapsed="false" customFormat="false" customHeight="false" hidden="false" ht="15" outlineLevel="0" r="8">
      <c r="A8" s="7" t="n">
        <v>144</v>
      </c>
      <c r="B8" s="0" t="s">
        <v>23</v>
      </c>
      <c r="C8" s="8" t="n">
        <f aca="false">VLOOKUP(A8,справочник!$A$2:$C$322,3,0)</f>
        <v>153</v>
      </c>
      <c r="D8" s="0" t="str">
        <f aca="false">IFERROR(VLOOKUP(B8,справочник!$AF$2:$AF$15,1,0),"")</f>
        <v/>
      </c>
      <c r="F8" s="0" t="s">
        <v>24</v>
      </c>
      <c r="G8" s="9" t="n">
        <v>102800</v>
      </c>
      <c r="H8" s="9" t="n">
        <v>103600</v>
      </c>
      <c r="I8" s="9" t="n">
        <v>104400</v>
      </c>
      <c r="J8" s="9" t="n">
        <v>105200</v>
      </c>
      <c r="K8" s="9" t="n">
        <v>106000</v>
      </c>
      <c r="L8" s="9" t="n">
        <v>106800</v>
      </c>
      <c r="M8" s="9" t="n">
        <v>107600</v>
      </c>
      <c r="N8" s="9" t="n">
        <v>108400</v>
      </c>
      <c r="O8" s="9" t="n">
        <v>109200</v>
      </c>
      <c r="P8" s="9" t="n">
        <v>110000</v>
      </c>
      <c r="Q8" s="9" t="n">
        <v>110800</v>
      </c>
      <c r="R8" s="9" t="n">
        <v>111600</v>
      </c>
    </row>
    <row collapsed="false" customFormat="false" customHeight="false" hidden="false" ht="15" outlineLevel="0" r="9">
      <c r="A9" s="7" t="n">
        <v>199</v>
      </c>
      <c r="B9" s="0" t="s">
        <v>25</v>
      </c>
      <c r="C9" s="8" t="n">
        <f aca="false">VLOOKUP(A9,справочник!$A$2:$C$322,3,0)</f>
        <v>208</v>
      </c>
      <c r="D9" s="0" t="str">
        <f aca="false">IFERROR(VLOOKUP(B9,справочник!$AF$2:$AF$15,1,0),"")</f>
        <v/>
      </c>
      <c r="F9" s="0" t="s">
        <v>26</v>
      </c>
      <c r="G9" s="9" t="n">
        <v>86800</v>
      </c>
      <c r="H9" s="9" t="n">
        <v>87600</v>
      </c>
      <c r="I9" s="9" t="n">
        <v>88400</v>
      </c>
      <c r="J9" s="9" t="n">
        <v>89200</v>
      </c>
      <c r="K9" s="9" t="n">
        <v>90000</v>
      </c>
      <c r="L9" s="9" t="n">
        <v>90800</v>
      </c>
      <c r="M9" s="9" t="n">
        <v>91600</v>
      </c>
      <c r="N9" s="9" t="n">
        <v>92400</v>
      </c>
      <c r="O9" s="9" t="n">
        <v>93200</v>
      </c>
      <c r="P9" s="9" t="n">
        <v>94000</v>
      </c>
      <c r="Q9" s="9" t="n">
        <v>94800</v>
      </c>
      <c r="R9" s="9" t="n">
        <v>95600</v>
      </c>
    </row>
    <row collapsed="false" customFormat="false" customHeight="false" hidden="false" ht="15" outlineLevel="0" r="10">
      <c r="A10" s="7" t="n">
        <v>56</v>
      </c>
      <c r="B10" s="0" t="s">
        <v>27</v>
      </c>
      <c r="C10" s="8" t="n">
        <f aca="false">VLOOKUP(A10,справочник!$A$2:$C$322,3,0)</f>
        <v>58</v>
      </c>
      <c r="D10" s="0" t="str">
        <f aca="false">IFERROR(VLOOKUP(B10,справочник!$AF$2:$AF$15,1,0),"")</f>
        <v/>
      </c>
      <c r="F10" s="0" t="s">
        <v>28</v>
      </c>
      <c r="G10" s="9" t="n">
        <v>53800</v>
      </c>
      <c r="H10" s="9" t="n">
        <v>54600</v>
      </c>
      <c r="I10" s="9" t="n">
        <v>55400</v>
      </c>
      <c r="J10" s="9" t="n">
        <v>56200</v>
      </c>
      <c r="K10" s="9" t="n">
        <v>57000</v>
      </c>
      <c r="L10" s="9" t="n">
        <v>57800</v>
      </c>
      <c r="M10" s="9" t="n">
        <v>58600</v>
      </c>
      <c r="N10" s="9" t="n">
        <v>59400</v>
      </c>
      <c r="O10" s="9" t="n">
        <v>60200</v>
      </c>
      <c r="P10" s="9" t="n">
        <v>61000</v>
      </c>
      <c r="Q10" s="9" t="n">
        <v>61800</v>
      </c>
      <c r="R10" s="9" t="n">
        <v>62600</v>
      </c>
    </row>
    <row collapsed="false" customFormat="false" customHeight="false" hidden="false" ht="15" outlineLevel="0" r="11">
      <c r="A11" s="7" t="n">
        <v>26</v>
      </c>
      <c r="B11" s="0" t="s">
        <v>29</v>
      </c>
      <c r="C11" s="8" t="n">
        <f aca="false">VLOOKUP(A11,справочник!$A$2:$C$322,3,0)</f>
        <v>26</v>
      </c>
      <c r="D11" s="0" t="str">
        <f aca="false">IFERROR(VLOOKUP(B11,справочник!$AF$2:$AF$15,1,0),"")</f>
        <v/>
      </c>
      <c r="F11" s="0" t="s">
        <v>30</v>
      </c>
      <c r="G11" s="9" t="n">
        <v>52800</v>
      </c>
      <c r="H11" s="9" t="n">
        <v>53600</v>
      </c>
      <c r="I11" s="9" t="n">
        <v>54400</v>
      </c>
      <c r="J11" s="9" t="n">
        <v>55200</v>
      </c>
      <c r="K11" s="9" t="n">
        <v>56000</v>
      </c>
      <c r="L11" s="9" t="n">
        <v>56800</v>
      </c>
      <c r="M11" s="9" t="n">
        <v>57600</v>
      </c>
      <c r="N11" s="9" t="n">
        <v>58400</v>
      </c>
      <c r="O11" s="9" t="n">
        <v>59200</v>
      </c>
      <c r="P11" s="9" t="n">
        <v>60000</v>
      </c>
      <c r="Q11" s="9" t="n">
        <v>60800</v>
      </c>
      <c r="R11" s="9" t="n">
        <v>61600</v>
      </c>
    </row>
    <row collapsed="false" customFormat="false" customHeight="false" hidden="false" ht="15" outlineLevel="0" r="12">
      <c r="A12" s="7" t="n">
        <v>173</v>
      </c>
      <c r="B12" s="0" t="s">
        <v>31</v>
      </c>
      <c r="C12" s="8" t="n">
        <f aca="false">VLOOKUP(A12,справочник!$A$2:$C$322,3,0)</f>
        <v>181</v>
      </c>
      <c r="D12" s="0" t="str">
        <f aca="false">IFERROR(VLOOKUP(B12,справочник!$AF$2:$AF$15,1,0),"")</f>
        <v/>
      </c>
      <c r="F12" s="0" t="s">
        <v>32</v>
      </c>
      <c r="G12" s="9" t="n">
        <v>51800</v>
      </c>
      <c r="H12" s="9" t="n">
        <v>52600</v>
      </c>
      <c r="I12" s="9" t="n">
        <v>53400</v>
      </c>
      <c r="J12" s="9" t="n">
        <v>54200</v>
      </c>
      <c r="K12" s="9" t="n">
        <v>55000</v>
      </c>
      <c r="L12" s="9" t="n">
        <v>55800</v>
      </c>
      <c r="M12" s="9" t="n">
        <v>56600</v>
      </c>
      <c r="N12" s="9" t="n">
        <v>57400</v>
      </c>
      <c r="O12" s="9" t="n">
        <v>58200</v>
      </c>
      <c r="P12" s="9" t="n">
        <v>59000</v>
      </c>
      <c r="Q12" s="9" t="n">
        <v>59800</v>
      </c>
      <c r="R12" s="9" t="n">
        <v>60600</v>
      </c>
    </row>
    <row collapsed="false" customFormat="false" customHeight="false" hidden="false" ht="15" outlineLevel="0" r="13">
      <c r="A13" s="7" t="n">
        <v>278</v>
      </c>
      <c r="B13" s="0" t="s">
        <v>33</v>
      </c>
      <c r="C13" s="8" t="n">
        <f aca="false">VLOOKUP(A13,справочник!$A$2:$C$322,3,0)</f>
        <v>290</v>
      </c>
      <c r="D13" s="0" t="str">
        <f aca="false">IFERROR(VLOOKUP(B13,справочник!$AF$2:$AF$15,1,0),"")</f>
        <v/>
      </c>
      <c r="F13" s="0" t="s">
        <v>34</v>
      </c>
      <c r="G13" s="9" t="n">
        <v>48800</v>
      </c>
      <c r="H13" s="9" t="n">
        <v>49600</v>
      </c>
      <c r="I13" s="9" t="n">
        <v>50400</v>
      </c>
      <c r="J13" s="9" t="n">
        <v>51200</v>
      </c>
      <c r="K13" s="9" t="n">
        <v>52000</v>
      </c>
      <c r="L13" s="9" t="n">
        <v>52800</v>
      </c>
      <c r="M13" s="9" t="n">
        <v>53600</v>
      </c>
      <c r="N13" s="9" t="n">
        <v>54400</v>
      </c>
      <c r="O13" s="9" t="n">
        <v>55200</v>
      </c>
      <c r="P13" s="9" t="n">
        <v>56000</v>
      </c>
      <c r="Q13" s="9" t="n">
        <v>56800</v>
      </c>
      <c r="R13" s="9" t="n">
        <v>57600</v>
      </c>
    </row>
    <row collapsed="false" customFormat="false" customHeight="false" hidden="false" ht="15" outlineLevel="0" r="14">
      <c r="A14" s="7" t="n">
        <v>149</v>
      </c>
      <c r="B14" s="0" t="s">
        <v>35</v>
      </c>
      <c r="C14" s="8" t="n">
        <f aca="false">VLOOKUP(A14,справочник!$A$2:$C$322,3,0)</f>
        <v>157</v>
      </c>
      <c r="D14" s="0" t="str">
        <f aca="false">IFERROR(VLOOKUP(B14,справочник!$AF$2:$AF$15,1,0),"")</f>
        <v/>
      </c>
      <c r="F14" s="0" t="s">
        <v>36</v>
      </c>
      <c r="G14" s="9" t="n">
        <v>49800</v>
      </c>
      <c r="H14" s="9" t="n">
        <v>50600</v>
      </c>
      <c r="I14" s="9" t="n">
        <v>50400</v>
      </c>
      <c r="J14" s="9" t="n">
        <v>51200</v>
      </c>
      <c r="K14" s="9" t="n">
        <v>51000</v>
      </c>
      <c r="L14" s="9" t="n">
        <v>51800</v>
      </c>
      <c r="M14" s="9" t="n">
        <v>52600</v>
      </c>
      <c r="N14" s="9" t="n">
        <v>53400</v>
      </c>
      <c r="O14" s="9" t="n">
        <v>54200</v>
      </c>
      <c r="P14" s="9" t="n">
        <v>55000</v>
      </c>
      <c r="Q14" s="9" t="n">
        <v>55800</v>
      </c>
      <c r="R14" s="9" t="n">
        <v>56600</v>
      </c>
    </row>
    <row collapsed="false" customFormat="false" customHeight="false" hidden="false" ht="15" outlineLevel="0" r="15">
      <c r="A15" s="7" t="n">
        <v>30</v>
      </c>
      <c r="B15" s="0" t="s">
        <v>37</v>
      </c>
      <c r="C15" s="8" t="n">
        <f aca="false">VLOOKUP(A15,справочник!$A$2:$C$322,3,0)</f>
        <v>30</v>
      </c>
      <c r="D15" s="0" t="str">
        <f aca="false">IFERROR(VLOOKUP(B15,справочник!$AF$2:$AF$15,1,0),"")</f>
        <v/>
      </c>
      <c r="F15" s="0" t="s">
        <v>30</v>
      </c>
      <c r="G15" s="9" t="n">
        <v>47800</v>
      </c>
      <c r="H15" s="9" t="n">
        <v>48600</v>
      </c>
      <c r="I15" s="9" t="n">
        <v>49400</v>
      </c>
      <c r="J15" s="9" t="n">
        <v>50200</v>
      </c>
      <c r="K15" s="9" t="n">
        <v>51000</v>
      </c>
      <c r="L15" s="9" t="n">
        <v>51800</v>
      </c>
      <c r="M15" s="9" t="n">
        <v>52600</v>
      </c>
      <c r="N15" s="9" t="n">
        <v>53400</v>
      </c>
      <c r="O15" s="9" t="n">
        <v>54200</v>
      </c>
      <c r="P15" s="9" t="n">
        <v>55000</v>
      </c>
      <c r="Q15" s="9" t="n">
        <v>55800</v>
      </c>
      <c r="R15" s="9" t="n">
        <v>56600</v>
      </c>
    </row>
    <row collapsed="false" customFormat="false" customHeight="false" hidden="false" ht="15" outlineLevel="0" r="16">
      <c r="A16" s="7" t="n">
        <v>223</v>
      </c>
      <c r="B16" s="1" t="s">
        <v>26</v>
      </c>
      <c r="C16" s="8" t="n">
        <f aca="false">VLOOKUP(A16,справочник!$A$2:$C$322,3,0)</f>
        <v>232</v>
      </c>
      <c r="D16" s="0" t="str">
        <f aca="false">IFERROR(VLOOKUP(B16,справочник!$AF$2:$AF$15,1,0),"")</f>
        <v>Борисов Олег Александрович</v>
      </c>
      <c r="F16" s="0" t="s">
        <v>38</v>
      </c>
      <c r="G16" s="9" t="n">
        <v>46800</v>
      </c>
      <c r="H16" s="9" t="n">
        <v>47600</v>
      </c>
      <c r="I16" s="9" t="n">
        <v>48400</v>
      </c>
      <c r="J16" s="9" t="n">
        <v>49200</v>
      </c>
      <c r="K16" s="9" t="n">
        <v>50000</v>
      </c>
      <c r="L16" s="9" t="n">
        <v>50800</v>
      </c>
      <c r="M16" s="9" t="n">
        <v>51600</v>
      </c>
      <c r="N16" s="9" t="n">
        <v>52400</v>
      </c>
      <c r="O16" s="9" t="n">
        <v>53200</v>
      </c>
      <c r="P16" s="9" t="n">
        <v>54000</v>
      </c>
      <c r="Q16" s="9" t="n">
        <v>54800</v>
      </c>
      <c r="R16" s="9" t="n">
        <v>55600</v>
      </c>
    </row>
    <row collapsed="false" customFormat="false" customHeight="false" hidden="false" ht="15" outlineLevel="0" r="17">
      <c r="A17" s="7" t="n">
        <v>296</v>
      </c>
      <c r="B17" s="0" t="s">
        <v>39</v>
      </c>
      <c r="C17" s="8" t="n">
        <f aca="false">VLOOKUP(A17,справочник!$A$2:$C$322,3,0)</f>
        <v>311</v>
      </c>
      <c r="D17" s="0" t="str">
        <f aca="false">IFERROR(VLOOKUP(B17,справочник!$AF$2:$AF$15,1,0),"")</f>
        <v/>
      </c>
      <c r="F17" s="0" t="s">
        <v>40</v>
      </c>
      <c r="G17" s="9" t="n">
        <v>44800</v>
      </c>
      <c r="H17" s="9" t="n">
        <v>45600</v>
      </c>
      <c r="I17" s="9" t="n">
        <v>46400</v>
      </c>
      <c r="J17" s="9" t="n">
        <v>47200</v>
      </c>
      <c r="K17" s="9" t="n">
        <v>48000</v>
      </c>
      <c r="L17" s="9" t="n">
        <v>48800</v>
      </c>
      <c r="M17" s="9" t="n">
        <v>49600</v>
      </c>
      <c r="N17" s="9" t="n">
        <v>50400</v>
      </c>
      <c r="O17" s="9" t="n">
        <v>51200</v>
      </c>
      <c r="P17" s="9" t="n">
        <v>52000</v>
      </c>
      <c r="Q17" s="9" t="n">
        <v>52800</v>
      </c>
      <c r="R17" s="9" t="n">
        <v>53600</v>
      </c>
    </row>
    <row collapsed="false" customFormat="false" customHeight="false" hidden="false" ht="15" outlineLevel="0" r="18">
      <c r="A18" s="7" t="n">
        <v>67</v>
      </c>
      <c r="B18" s="0" t="s">
        <v>41</v>
      </c>
      <c r="C18" s="8" t="n">
        <f aca="false">VLOOKUP(A18,справочник!$A$2:$C$322,3,0)</f>
        <v>69</v>
      </c>
      <c r="D18" s="0" t="str">
        <f aca="false">IFERROR(VLOOKUP(B18,справочник!$AF$2:$AF$15,1,0),"")</f>
        <v/>
      </c>
      <c r="F18" s="0" t="s">
        <v>42</v>
      </c>
      <c r="G18" s="9" t="n">
        <v>44800</v>
      </c>
      <c r="H18" s="9" t="n">
        <v>45600</v>
      </c>
      <c r="I18" s="9" t="n">
        <v>46400</v>
      </c>
      <c r="J18" s="9" t="n">
        <v>47200</v>
      </c>
      <c r="K18" s="9" t="n">
        <v>48000</v>
      </c>
      <c r="L18" s="9" t="n">
        <v>48800</v>
      </c>
      <c r="M18" s="9" t="n">
        <v>49600</v>
      </c>
      <c r="N18" s="9" t="n">
        <v>50400</v>
      </c>
      <c r="O18" s="9" t="n">
        <v>51200</v>
      </c>
      <c r="P18" s="9" t="n">
        <v>52000</v>
      </c>
      <c r="Q18" s="9" t="n">
        <v>52800</v>
      </c>
      <c r="R18" s="9" t="n">
        <v>53600</v>
      </c>
    </row>
    <row collapsed="false" customFormat="false" customHeight="false" hidden="false" ht="15" outlineLevel="0" r="19">
      <c r="A19" s="7" t="n">
        <v>238</v>
      </c>
      <c r="B19" s="0" t="s">
        <v>43</v>
      </c>
      <c r="C19" s="8" t="n">
        <f aca="false">VLOOKUP(A19,справочник!$A$2:$C$322,3,0)</f>
        <v>249</v>
      </c>
      <c r="D19" s="0" t="str">
        <f aca="false">IFERROR(VLOOKUP(B19,справочник!$AF$2:$AF$15,1,0),"")</f>
        <v/>
      </c>
      <c r="F19" s="0" t="s">
        <v>44</v>
      </c>
      <c r="G19" s="9" t="n">
        <v>43800</v>
      </c>
      <c r="H19" s="9" t="n">
        <v>44600</v>
      </c>
      <c r="I19" s="9" t="n">
        <v>45400</v>
      </c>
      <c r="J19" s="9" t="n">
        <v>46200</v>
      </c>
      <c r="K19" s="9" t="n">
        <v>47000</v>
      </c>
      <c r="L19" s="9" t="n">
        <v>47800</v>
      </c>
      <c r="M19" s="9" t="n">
        <v>48600</v>
      </c>
      <c r="N19" s="9" t="n">
        <v>49400</v>
      </c>
      <c r="O19" s="9" t="n">
        <v>50200</v>
      </c>
      <c r="P19" s="9" t="n">
        <v>51000</v>
      </c>
      <c r="Q19" s="9" t="n">
        <v>51800</v>
      </c>
      <c r="R19" s="9" t="n">
        <v>52600</v>
      </c>
    </row>
    <row collapsed="false" customFormat="false" customHeight="false" hidden="false" ht="15" outlineLevel="0" r="20">
      <c r="A20" s="7" t="n">
        <v>69</v>
      </c>
      <c r="B20" s="0" t="s">
        <v>45</v>
      </c>
      <c r="C20" s="8" t="n">
        <f aca="false">VLOOKUP(A20,справочник!$A$2:$C$322,3,0)</f>
        <v>76</v>
      </c>
      <c r="D20" s="0" t="str">
        <f aca="false">IFERROR(VLOOKUP(B20,справочник!$AF$2:$AF$15,1,0),"")</f>
        <v/>
      </c>
      <c r="F20" s="0" t="s">
        <v>42</v>
      </c>
      <c r="G20" s="9" t="n">
        <v>39800</v>
      </c>
      <c r="H20" s="9" t="n">
        <v>40600</v>
      </c>
      <c r="I20" s="9" t="n">
        <v>41400</v>
      </c>
      <c r="J20" s="9" t="n">
        <v>42200</v>
      </c>
      <c r="K20" s="9" t="n">
        <v>43000</v>
      </c>
      <c r="L20" s="9" t="n">
        <v>43800</v>
      </c>
      <c r="M20" s="9" t="n">
        <v>44600</v>
      </c>
      <c r="N20" s="9" t="n">
        <v>45400</v>
      </c>
      <c r="O20" s="9" t="n">
        <v>46200</v>
      </c>
      <c r="P20" s="9" t="n">
        <v>47000</v>
      </c>
      <c r="Q20" s="9" t="n">
        <v>47800</v>
      </c>
      <c r="R20" s="9" t="n">
        <v>48600</v>
      </c>
    </row>
    <row collapsed="false" customFormat="false" customHeight="false" hidden="false" ht="15" outlineLevel="0" r="21">
      <c r="A21" s="7" t="n">
        <v>7</v>
      </c>
      <c r="B21" s="0" t="s">
        <v>46</v>
      </c>
      <c r="C21" s="8" t="n">
        <f aca="false">VLOOKUP(A21,справочник!$A$2:$C$322,3,0)</f>
        <v>14</v>
      </c>
      <c r="D21" s="0" t="str">
        <f aca="false">IFERROR(VLOOKUP(B21,справочник!$AF$2:$AF$15,1,0),"")</f>
        <v/>
      </c>
      <c r="F21" s="0" t="s">
        <v>30</v>
      </c>
      <c r="G21" s="9" t="n">
        <v>39800</v>
      </c>
      <c r="H21" s="9" t="n">
        <v>40600</v>
      </c>
      <c r="I21" s="9" t="n">
        <v>41400</v>
      </c>
      <c r="J21" s="9" t="n">
        <v>42200</v>
      </c>
      <c r="K21" s="9" t="n">
        <v>43000</v>
      </c>
      <c r="L21" s="9" t="n">
        <v>43800</v>
      </c>
      <c r="M21" s="9" t="n">
        <v>44600</v>
      </c>
      <c r="N21" s="9" t="n">
        <v>45400</v>
      </c>
      <c r="O21" s="9" t="n">
        <v>46200</v>
      </c>
      <c r="P21" s="9" t="n">
        <v>47000</v>
      </c>
      <c r="Q21" s="9" t="n">
        <v>47800</v>
      </c>
      <c r="R21" s="9" t="n">
        <v>48600</v>
      </c>
    </row>
    <row collapsed="false" customFormat="false" customHeight="false" hidden="false" ht="15" outlineLevel="0" r="22">
      <c r="A22" s="7" t="n">
        <v>172</v>
      </c>
      <c r="B22" s="0" t="s">
        <v>47</v>
      </c>
      <c r="C22" s="8" t="n">
        <f aca="false">VLOOKUP(A22,справочник!$A$2:$C$322,3,0)</f>
        <v>180</v>
      </c>
      <c r="D22" s="0" t="str">
        <f aca="false">IFERROR(VLOOKUP(B22,справочник!$AF$2:$AF$15,1,0),"")</f>
        <v/>
      </c>
      <c r="F22" s="0" t="s">
        <v>36</v>
      </c>
      <c r="G22" s="9" t="n">
        <v>38800</v>
      </c>
      <c r="H22" s="9" t="n">
        <v>39600</v>
      </c>
      <c r="I22" s="9" t="n">
        <v>40400</v>
      </c>
      <c r="J22" s="9" t="n">
        <v>41200</v>
      </c>
      <c r="K22" s="9" t="n">
        <v>42000</v>
      </c>
      <c r="L22" s="9" t="n">
        <v>42800</v>
      </c>
      <c r="M22" s="9" t="n">
        <v>43600</v>
      </c>
      <c r="N22" s="9" t="n">
        <v>44400</v>
      </c>
      <c r="O22" s="9" t="n">
        <v>45200</v>
      </c>
      <c r="P22" s="9" t="n">
        <v>46000</v>
      </c>
      <c r="Q22" s="9" t="n">
        <v>46800</v>
      </c>
      <c r="R22" s="9" t="n">
        <v>47600</v>
      </c>
    </row>
    <row collapsed="false" customFormat="false" customHeight="false" hidden="false" ht="15" outlineLevel="0" r="23">
      <c r="A23" s="7" t="n">
        <v>114</v>
      </c>
      <c r="B23" s="0" t="s">
        <v>48</v>
      </c>
      <c r="C23" s="8" t="n">
        <f aca="false">VLOOKUP(A23,справочник!$A$2:$C$322,3,0)</f>
        <v>119</v>
      </c>
      <c r="D23" s="0" t="str">
        <f aca="false">IFERROR(VLOOKUP(B23,справочник!$AF$2:$AF$15,1,0),"")</f>
        <v/>
      </c>
      <c r="F23" s="0" t="s">
        <v>49</v>
      </c>
      <c r="G23" s="9" t="n">
        <v>35800</v>
      </c>
      <c r="H23" s="9" t="n">
        <v>36600</v>
      </c>
      <c r="I23" s="9" t="n">
        <v>37400</v>
      </c>
      <c r="J23" s="9" t="n">
        <v>38200</v>
      </c>
      <c r="K23" s="9" t="n">
        <v>39000</v>
      </c>
      <c r="L23" s="9" t="n">
        <v>39800</v>
      </c>
      <c r="M23" s="9" t="n">
        <v>40600</v>
      </c>
      <c r="N23" s="9" t="n">
        <v>41400</v>
      </c>
      <c r="O23" s="9" t="n">
        <v>42200</v>
      </c>
      <c r="P23" s="9" t="n">
        <v>43000</v>
      </c>
      <c r="Q23" s="9" t="n">
        <v>43800</v>
      </c>
      <c r="R23" s="9" t="n">
        <v>44600</v>
      </c>
    </row>
    <row collapsed="false" customFormat="false" customHeight="false" hidden="false" ht="15" outlineLevel="0" r="24">
      <c r="A24" s="7" t="n">
        <v>106</v>
      </c>
      <c r="B24" s="0" t="s">
        <v>50</v>
      </c>
      <c r="C24" s="8" t="n">
        <f aca="false">VLOOKUP(A24,справочник!$A$2:$C$322,3,0)</f>
        <v>111</v>
      </c>
      <c r="D24" s="0" t="str">
        <f aca="false">IFERROR(VLOOKUP(B24,справочник!$AF$2:$AF$15,1,0),"")</f>
        <v/>
      </c>
      <c r="F24" s="0" t="s">
        <v>49</v>
      </c>
      <c r="G24" s="9" t="n">
        <v>35800</v>
      </c>
      <c r="H24" s="9" t="n">
        <v>36600</v>
      </c>
      <c r="I24" s="9" t="n">
        <v>37400</v>
      </c>
      <c r="J24" s="9" t="n">
        <v>38200</v>
      </c>
      <c r="K24" s="9" t="n">
        <v>39000</v>
      </c>
      <c r="L24" s="9" t="n">
        <v>39800</v>
      </c>
      <c r="M24" s="9" t="n">
        <v>40600</v>
      </c>
      <c r="N24" s="9" t="n">
        <v>41400</v>
      </c>
      <c r="O24" s="9" t="n">
        <v>42200</v>
      </c>
      <c r="P24" s="9" t="n">
        <v>43000</v>
      </c>
      <c r="Q24" s="9" t="n">
        <v>43800</v>
      </c>
      <c r="R24" s="9" t="n">
        <v>44600</v>
      </c>
    </row>
    <row collapsed="false" customFormat="false" customHeight="false" hidden="false" ht="15" outlineLevel="0" r="25">
      <c r="A25" s="7" t="n">
        <v>139</v>
      </c>
      <c r="B25" s="0" t="s">
        <v>51</v>
      </c>
      <c r="C25" s="8" t="n">
        <f aca="false">VLOOKUP(A25,справочник!$A$2:$C$322,3,0)</f>
        <v>149</v>
      </c>
      <c r="D25" s="0" t="str">
        <f aca="false">IFERROR(VLOOKUP(B25,справочник!$AF$2:$AF$15,1,0),"")</f>
        <v/>
      </c>
      <c r="F25" s="0" t="s">
        <v>24</v>
      </c>
      <c r="G25" s="9" t="n">
        <v>39800</v>
      </c>
      <c r="H25" s="9" t="n">
        <v>40600</v>
      </c>
      <c r="I25" s="9" t="n">
        <v>41400</v>
      </c>
      <c r="J25" s="9" t="n">
        <v>42200</v>
      </c>
      <c r="K25" s="9" t="n">
        <v>38200</v>
      </c>
      <c r="L25" s="9" t="n">
        <v>39000</v>
      </c>
      <c r="M25" s="9" t="n">
        <v>39800</v>
      </c>
      <c r="N25" s="9" t="n">
        <v>40600</v>
      </c>
      <c r="O25" s="9" t="n">
        <v>41400</v>
      </c>
      <c r="P25" s="9" t="n">
        <v>42200</v>
      </c>
      <c r="Q25" s="9" t="n">
        <v>43000</v>
      </c>
      <c r="R25" s="9" t="n">
        <v>43800</v>
      </c>
    </row>
    <row collapsed="false" customFormat="false" customHeight="false" hidden="false" ht="15" outlineLevel="0" r="26">
      <c r="A26" s="7" t="n">
        <v>197</v>
      </c>
      <c r="B26" s="0" t="s">
        <v>52</v>
      </c>
      <c r="C26" s="8" t="n">
        <f aca="false">VLOOKUP(A26,справочник!$A$2:$C$322,3,0)</f>
        <v>205</v>
      </c>
      <c r="D26" s="0" t="str">
        <f aca="false">IFERROR(VLOOKUP(B26,справочник!$AF$2:$AF$15,1,0),"")</f>
        <v/>
      </c>
      <c r="F26" s="0" t="s">
        <v>26</v>
      </c>
      <c r="G26" s="9" t="n">
        <v>34800</v>
      </c>
      <c r="H26" s="9" t="n">
        <v>35600</v>
      </c>
      <c r="I26" s="9" t="n">
        <v>36400</v>
      </c>
      <c r="J26" s="9" t="n">
        <v>37200</v>
      </c>
      <c r="K26" s="9" t="n">
        <v>38000</v>
      </c>
      <c r="L26" s="9" t="n">
        <v>38800</v>
      </c>
      <c r="M26" s="9" t="n">
        <v>39600</v>
      </c>
      <c r="N26" s="9" t="n">
        <v>40400</v>
      </c>
      <c r="O26" s="9" t="n">
        <v>41200</v>
      </c>
      <c r="P26" s="9" t="n">
        <v>42000</v>
      </c>
      <c r="Q26" s="9" t="n">
        <v>42800</v>
      </c>
      <c r="R26" s="9" t="n">
        <v>43600</v>
      </c>
    </row>
    <row collapsed="false" customFormat="false" customHeight="false" hidden="false" ht="15" outlineLevel="0" r="27">
      <c r="A27" s="7" t="n">
        <v>188</v>
      </c>
      <c r="B27" s="0" t="s">
        <v>53</v>
      </c>
      <c r="C27" s="8" t="n">
        <f aca="false">VLOOKUP(A27,справочник!$A$2:$C$322,3,0)</f>
        <v>197</v>
      </c>
      <c r="D27" s="0" t="str">
        <f aca="false">IFERROR(VLOOKUP(B27,справочник!$AF$2:$AF$15,1,0),"")</f>
        <v/>
      </c>
      <c r="F27" s="0" t="s">
        <v>32</v>
      </c>
      <c r="G27" s="9" t="n">
        <v>34800</v>
      </c>
      <c r="H27" s="9" t="n">
        <v>35600</v>
      </c>
      <c r="I27" s="9" t="n">
        <v>36400</v>
      </c>
      <c r="J27" s="9" t="n">
        <v>37200</v>
      </c>
      <c r="K27" s="9" t="n">
        <v>38000</v>
      </c>
      <c r="L27" s="9" t="n">
        <v>38800</v>
      </c>
      <c r="M27" s="9" t="n">
        <v>39600</v>
      </c>
      <c r="N27" s="9" t="n">
        <v>40400</v>
      </c>
      <c r="O27" s="9" t="n">
        <v>41200</v>
      </c>
      <c r="P27" s="9" t="n">
        <v>42000</v>
      </c>
      <c r="Q27" s="9" t="n">
        <v>42800</v>
      </c>
      <c r="R27" s="9" t="n">
        <v>43600</v>
      </c>
    </row>
    <row collapsed="false" customFormat="false" customHeight="false" hidden="false" ht="15" outlineLevel="0" r="28">
      <c r="A28" s="7" t="n">
        <v>183</v>
      </c>
      <c r="B28" s="1" t="s">
        <v>32</v>
      </c>
      <c r="C28" s="8" t="n">
        <f aca="false">VLOOKUP(A28,справочник!$A$2:$C$322,3,0)</f>
        <v>192</v>
      </c>
      <c r="D28" s="0" t="str">
        <f aca="false">IFERROR(VLOOKUP(B28,справочник!$AF$2:$AF$15,1,0),"")</f>
        <v>Спиридонов Андрей Владимирович</v>
      </c>
      <c r="F28" s="0" t="s">
        <v>32</v>
      </c>
      <c r="G28" s="9" t="n">
        <v>34800</v>
      </c>
      <c r="H28" s="9" t="n">
        <v>35600</v>
      </c>
      <c r="I28" s="9" t="n">
        <v>36400</v>
      </c>
      <c r="J28" s="9" t="n">
        <v>37200</v>
      </c>
      <c r="K28" s="9" t="n">
        <v>38000</v>
      </c>
      <c r="L28" s="9" t="n">
        <v>38800</v>
      </c>
      <c r="M28" s="9" t="n">
        <v>39600</v>
      </c>
      <c r="N28" s="9" t="n">
        <v>40400</v>
      </c>
      <c r="O28" s="9" t="n">
        <v>41200</v>
      </c>
      <c r="P28" s="9" t="n">
        <v>42000</v>
      </c>
      <c r="Q28" s="9" t="n">
        <v>42800</v>
      </c>
      <c r="R28" s="9" t="n">
        <v>43600</v>
      </c>
    </row>
    <row collapsed="false" customFormat="false" customHeight="false" hidden="false" ht="15" outlineLevel="0" r="29">
      <c r="A29" s="7" t="n">
        <v>77</v>
      </c>
      <c r="B29" s="0" t="s">
        <v>54</v>
      </c>
      <c r="C29" s="8" t="n">
        <f aca="false">VLOOKUP(A29,справочник!$A$2:$C$322,3,0)</f>
        <v>83</v>
      </c>
      <c r="D29" s="0" t="str">
        <f aca="false">IFERROR(VLOOKUP(B29,справочник!$AF$2:$AF$15,1,0),"")</f>
        <v/>
      </c>
      <c r="F29" s="0" t="s">
        <v>55</v>
      </c>
      <c r="G29" s="9" t="n">
        <v>33800</v>
      </c>
      <c r="H29" s="9" t="n">
        <v>34600</v>
      </c>
      <c r="I29" s="9" t="n">
        <v>35400</v>
      </c>
      <c r="J29" s="9" t="n">
        <v>36200</v>
      </c>
      <c r="K29" s="9" t="n">
        <v>37000</v>
      </c>
      <c r="L29" s="9" t="n">
        <v>37800</v>
      </c>
      <c r="M29" s="9" t="n">
        <v>38600</v>
      </c>
      <c r="N29" s="9" t="n">
        <v>39400</v>
      </c>
      <c r="O29" s="9" t="n">
        <v>40200</v>
      </c>
      <c r="P29" s="9" t="n">
        <v>41000</v>
      </c>
      <c r="Q29" s="9" t="n">
        <v>41800</v>
      </c>
      <c r="R29" s="9" t="n">
        <v>42600</v>
      </c>
    </row>
    <row collapsed="false" customFormat="false" customHeight="false" hidden="false" ht="15" outlineLevel="0" r="30">
      <c r="A30" s="7" t="n">
        <v>299</v>
      </c>
      <c r="B30" s="0" t="s">
        <v>56</v>
      </c>
      <c r="C30" s="8" t="n">
        <f aca="false">VLOOKUP(A30,справочник!$A$2:$C$322,3,0)</f>
        <v>314</v>
      </c>
      <c r="D30" s="0" t="str">
        <f aca="false">IFERROR(VLOOKUP(B30,справочник!$AF$2:$AF$15,1,0),"")</f>
        <v/>
      </c>
      <c r="F30" s="0" t="s">
        <v>40</v>
      </c>
      <c r="G30" s="9" t="n">
        <v>32800</v>
      </c>
      <c r="H30" s="9" t="n">
        <v>33600</v>
      </c>
      <c r="I30" s="9" t="n">
        <v>34400</v>
      </c>
      <c r="J30" s="9" t="n">
        <v>35200</v>
      </c>
      <c r="K30" s="9" t="n">
        <v>36000</v>
      </c>
      <c r="L30" s="9" t="n">
        <v>36800</v>
      </c>
      <c r="M30" s="9" t="n">
        <v>37600</v>
      </c>
      <c r="N30" s="9" t="n">
        <v>38400</v>
      </c>
      <c r="O30" s="9" t="n">
        <v>39200</v>
      </c>
      <c r="P30" s="9" t="n">
        <v>40000</v>
      </c>
      <c r="Q30" s="9" t="n">
        <v>40800</v>
      </c>
      <c r="R30" s="9" t="n">
        <v>41600</v>
      </c>
    </row>
    <row collapsed="false" customFormat="false" customHeight="false" hidden="false" ht="15" outlineLevel="0" r="31">
      <c r="A31" s="7" t="n">
        <v>306</v>
      </c>
      <c r="B31" s="0" t="s">
        <v>57</v>
      </c>
      <c r="C31" s="8" t="n">
        <f aca="false">VLOOKUP(A31,справочник!$A$2:$C$322,3,0)</f>
        <v>321</v>
      </c>
      <c r="D31" s="0" t="str">
        <f aca="false">IFERROR(VLOOKUP(B31,справочник!$AF$2:$AF$15,1,0),"")</f>
        <v/>
      </c>
      <c r="F31" s="0" t="s">
        <v>40</v>
      </c>
      <c r="G31" s="9" t="n">
        <v>31800</v>
      </c>
      <c r="H31" s="9" t="n">
        <v>32600</v>
      </c>
      <c r="I31" s="9" t="n">
        <v>33400</v>
      </c>
      <c r="J31" s="9" t="n">
        <v>34200</v>
      </c>
      <c r="K31" s="9" t="n">
        <v>35000</v>
      </c>
      <c r="L31" s="9" t="n">
        <v>35800</v>
      </c>
      <c r="M31" s="9" t="n">
        <v>36600</v>
      </c>
      <c r="N31" s="9" t="n">
        <v>37400</v>
      </c>
      <c r="O31" s="9" t="n">
        <v>38200</v>
      </c>
      <c r="P31" s="9" t="n">
        <v>39000</v>
      </c>
      <c r="Q31" s="9" t="n">
        <v>39800</v>
      </c>
      <c r="R31" s="9" t="n">
        <v>40600</v>
      </c>
    </row>
    <row collapsed="false" customFormat="false" customHeight="false" hidden="false" ht="15" outlineLevel="0" r="32">
      <c r="A32" s="7" t="n">
        <v>91</v>
      </c>
      <c r="B32" s="0" t="s">
        <v>58</v>
      </c>
      <c r="C32" s="8" t="n">
        <f aca="false">VLOOKUP(A32,справочник!$A$2:$C$322,3,0)</f>
        <v>96</v>
      </c>
      <c r="D32" s="0" t="str">
        <f aca="false">IFERROR(VLOOKUP(B32,справочник!$AF$2:$AF$15,1,0),"")</f>
        <v/>
      </c>
      <c r="F32" s="0" t="s">
        <v>55</v>
      </c>
      <c r="G32" s="9" t="n">
        <v>31800</v>
      </c>
      <c r="H32" s="9" t="n">
        <v>32600</v>
      </c>
      <c r="I32" s="9" t="n">
        <v>33400</v>
      </c>
      <c r="J32" s="9" t="n">
        <v>34200</v>
      </c>
      <c r="K32" s="9" t="n">
        <v>35000</v>
      </c>
      <c r="L32" s="9" t="n">
        <v>35800</v>
      </c>
      <c r="M32" s="9" t="n">
        <v>36600</v>
      </c>
      <c r="N32" s="9" t="n">
        <v>37400</v>
      </c>
      <c r="O32" s="9" t="n">
        <v>38200</v>
      </c>
      <c r="P32" s="9" t="n">
        <v>39000</v>
      </c>
      <c r="Q32" s="9" t="n">
        <v>39800</v>
      </c>
      <c r="R32" s="9" t="n">
        <v>40600</v>
      </c>
    </row>
    <row collapsed="false" customFormat="false" customHeight="false" hidden="false" ht="15" outlineLevel="0" r="33">
      <c r="A33" s="7" t="n">
        <v>150</v>
      </c>
      <c r="B33" s="0" t="s">
        <v>59</v>
      </c>
      <c r="C33" s="8" t="n">
        <f aca="false">VLOOKUP(A33,справочник!$A$2:$C$322,3,0)</f>
        <v>158</v>
      </c>
      <c r="D33" s="0" t="str">
        <f aca="false">IFERROR(VLOOKUP(B33,справочник!$AF$2:$AF$15,1,0),"")</f>
        <v/>
      </c>
      <c r="F33" s="0" t="s">
        <v>36</v>
      </c>
      <c r="G33" s="9" t="n">
        <v>30800</v>
      </c>
      <c r="H33" s="9" t="n">
        <v>31600</v>
      </c>
      <c r="I33" s="9" t="n">
        <v>32400</v>
      </c>
      <c r="J33" s="9" t="n">
        <v>33200</v>
      </c>
      <c r="K33" s="9" t="n">
        <v>34000</v>
      </c>
      <c r="L33" s="9" t="n">
        <v>34800</v>
      </c>
      <c r="M33" s="9" t="n">
        <v>35600</v>
      </c>
      <c r="N33" s="9" t="n">
        <v>36400</v>
      </c>
      <c r="O33" s="9" t="n">
        <v>37200</v>
      </c>
      <c r="P33" s="9" t="n">
        <v>38000</v>
      </c>
      <c r="Q33" s="9" t="n">
        <v>38800</v>
      </c>
      <c r="R33" s="9" t="n">
        <v>39600</v>
      </c>
    </row>
    <row collapsed="false" customFormat="false" customHeight="false" hidden="false" ht="15" outlineLevel="0" r="34">
      <c r="A34" s="10" t="n">
        <v>135</v>
      </c>
      <c r="B34" s="0" t="s">
        <v>60</v>
      </c>
      <c r="C34" s="0" t="n">
        <v>142</v>
      </c>
      <c r="D34" s="0" t="str">
        <f aca="false">IFERROR(VLOOKUP(B34,справочник!$AF$2:$AF$15,1,0),"")</f>
        <v/>
      </c>
      <c r="F34" s="0" t="s">
        <v>24</v>
      </c>
      <c r="G34" s="9" t="n">
        <v>59800</v>
      </c>
      <c r="H34" s="9" t="n">
        <v>60600</v>
      </c>
      <c r="I34" s="9" t="n">
        <v>53400</v>
      </c>
      <c r="J34" s="9" t="n">
        <v>54200</v>
      </c>
      <c r="K34" s="9" t="n">
        <v>55000</v>
      </c>
      <c r="L34" s="9" t="n">
        <v>34800</v>
      </c>
      <c r="M34" s="9" t="n">
        <v>35600</v>
      </c>
      <c r="N34" s="9" t="n">
        <v>36400</v>
      </c>
      <c r="O34" s="9" t="n">
        <v>37200</v>
      </c>
      <c r="P34" s="9" t="n">
        <v>38000</v>
      </c>
      <c r="Q34" s="9" t="n">
        <v>38800</v>
      </c>
      <c r="R34" s="9" t="n">
        <v>39600</v>
      </c>
    </row>
    <row collapsed="false" customFormat="false" customHeight="false" hidden="false" ht="15" outlineLevel="0" r="35">
      <c r="A35" s="7" t="n">
        <v>78</v>
      </c>
      <c r="B35" s="0" t="s">
        <v>61</v>
      </c>
      <c r="C35" s="8" t="n">
        <f aca="false">VLOOKUP(A35,справочник!$A$2:$C$322,3,0)</f>
        <v>83</v>
      </c>
      <c r="D35" s="0" t="str">
        <f aca="false">IFERROR(VLOOKUP(B35,справочник!$AF$2:$AF$15,1,0),"")</f>
        <v/>
      </c>
      <c r="F35" s="0" t="s">
        <v>55</v>
      </c>
      <c r="G35" s="9" t="n">
        <v>30800</v>
      </c>
      <c r="H35" s="9" t="n">
        <v>31600</v>
      </c>
      <c r="I35" s="9" t="n">
        <v>32400</v>
      </c>
      <c r="J35" s="9" t="n">
        <v>33200</v>
      </c>
      <c r="K35" s="9" t="n">
        <v>34000</v>
      </c>
      <c r="L35" s="9" t="n">
        <v>34800</v>
      </c>
      <c r="M35" s="9" t="n">
        <v>35600</v>
      </c>
      <c r="N35" s="9" t="n">
        <v>36400</v>
      </c>
      <c r="O35" s="9" t="n">
        <v>37200</v>
      </c>
      <c r="P35" s="9" t="n">
        <v>38000</v>
      </c>
      <c r="Q35" s="9" t="n">
        <v>38800</v>
      </c>
      <c r="R35" s="9" t="n">
        <v>39600</v>
      </c>
    </row>
    <row collapsed="false" customFormat="false" customHeight="false" hidden="false" ht="15" outlineLevel="0" r="36">
      <c r="A36" s="7" t="n">
        <v>113</v>
      </c>
      <c r="B36" s="0" t="s">
        <v>62</v>
      </c>
      <c r="C36" s="0" t="str">
        <f aca="false">VLOOKUP(A36,справочник!$A$2:$C$322,3,0)</f>
        <v>116+118+120</v>
      </c>
      <c r="D36" s="0" t="str">
        <f aca="false">IFERROR(VLOOKUP(B36,справочник!$AF$2:$AF$15,1,0),"")</f>
        <v/>
      </c>
      <c r="F36" s="0" t="s">
        <v>49</v>
      </c>
      <c r="G36" s="9" t="n">
        <v>41000</v>
      </c>
      <c r="H36" s="9" t="n">
        <v>41000</v>
      </c>
      <c r="I36" s="9" t="n">
        <v>41000</v>
      </c>
      <c r="J36" s="9" t="n">
        <v>38000</v>
      </c>
      <c r="K36" s="9" t="n">
        <v>38000</v>
      </c>
      <c r="L36" s="9" t="n">
        <v>35000</v>
      </c>
      <c r="M36" s="9" t="n">
        <v>35000</v>
      </c>
      <c r="N36" s="9" t="n">
        <v>35000</v>
      </c>
      <c r="O36" s="9" t="n">
        <v>35000</v>
      </c>
      <c r="P36" s="9" t="n">
        <v>35000</v>
      </c>
      <c r="Q36" s="9" t="n">
        <v>35000</v>
      </c>
      <c r="R36" s="9" t="n">
        <v>35000</v>
      </c>
    </row>
    <row collapsed="false" customFormat="false" customHeight="false" hidden="false" ht="15" outlineLevel="0" r="37">
      <c r="A37" s="7" t="n">
        <v>242</v>
      </c>
      <c r="B37" s="0" t="s">
        <v>63</v>
      </c>
      <c r="C37" s="8" t="n">
        <f aca="false">VLOOKUP(A37,справочник!$A$2:$C$322,3,0)</f>
        <v>253</v>
      </c>
      <c r="D37" s="0" t="str">
        <f aca="false">IFERROR(VLOOKUP(B37,справочник!$AF$2:$AF$15,1,0),"")</f>
        <v/>
      </c>
      <c r="F37" s="0" t="s">
        <v>44</v>
      </c>
      <c r="G37" s="9" t="n">
        <v>29800</v>
      </c>
      <c r="H37" s="9" t="n">
        <v>30600</v>
      </c>
      <c r="I37" s="9" t="n">
        <v>31400</v>
      </c>
      <c r="J37" s="9" t="n">
        <v>32200</v>
      </c>
      <c r="K37" s="9" t="n">
        <v>33000</v>
      </c>
      <c r="L37" s="9" t="n">
        <v>33800</v>
      </c>
      <c r="M37" s="9" t="n">
        <v>34600</v>
      </c>
      <c r="N37" s="9" t="n">
        <v>35400</v>
      </c>
      <c r="O37" s="9" t="n">
        <v>36200</v>
      </c>
      <c r="P37" s="9" t="n">
        <v>37000</v>
      </c>
      <c r="Q37" s="9" t="n">
        <v>37800</v>
      </c>
      <c r="R37" s="9" t="n">
        <v>38600</v>
      </c>
    </row>
    <row collapsed="false" customFormat="false" customHeight="false" hidden="false" ht="15" outlineLevel="0" r="38">
      <c r="A38" s="7" t="n">
        <v>99</v>
      </c>
      <c r="B38" s="0" t="s">
        <v>64</v>
      </c>
      <c r="C38" s="8" t="n">
        <f aca="false">VLOOKUP(A38,справочник!$A$2:$C$322,3,0)</f>
        <v>104</v>
      </c>
      <c r="D38" s="0" t="str">
        <f aca="false">IFERROR(VLOOKUP(B38,справочник!$AF$2:$AF$15,1,0),"")</f>
        <v/>
      </c>
      <c r="F38" s="0" t="s">
        <v>49</v>
      </c>
      <c r="G38" s="9" t="n">
        <v>29800</v>
      </c>
      <c r="H38" s="9" t="n">
        <v>30600</v>
      </c>
      <c r="I38" s="9" t="n">
        <v>31400</v>
      </c>
      <c r="J38" s="9" t="n">
        <v>32200</v>
      </c>
      <c r="K38" s="9" t="n">
        <v>33000</v>
      </c>
      <c r="L38" s="9" t="n">
        <v>33800</v>
      </c>
      <c r="M38" s="9" t="n">
        <v>34600</v>
      </c>
      <c r="N38" s="9" t="n">
        <v>35400</v>
      </c>
      <c r="O38" s="9" t="n">
        <v>36200</v>
      </c>
      <c r="P38" s="9" t="n">
        <v>37000</v>
      </c>
      <c r="Q38" s="9" t="n">
        <v>37800</v>
      </c>
      <c r="R38" s="9" t="n">
        <v>38600</v>
      </c>
    </row>
    <row collapsed="false" customFormat="false" customHeight="false" hidden="false" ht="15" outlineLevel="0" r="39">
      <c r="A39" s="7" t="n">
        <v>48</v>
      </c>
      <c r="B39" s="0" t="s">
        <v>65</v>
      </c>
      <c r="C39" s="8" t="n">
        <f aca="false">VLOOKUP(A39,справочник!$A$2:$C$322,3,0)</f>
        <v>48</v>
      </c>
      <c r="D39" s="0" t="str">
        <f aca="false">IFERROR(VLOOKUP(B39,справочник!$AF$2:$AF$15,1,0),"")</f>
        <v/>
      </c>
      <c r="F39" s="0" t="s">
        <v>28</v>
      </c>
      <c r="G39" s="9" t="n">
        <v>29800</v>
      </c>
      <c r="H39" s="9" t="n">
        <v>30600</v>
      </c>
      <c r="I39" s="9" t="n">
        <v>31400</v>
      </c>
      <c r="J39" s="9" t="n">
        <v>32200</v>
      </c>
      <c r="K39" s="9" t="n">
        <v>33000</v>
      </c>
      <c r="L39" s="9" t="n">
        <v>33800</v>
      </c>
      <c r="M39" s="9" t="n">
        <v>34600</v>
      </c>
      <c r="N39" s="9" t="n">
        <v>35400</v>
      </c>
      <c r="O39" s="9" t="n">
        <v>36200</v>
      </c>
      <c r="P39" s="9" t="n">
        <v>37000</v>
      </c>
      <c r="Q39" s="9" t="n">
        <v>37800</v>
      </c>
      <c r="R39" s="9" t="n">
        <v>38600</v>
      </c>
    </row>
    <row collapsed="false" customFormat="false" customHeight="false" hidden="false" ht="15" outlineLevel="0" r="40">
      <c r="A40" s="7" t="n">
        <v>288</v>
      </c>
      <c r="B40" s="0" t="s">
        <v>66</v>
      </c>
      <c r="C40" s="8" t="n">
        <f aca="false">VLOOKUP(A40,справочник!$A$2:$C$322,3,0)</f>
        <v>300</v>
      </c>
      <c r="D40" s="0" t="str">
        <f aca="false">IFERROR(VLOOKUP(B40,справочник!$AF$2:$AF$15,1,0),"")</f>
        <v/>
      </c>
      <c r="F40" s="0" t="s">
        <v>34</v>
      </c>
      <c r="G40" s="9" t="n">
        <v>28800</v>
      </c>
      <c r="H40" s="9" t="n">
        <v>29600</v>
      </c>
      <c r="I40" s="9" t="n">
        <v>30400</v>
      </c>
      <c r="J40" s="9" t="n">
        <v>31200</v>
      </c>
      <c r="K40" s="9" t="n">
        <v>32000</v>
      </c>
      <c r="L40" s="9" t="n">
        <v>32800</v>
      </c>
      <c r="M40" s="9" t="n">
        <v>33600</v>
      </c>
      <c r="N40" s="9" t="n">
        <v>34400</v>
      </c>
      <c r="O40" s="9" t="n">
        <v>35200</v>
      </c>
      <c r="P40" s="9" t="n">
        <v>36000</v>
      </c>
      <c r="Q40" s="9" t="n">
        <v>36800</v>
      </c>
      <c r="R40" s="9" t="n">
        <v>37600</v>
      </c>
    </row>
    <row collapsed="false" customFormat="false" customHeight="false" hidden="false" ht="15" outlineLevel="0" r="41">
      <c r="A41" s="7" t="n">
        <v>148</v>
      </c>
      <c r="B41" s="0" t="s">
        <v>67</v>
      </c>
      <c r="C41" s="8" t="n">
        <f aca="false">VLOOKUP(A41,справочник!$A$2:$C$322,3,0)</f>
        <v>156</v>
      </c>
      <c r="D41" s="0" t="str">
        <f aca="false">IFERROR(VLOOKUP(B41,справочник!$AF$2:$AF$15,1,0),"")</f>
        <v/>
      </c>
      <c r="F41" s="0" t="s">
        <v>36</v>
      </c>
      <c r="G41" s="9" t="n">
        <v>33800</v>
      </c>
      <c r="H41" s="9" t="n">
        <v>32800</v>
      </c>
      <c r="I41" s="9" t="n">
        <v>31800</v>
      </c>
      <c r="J41" s="9" t="n">
        <v>30800</v>
      </c>
      <c r="K41" s="9" t="n">
        <v>31600</v>
      </c>
      <c r="L41" s="9" t="n">
        <v>32400</v>
      </c>
      <c r="M41" s="9" t="n">
        <v>33200</v>
      </c>
      <c r="N41" s="9" t="n">
        <v>34000</v>
      </c>
      <c r="O41" s="9" t="n">
        <v>34800</v>
      </c>
      <c r="P41" s="9" t="n">
        <v>35600</v>
      </c>
      <c r="Q41" s="9" t="n">
        <v>36400</v>
      </c>
      <c r="R41" s="9" t="n">
        <v>37200</v>
      </c>
    </row>
    <row collapsed="false" customFormat="false" customHeight="false" hidden="false" ht="15" outlineLevel="0" r="42">
      <c r="A42" s="7" t="n">
        <v>63</v>
      </c>
      <c r="B42" s="0" t="s">
        <v>68</v>
      </c>
      <c r="C42" s="8" t="n">
        <f aca="false">VLOOKUP(A42,справочник!$A$2:$C$322,3,0)</f>
        <v>65</v>
      </c>
      <c r="D42" s="0" t="str">
        <f aca="false">IFERROR(VLOOKUP(B42,справочник!$AF$2:$AF$15,1,0),"")</f>
        <v/>
      </c>
      <c r="F42" s="0" t="s">
        <v>42</v>
      </c>
      <c r="G42" s="9" t="n">
        <v>28800</v>
      </c>
      <c r="H42" s="9" t="n">
        <v>29600</v>
      </c>
      <c r="I42" s="9" t="n">
        <v>30400</v>
      </c>
      <c r="J42" s="9" t="n">
        <v>31200</v>
      </c>
      <c r="K42" s="9" t="n">
        <v>32000</v>
      </c>
      <c r="L42" s="9" t="n">
        <v>32000</v>
      </c>
      <c r="M42" s="9" t="n">
        <v>32800</v>
      </c>
      <c r="N42" s="9" t="n">
        <v>33600</v>
      </c>
      <c r="O42" s="9" t="n">
        <v>34400</v>
      </c>
      <c r="P42" s="9" t="n">
        <v>35200</v>
      </c>
      <c r="Q42" s="9" t="n">
        <v>36000</v>
      </c>
      <c r="R42" s="9" t="n">
        <v>36800</v>
      </c>
    </row>
    <row collapsed="false" customFormat="false" customHeight="false" hidden="false" ht="15" outlineLevel="0" r="43">
      <c r="A43" s="7" t="n">
        <v>257</v>
      </c>
      <c r="B43" s="0" t="s">
        <v>69</v>
      </c>
      <c r="C43" s="8" t="n">
        <f aca="false">VLOOKUP(A43,справочник!$A$2:$C$322,3,0)</f>
        <v>270</v>
      </c>
      <c r="D43" s="0" t="str">
        <f aca="false">IFERROR(VLOOKUP(B43,справочник!$AF$2:$AF$15,1,0),"")</f>
        <v/>
      </c>
      <c r="F43" s="0" t="s">
        <v>70</v>
      </c>
      <c r="G43" s="9" t="n">
        <v>26800</v>
      </c>
      <c r="H43" s="9" t="n">
        <v>27600</v>
      </c>
      <c r="I43" s="9" t="n">
        <v>28400</v>
      </c>
      <c r="J43" s="9" t="n">
        <v>29200</v>
      </c>
      <c r="K43" s="9" t="n">
        <v>30000</v>
      </c>
      <c r="L43" s="9" t="n">
        <v>30800</v>
      </c>
      <c r="M43" s="9" t="n">
        <v>31600</v>
      </c>
      <c r="N43" s="9" t="n">
        <v>32400</v>
      </c>
      <c r="O43" s="9" t="n">
        <v>33200</v>
      </c>
      <c r="P43" s="9" t="n">
        <v>34000</v>
      </c>
      <c r="Q43" s="9" t="n">
        <v>34800</v>
      </c>
      <c r="R43" s="9" t="n">
        <v>35600</v>
      </c>
    </row>
    <row collapsed="false" customFormat="false" customHeight="false" hidden="false" ht="15" outlineLevel="0" r="44">
      <c r="A44" s="7" t="n">
        <v>12</v>
      </c>
      <c r="B44" s="0" t="s">
        <v>71</v>
      </c>
      <c r="C44" s="8" t="n">
        <f aca="false">VLOOKUP(A44,справочник!$A$2:$C$322,3,0)</f>
        <v>12</v>
      </c>
      <c r="D44" s="0" t="str">
        <f aca="false">IFERROR(VLOOKUP(B44,справочник!$AF$2:$AF$15,1,0),"")</f>
        <v/>
      </c>
      <c r="F44" s="0" t="s">
        <v>30</v>
      </c>
      <c r="G44" s="9" t="n">
        <v>26800</v>
      </c>
      <c r="H44" s="9" t="n">
        <v>27600</v>
      </c>
      <c r="I44" s="9" t="n">
        <v>28400</v>
      </c>
      <c r="J44" s="9" t="n">
        <v>29200</v>
      </c>
      <c r="K44" s="9" t="n">
        <v>30000</v>
      </c>
      <c r="L44" s="9" t="n">
        <v>30800</v>
      </c>
      <c r="M44" s="9" t="n">
        <v>31600</v>
      </c>
      <c r="N44" s="9" t="n">
        <v>32400</v>
      </c>
      <c r="O44" s="9" t="n">
        <v>33200</v>
      </c>
      <c r="P44" s="9" t="n">
        <v>34000</v>
      </c>
      <c r="Q44" s="9" t="n">
        <v>34800</v>
      </c>
      <c r="R44" s="9" t="n">
        <v>35600</v>
      </c>
    </row>
    <row collapsed="false" customFormat="false" customHeight="false" hidden="false" ht="15" outlineLevel="0" r="45">
      <c r="A45" s="7" t="n">
        <v>261</v>
      </c>
      <c r="B45" s="0" t="s">
        <v>72</v>
      </c>
      <c r="C45" s="8" t="n">
        <f aca="false">VLOOKUP(A45,справочник!$A$2:$C$322,3,0)</f>
        <v>275</v>
      </c>
      <c r="D45" s="0" t="str">
        <f aca="false">IFERROR(VLOOKUP(B45,справочник!$AF$2:$AF$15,1,0),"")</f>
        <v/>
      </c>
      <c r="F45" s="0" t="s">
        <v>70</v>
      </c>
      <c r="G45" s="9" t="n">
        <v>28400</v>
      </c>
      <c r="H45" s="9" t="n">
        <v>29200</v>
      </c>
      <c r="I45" s="9" t="n">
        <v>30000</v>
      </c>
      <c r="J45" s="9" t="n">
        <v>28400</v>
      </c>
      <c r="K45" s="9" t="n">
        <v>29200</v>
      </c>
      <c r="L45" s="9" t="n">
        <v>30000</v>
      </c>
      <c r="M45" s="9" t="n">
        <v>30800</v>
      </c>
      <c r="N45" s="9" t="n">
        <v>31600</v>
      </c>
      <c r="O45" s="9" t="n">
        <v>32400</v>
      </c>
      <c r="P45" s="9" t="n">
        <v>33200</v>
      </c>
      <c r="Q45" s="9" t="n">
        <v>34000</v>
      </c>
      <c r="R45" s="9" t="n">
        <v>34800</v>
      </c>
    </row>
    <row collapsed="false" customFormat="false" customHeight="false" hidden="false" ht="15" outlineLevel="0" r="46">
      <c r="A46" s="7" t="n">
        <v>164</v>
      </c>
      <c r="B46" s="0" t="s">
        <v>73</v>
      </c>
      <c r="C46" s="8" t="n">
        <f aca="false">VLOOKUP(A46,справочник!$A$2:$C$322,3,0)</f>
        <v>172</v>
      </c>
      <c r="D46" s="0" t="str">
        <f aca="false">IFERROR(VLOOKUP(B46,справочник!$AF$2:$AF$15,1,0),"")</f>
        <v/>
      </c>
      <c r="F46" s="0" t="s">
        <v>36</v>
      </c>
      <c r="G46" s="9" t="n">
        <v>25800</v>
      </c>
      <c r="H46" s="9" t="n">
        <v>26600</v>
      </c>
      <c r="I46" s="9" t="n">
        <v>27400</v>
      </c>
      <c r="J46" s="9" t="n">
        <v>28200</v>
      </c>
      <c r="K46" s="9" t="n">
        <v>29000</v>
      </c>
      <c r="L46" s="9" t="n">
        <v>29800</v>
      </c>
      <c r="M46" s="9" t="n">
        <v>30600</v>
      </c>
      <c r="N46" s="9" t="n">
        <v>31400</v>
      </c>
      <c r="O46" s="9" t="n">
        <v>32200</v>
      </c>
      <c r="P46" s="9" t="n">
        <v>33000</v>
      </c>
      <c r="Q46" s="9" t="n">
        <v>33800</v>
      </c>
      <c r="R46" s="9" t="n">
        <v>34600</v>
      </c>
    </row>
    <row collapsed="false" customFormat="false" customHeight="false" hidden="false" ht="15" outlineLevel="0" r="47">
      <c r="A47" s="7" t="n">
        <v>303</v>
      </c>
      <c r="B47" s="0" t="s">
        <v>74</v>
      </c>
      <c r="C47" s="8" t="n">
        <f aca="false">VLOOKUP(A47,справочник!$A$2:$C$322,3,0)</f>
        <v>319</v>
      </c>
      <c r="D47" s="0" t="str">
        <f aca="false">IFERROR(VLOOKUP(B47,справочник!$AF$2:$AF$15,1,0),"")</f>
        <v/>
      </c>
      <c r="F47" s="0" t="s">
        <v>40</v>
      </c>
      <c r="G47" s="9" t="n">
        <v>24800</v>
      </c>
      <c r="H47" s="9" t="n">
        <v>25600</v>
      </c>
      <c r="I47" s="9" t="n">
        <v>26400</v>
      </c>
      <c r="J47" s="9" t="n">
        <v>27200</v>
      </c>
      <c r="K47" s="9" t="n">
        <v>28000</v>
      </c>
      <c r="L47" s="9" t="n">
        <v>28800</v>
      </c>
      <c r="M47" s="9" t="n">
        <v>29600</v>
      </c>
      <c r="N47" s="9" t="n">
        <v>30400</v>
      </c>
      <c r="O47" s="9" t="n">
        <v>31200</v>
      </c>
      <c r="P47" s="9" t="n">
        <v>32000</v>
      </c>
      <c r="Q47" s="9" t="n">
        <v>32800</v>
      </c>
      <c r="R47" s="9" t="n">
        <v>33600</v>
      </c>
    </row>
    <row collapsed="false" customFormat="false" customHeight="false" hidden="false" ht="15" outlineLevel="0" r="48">
      <c r="A48" s="7" t="n">
        <v>249</v>
      </c>
      <c r="B48" s="0" t="s">
        <v>75</v>
      </c>
      <c r="C48" s="8" t="n">
        <f aca="false">VLOOKUP(A48,справочник!$A$2:$C$322,3,0)</f>
        <v>260</v>
      </c>
      <c r="D48" s="0" t="str">
        <f aca="false">IFERROR(VLOOKUP(B48,справочник!$AF$2:$AF$15,1,0),"")</f>
        <v/>
      </c>
      <c r="F48" s="0" t="s">
        <v>44</v>
      </c>
      <c r="G48" s="9" t="n">
        <v>24800</v>
      </c>
      <c r="H48" s="9" t="n">
        <v>25600</v>
      </c>
      <c r="I48" s="9" t="n">
        <v>26400</v>
      </c>
      <c r="J48" s="9" t="n">
        <v>27200</v>
      </c>
      <c r="K48" s="9" t="n">
        <v>28000</v>
      </c>
      <c r="L48" s="9" t="n">
        <v>28800</v>
      </c>
      <c r="M48" s="9" t="n">
        <v>29600</v>
      </c>
      <c r="N48" s="9" t="n">
        <v>30400</v>
      </c>
      <c r="O48" s="9" t="n">
        <v>31200</v>
      </c>
      <c r="P48" s="9" t="n">
        <v>32000</v>
      </c>
      <c r="Q48" s="9" t="n">
        <v>32800</v>
      </c>
      <c r="R48" s="9" t="n">
        <v>33600</v>
      </c>
    </row>
    <row collapsed="false" customFormat="false" customHeight="false" hidden="false" ht="15" outlineLevel="0" r="49">
      <c r="A49" s="7" t="n">
        <v>232</v>
      </c>
      <c r="B49" s="0" t="s">
        <v>76</v>
      </c>
      <c r="C49" s="8" t="n">
        <f aca="false">VLOOKUP(A49,справочник!$A$2:$C$322,3,0)</f>
        <v>241</v>
      </c>
      <c r="D49" s="0" t="str">
        <f aca="false">IFERROR(VLOOKUP(B49,справочник!$AF$2:$AF$15,1,0),"")</f>
        <v/>
      </c>
      <c r="F49" s="0" t="s">
        <v>44</v>
      </c>
      <c r="G49" s="9" t="n">
        <v>24800</v>
      </c>
      <c r="H49" s="9" t="n">
        <v>25600</v>
      </c>
      <c r="I49" s="9" t="n">
        <v>26400</v>
      </c>
      <c r="J49" s="9" t="n">
        <v>27200</v>
      </c>
      <c r="K49" s="9" t="n">
        <v>28000</v>
      </c>
      <c r="L49" s="9" t="n">
        <v>28800</v>
      </c>
      <c r="M49" s="9" t="n">
        <v>29600</v>
      </c>
      <c r="N49" s="9" t="n">
        <v>30400</v>
      </c>
      <c r="O49" s="9" t="n">
        <v>31200</v>
      </c>
      <c r="P49" s="9" t="n">
        <v>32000</v>
      </c>
      <c r="Q49" s="9" t="n">
        <v>32800</v>
      </c>
      <c r="R49" s="9" t="n">
        <v>33600</v>
      </c>
    </row>
    <row collapsed="false" customFormat="false" customHeight="false" hidden="false" ht="15" outlineLevel="0" r="50">
      <c r="A50" s="7" t="n">
        <v>202</v>
      </c>
      <c r="B50" s="0" t="s">
        <v>77</v>
      </c>
      <c r="C50" s="8" t="n">
        <f aca="false">VLOOKUP(A50,справочник!$A$2:$C$322,3,0)</f>
        <v>212</v>
      </c>
      <c r="D50" s="0" t="str">
        <f aca="false">IFERROR(VLOOKUP(B50,справочник!$AF$2:$AF$15,1,0),"")</f>
        <v/>
      </c>
      <c r="F50" s="0" t="s">
        <v>26</v>
      </c>
      <c r="G50" s="9" t="n">
        <v>24800</v>
      </c>
      <c r="H50" s="9" t="n">
        <v>25600</v>
      </c>
      <c r="I50" s="9" t="n">
        <v>26400</v>
      </c>
      <c r="J50" s="9" t="n">
        <v>27200</v>
      </c>
      <c r="K50" s="9" t="n">
        <v>28000</v>
      </c>
      <c r="L50" s="9" t="n">
        <v>28800</v>
      </c>
      <c r="M50" s="9" t="n">
        <v>29600</v>
      </c>
      <c r="N50" s="9" t="n">
        <v>30400</v>
      </c>
      <c r="O50" s="9" t="n">
        <v>31200</v>
      </c>
      <c r="P50" s="9" t="n">
        <v>32000</v>
      </c>
      <c r="Q50" s="9" t="n">
        <v>32800</v>
      </c>
      <c r="R50" s="9" t="n">
        <v>33600</v>
      </c>
    </row>
    <row collapsed="false" customFormat="false" customHeight="false" hidden="false" ht="15" outlineLevel="0" r="51">
      <c r="A51" s="7" t="n">
        <v>151</v>
      </c>
      <c r="B51" s="0" t="s">
        <v>78</v>
      </c>
      <c r="C51" s="8" t="n">
        <f aca="false">VLOOKUP(A51,справочник!$A$2:$C$322,3,0)</f>
        <v>159</v>
      </c>
      <c r="D51" s="0" t="str">
        <f aca="false">IFERROR(VLOOKUP(B51,справочник!$AF$2:$AF$15,1,0),"")</f>
        <v/>
      </c>
      <c r="F51" s="0" t="s">
        <v>36</v>
      </c>
      <c r="G51" s="9" t="n">
        <v>24800</v>
      </c>
      <c r="H51" s="9" t="n">
        <v>25600</v>
      </c>
      <c r="I51" s="9" t="n">
        <v>26400</v>
      </c>
      <c r="J51" s="9" t="n">
        <v>27200</v>
      </c>
      <c r="K51" s="9" t="n">
        <v>28000</v>
      </c>
      <c r="L51" s="9" t="n">
        <v>28800</v>
      </c>
      <c r="M51" s="9" t="n">
        <v>29600</v>
      </c>
      <c r="N51" s="9" t="n">
        <v>30400</v>
      </c>
      <c r="O51" s="9" t="n">
        <v>31200</v>
      </c>
      <c r="P51" s="9" t="n">
        <v>32000</v>
      </c>
      <c r="Q51" s="9" t="n">
        <v>32800</v>
      </c>
      <c r="R51" s="9" t="n">
        <v>33600</v>
      </c>
    </row>
    <row collapsed="false" customFormat="false" customHeight="false" hidden="false" ht="15" outlineLevel="0" r="52">
      <c r="A52" s="7" t="n">
        <v>229</v>
      </c>
      <c r="B52" s="0" t="s">
        <v>79</v>
      </c>
      <c r="C52" s="8" t="n">
        <f aca="false">VLOOKUP(A52,справочник!$A$2:$C$322,3,0)</f>
        <v>238</v>
      </c>
      <c r="D52" s="0" t="str">
        <f aca="false">IFERROR(VLOOKUP(B52,справочник!$AF$2:$AF$15,1,0),"")</f>
        <v/>
      </c>
      <c r="F52" s="0" t="s">
        <v>38</v>
      </c>
      <c r="G52" s="9" t="n">
        <v>23800</v>
      </c>
      <c r="H52" s="9" t="n">
        <v>24600</v>
      </c>
      <c r="I52" s="9" t="n">
        <v>25400</v>
      </c>
      <c r="J52" s="9" t="n">
        <v>26200</v>
      </c>
      <c r="K52" s="9" t="n">
        <v>27000</v>
      </c>
      <c r="L52" s="9" t="n">
        <v>27800</v>
      </c>
      <c r="M52" s="9" t="n">
        <v>28600</v>
      </c>
      <c r="N52" s="9" t="n">
        <v>29400</v>
      </c>
      <c r="O52" s="9" t="n">
        <v>30200</v>
      </c>
      <c r="P52" s="9" t="n">
        <v>31000</v>
      </c>
      <c r="Q52" s="9" t="n">
        <v>31800</v>
      </c>
      <c r="R52" s="9" t="n">
        <v>32600</v>
      </c>
    </row>
    <row collapsed="false" customFormat="false" customHeight="false" hidden="false" ht="15" outlineLevel="0" r="53">
      <c r="A53" s="7" t="n">
        <v>157</v>
      </c>
      <c r="B53" s="0" t="s">
        <v>80</v>
      </c>
      <c r="C53" s="8" t="n">
        <f aca="false">VLOOKUP(A53,справочник!$A$2:$C$322,3,0)</f>
        <v>165</v>
      </c>
      <c r="D53" s="0" t="str">
        <f aca="false">IFERROR(VLOOKUP(B53,справочник!$AF$2:$AF$15,1,0),"")</f>
        <v/>
      </c>
      <c r="F53" s="0" t="s">
        <v>36</v>
      </c>
      <c r="G53" s="9" t="n">
        <v>23800</v>
      </c>
      <c r="H53" s="9" t="n">
        <v>24600</v>
      </c>
      <c r="I53" s="9" t="n">
        <v>25400</v>
      </c>
      <c r="J53" s="9" t="n">
        <v>26200</v>
      </c>
      <c r="K53" s="9" t="n">
        <v>27000</v>
      </c>
      <c r="L53" s="9" t="n">
        <v>27800</v>
      </c>
      <c r="M53" s="9" t="n">
        <v>28600</v>
      </c>
      <c r="N53" s="9" t="n">
        <v>29400</v>
      </c>
      <c r="O53" s="9" t="n">
        <v>30200</v>
      </c>
      <c r="P53" s="9" t="n">
        <v>31000</v>
      </c>
      <c r="Q53" s="9" t="n">
        <v>31800</v>
      </c>
      <c r="R53" s="9" t="n">
        <v>32600</v>
      </c>
    </row>
    <row collapsed="false" customFormat="false" customHeight="false" hidden="false" ht="15" outlineLevel="0" r="54">
      <c r="A54" s="7" t="n">
        <v>47</v>
      </c>
      <c r="B54" s="0" t="s">
        <v>81</v>
      </c>
      <c r="C54" s="8" t="n">
        <f aca="false">VLOOKUP(A54,справочник!$A$2:$C$322,3,0)</f>
        <v>47</v>
      </c>
      <c r="D54" s="0" t="str">
        <f aca="false">IFERROR(VLOOKUP(B54,справочник!$AF$2:$AF$15,1,0),"")</f>
        <v/>
      </c>
      <c r="F54" s="0" t="s">
        <v>28</v>
      </c>
      <c r="G54" s="9" t="n">
        <v>23800</v>
      </c>
      <c r="H54" s="9" t="n">
        <v>24600</v>
      </c>
      <c r="I54" s="9" t="n">
        <v>25400</v>
      </c>
      <c r="J54" s="9" t="n">
        <v>26200</v>
      </c>
      <c r="K54" s="9" t="n">
        <v>27000</v>
      </c>
      <c r="L54" s="9" t="n">
        <v>27800</v>
      </c>
      <c r="M54" s="9" t="n">
        <v>28600</v>
      </c>
      <c r="N54" s="9" t="n">
        <v>29400</v>
      </c>
      <c r="O54" s="9" t="n">
        <v>30200</v>
      </c>
      <c r="P54" s="9" t="n">
        <v>31000</v>
      </c>
      <c r="Q54" s="9" t="n">
        <v>31800</v>
      </c>
      <c r="R54" s="9" t="n">
        <v>32600</v>
      </c>
    </row>
    <row collapsed="false" customFormat="false" customHeight="false" hidden="false" ht="15" outlineLevel="0" r="55">
      <c r="A55" s="7" t="n">
        <v>309</v>
      </c>
      <c r="B55" s="0" t="s">
        <v>82</v>
      </c>
      <c r="C55" s="8" t="n">
        <f aca="false">VLOOKUP(A55,справочник!$A$2:$C$322,3,0)</f>
        <v>324</v>
      </c>
      <c r="D55" s="0" t="str">
        <f aca="false">IFERROR(VLOOKUP(B55,справочник!$AF$2:$AF$15,1,0),"")</f>
        <v/>
      </c>
      <c r="F55" s="0" t="s">
        <v>40</v>
      </c>
      <c r="G55" s="9" t="n">
        <v>22800</v>
      </c>
      <c r="H55" s="9" t="n">
        <v>23600</v>
      </c>
      <c r="I55" s="9" t="n">
        <v>24400</v>
      </c>
      <c r="J55" s="9" t="n">
        <v>25200</v>
      </c>
      <c r="K55" s="9" t="n">
        <v>26000</v>
      </c>
      <c r="L55" s="9" t="n">
        <v>26800</v>
      </c>
      <c r="M55" s="9" t="n">
        <v>27600</v>
      </c>
      <c r="N55" s="9" t="n">
        <v>28400</v>
      </c>
      <c r="O55" s="9" t="n">
        <v>29200</v>
      </c>
      <c r="P55" s="9" t="n">
        <v>30000</v>
      </c>
      <c r="Q55" s="9" t="n">
        <v>30800</v>
      </c>
      <c r="R55" s="9" t="n">
        <v>31600</v>
      </c>
    </row>
    <row collapsed="false" customFormat="false" customHeight="false" hidden="false" ht="15" outlineLevel="0" r="56">
      <c r="A56" s="7" t="n">
        <v>187</v>
      </c>
      <c r="B56" s="0" t="s">
        <v>83</v>
      </c>
      <c r="C56" s="8" t="n">
        <f aca="false">VLOOKUP(A56,справочник!$A$2:$C$322,3,0)</f>
        <v>195</v>
      </c>
      <c r="D56" s="0" t="str">
        <f aca="false">IFERROR(VLOOKUP(B56,справочник!$AF$2:$AF$15,1,0),"")</f>
        <v/>
      </c>
      <c r="F56" s="0" t="s">
        <v>32</v>
      </c>
      <c r="G56" s="9" t="n">
        <v>27800</v>
      </c>
      <c r="H56" s="9" t="n">
        <v>28600</v>
      </c>
      <c r="I56" s="9" t="n">
        <v>29400</v>
      </c>
      <c r="J56" s="9" t="n">
        <v>25200</v>
      </c>
      <c r="K56" s="9" t="n">
        <v>26000</v>
      </c>
      <c r="L56" s="9" t="n">
        <v>26800</v>
      </c>
      <c r="M56" s="9" t="n">
        <v>27600</v>
      </c>
      <c r="N56" s="9" t="n">
        <v>28400</v>
      </c>
      <c r="O56" s="9" t="n">
        <v>29200</v>
      </c>
      <c r="P56" s="9" t="n">
        <v>30000</v>
      </c>
      <c r="Q56" s="9" t="n">
        <v>30800</v>
      </c>
      <c r="R56" s="9" t="n">
        <v>31600</v>
      </c>
    </row>
    <row collapsed="false" customFormat="false" customHeight="false" hidden="false" ht="15" outlineLevel="0" r="57">
      <c r="A57" s="7" t="n">
        <v>158</v>
      </c>
      <c r="B57" s="0" t="s">
        <v>84</v>
      </c>
      <c r="C57" s="8" t="n">
        <f aca="false">VLOOKUP(A57,справочник!$A$2:$C$322,3,0)</f>
        <v>166</v>
      </c>
      <c r="D57" s="0" t="str">
        <f aca="false">IFERROR(VLOOKUP(B57,справочник!$AF$2:$AF$15,1,0),"")</f>
        <v/>
      </c>
      <c r="F57" s="0" t="s">
        <v>36</v>
      </c>
      <c r="G57" s="9" t="n">
        <v>22800</v>
      </c>
      <c r="H57" s="9" t="n">
        <v>23600</v>
      </c>
      <c r="I57" s="9" t="n">
        <v>24400</v>
      </c>
      <c r="J57" s="9" t="n">
        <v>25200</v>
      </c>
      <c r="K57" s="9" t="n">
        <v>26000</v>
      </c>
      <c r="L57" s="9" t="n">
        <v>26800</v>
      </c>
      <c r="M57" s="9" t="n">
        <v>27600</v>
      </c>
      <c r="N57" s="9" t="n">
        <v>28400</v>
      </c>
      <c r="O57" s="9" t="n">
        <v>29200</v>
      </c>
      <c r="P57" s="9" t="n">
        <v>30000</v>
      </c>
      <c r="Q57" s="9" t="n">
        <v>30800</v>
      </c>
      <c r="R57" s="9" t="n">
        <v>31600</v>
      </c>
    </row>
    <row collapsed="false" customFormat="false" customHeight="false" hidden="false" ht="15" outlineLevel="0" r="58">
      <c r="A58" s="7" t="n">
        <v>228</v>
      </c>
      <c r="B58" s="0" t="s">
        <v>85</v>
      </c>
      <c r="C58" s="8" t="n">
        <f aca="false">VLOOKUP(A58,справочник!$A$2:$C$322,3,0)</f>
        <v>237</v>
      </c>
      <c r="D58" s="0" t="str">
        <f aca="false">IFERROR(VLOOKUP(B58,справочник!$AF$2:$AF$15,1,0),"")</f>
        <v/>
      </c>
      <c r="F58" s="0" t="s">
        <v>38</v>
      </c>
      <c r="G58" s="9" t="n">
        <v>21800</v>
      </c>
      <c r="H58" s="9" t="n">
        <v>22600</v>
      </c>
      <c r="I58" s="9" t="n">
        <v>23400</v>
      </c>
      <c r="J58" s="9" t="n">
        <v>24200</v>
      </c>
      <c r="K58" s="9" t="n">
        <v>25000</v>
      </c>
      <c r="L58" s="9" t="n">
        <v>25800</v>
      </c>
      <c r="M58" s="9" t="n">
        <v>26600</v>
      </c>
      <c r="N58" s="9" t="n">
        <v>27400</v>
      </c>
      <c r="O58" s="9" t="n">
        <v>28200</v>
      </c>
      <c r="P58" s="9" t="n">
        <v>29000</v>
      </c>
      <c r="Q58" s="9" t="n">
        <v>29800</v>
      </c>
      <c r="R58" s="9" t="n">
        <v>30600</v>
      </c>
    </row>
    <row collapsed="false" customFormat="false" customHeight="false" hidden="false" ht="15" outlineLevel="0" r="59">
      <c r="A59" s="7" t="n">
        <v>160</v>
      </c>
      <c r="B59" s="0" t="s">
        <v>86</v>
      </c>
      <c r="C59" s="8" t="n">
        <f aca="false">VLOOKUP(A59,справочник!$A$2:$C$322,3,0)</f>
        <v>168</v>
      </c>
      <c r="D59" s="0" t="str">
        <f aca="false">IFERROR(VLOOKUP(B59,справочник!$AF$2:$AF$15,1,0),"")</f>
        <v/>
      </c>
      <c r="F59" s="0" t="s">
        <v>36</v>
      </c>
      <c r="G59" s="9" t="n">
        <v>21800</v>
      </c>
      <c r="H59" s="9" t="n">
        <v>22600</v>
      </c>
      <c r="I59" s="9" t="n">
        <v>23400</v>
      </c>
      <c r="J59" s="9" t="n">
        <v>24200</v>
      </c>
      <c r="K59" s="9" t="n">
        <v>25000</v>
      </c>
      <c r="L59" s="9" t="n">
        <v>25800</v>
      </c>
      <c r="M59" s="9" t="n">
        <v>26600</v>
      </c>
      <c r="N59" s="9" t="n">
        <v>27400</v>
      </c>
      <c r="O59" s="9" t="n">
        <v>28200</v>
      </c>
      <c r="P59" s="9" t="n">
        <v>29000</v>
      </c>
      <c r="Q59" s="9" t="n">
        <v>29800</v>
      </c>
      <c r="R59" s="9" t="n">
        <v>30600</v>
      </c>
    </row>
    <row collapsed="false" customFormat="false" customHeight="false" hidden="false" ht="15" outlineLevel="0" r="60">
      <c r="A60" s="7" t="n">
        <v>89</v>
      </c>
      <c r="B60" s="0" t="s">
        <v>87</v>
      </c>
      <c r="C60" s="8" t="n">
        <f aca="false">VLOOKUP(A60,справочник!$A$2:$C$322,3,0)</f>
        <v>94</v>
      </c>
      <c r="D60" s="0" t="str">
        <f aca="false">IFERROR(VLOOKUP(B60,справочник!$AF$2:$AF$15,1,0),"")</f>
        <v/>
      </c>
      <c r="F60" s="0" t="s">
        <v>55</v>
      </c>
      <c r="G60" s="9" t="n">
        <v>21800</v>
      </c>
      <c r="H60" s="9" t="n">
        <v>22600</v>
      </c>
      <c r="I60" s="9" t="n">
        <v>23400</v>
      </c>
      <c r="J60" s="9" t="n">
        <v>24200</v>
      </c>
      <c r="K60" s="9" t="n">
        <v>25000</v>
      </c>
      <c r="L60" s="9" t="n">
        <v>25800</v>
      </c>
      <c r="M60" s="9" t="n">
        <v>26600</v>
      </c>
      <c r="N60" s="9" t="n">
        <v>27400</v>
      </c>
      <c r="O60" s="9" t="n">
        <v>28200</v>
      </c>
      <c r="P60" s="9" t="n">
        <v>29000</v>
      </c>
      <c r="Q60" s="9" t="n">
        <v>29800</v>
      </c>
      <c r="R60" s="9" t="n">
        <v>30600</v>
      </c>
    </row>
    <row collapsed="false" customFormat="false" customHeight="false" hidden="false" ht="15" outlineLevel="0" r="61">
      <c r="A61" s="7" t="n">
        <v>61</v>
      </c>
      <c r="B61" s="0" t="s">
        <v>88</v>
      </c>
      <c r="C61" s="8" t="n">
        <f aca="false">VLOOKUP(A61,справочник!$A$2:$C$322,3,0)</f>
        <v>63</v>
      </c>
      <c r="D61" s="0" t="str">
        <f aca="false">IFERROR(VLOOKUP(B61,справочник!$AF$2:$AF$15,1,0),"")</f>
        <v/>
      </c>
      <c r="F61" s="0" t="s">
        <v>42</v>
      </c>
      <c r="G61" s="9" t="n">
        <v>21800</v>
      </c>
      <c r="H61" s="9" t="n">
        <v>22600</v>
      </c>
      <c r="I61" s="9" t="n">
        <v>23400</v>
      </c>
      <c r="J61" s="9" t="n">
        <v>24200</v>
      </c>
      <c r="K61" s="9" t="n">
        <v>25000</v>
      </c>
      <c r="L61" s="9" t="n">
        <v>25800</v>
      </c>
      <c r="M61" s="9" t="n">
        <v>26600</v>
      </c>
      <c r="N61" s="9" t="n">
        <v>27400</v>
      </c>
      <c r="O61" s="9" t="n">
        <v>28200</v>
      </c>
      <c r="P61" s="9" t="n">
        <v>29000</v>
      </c>
      <c r="Q61" s="9" t="n">
        <v>29800</v>
      </c>
      <c r="R61" s="9" t="n">
        <v>30600</v>
      </c>
    </row>
    <row collapsed="false" customFormat="false" customHeight="false" hidden="false" ht="15" outlineLevel="0" r="62">
      <c r="A62" s="7" t="n">
        <v>43</v>
      </c>
      <c r="B62" s="0" t="s">
        <v>89</v>
      </c>
      <c r="C62" s="8" t="n">
        <f aca="false">VLOOKUP(A62,справочник!$A$2:$C$322,3,0)</f>
        <v>43</v>
      </c>
      <c r="D62" s="0" t="str">
        <f aca="false">IFERROR(VLOOKUP(B62,справочник!$AF$2:$AF$15,1,0),"")</f>
        <v/>
      </c>
      <c r="F62" s="0" t="s">
        <v>28</v>
      </c>
      <c r="G62" s="9" t="n">
        <v>23800</v>
      </c>
      <c r="H62" s="9" t="n">
        <v>24600</v>
      </c>
      <c r="I62" s="9" t="n">
        <v>25400</v>
      </c>
      <c r="J62" s="9" t="n">
        <v>26200</v>
      </c>
      <c r="K62" s="9" t="n">
        <v>27000</v>
      </c>
      <c r="L62" s="9" t="n">
        <v>25800</v>
      </c>
      <c r="M62" s="9" t="n">
        <v>26600</v>
      </c>
      <c r="N62" s="9" t="n">
        <v>27400</v>
      </c>
      <c r="O62" s="9" t="n">
        <v>28200</v>
      </c>
      <c r="P62" s="9" t="n">
        <v>29000</v>
      </c>
      <c r="Q62" s="9" t="n">
        <v>29800</v>
      </c>
      <c r="R62" s="9" t="n">
        <v>30600</v>
      </c>
    </row>
    <row collapsed="false" customFormat="false" customHeight="false" hidden="false" ht="15" outlineLevel="0" r="63">
      <c r="A63" s="7" t="n">
        <v>3</v>
      </c>
      <c r="B63" s="0" t="s">
        <v>90</v>
      </c>
      <c r="C63" s="8" t="n">
        <f aca="false">VLOOKUP(A63,справочник!$A$2:$C$322,3,0)</f>
        <v>3</v>
      </c>
      <c r="D63" s="0" t="str">
        <f aca="false">IFERROR(VLOOKUP(B63,справочник!$AF$2:$AF$15,1,0),"")</f>
        <v/>
      </c>
      <c r="F63" s="0" t="s">
        <v>30</v>
      </c>
      <c r="G63" s="9" t="n">
        <v>21800</v>
      </c>
      <c r="H63" s="9" t="n">
        <v>22600</v>
      </c>
      <c r="I63" s="9" t="n">
        <v>23400</v>
      </c>
      <c r="J63" s="9" t="n">
        <v>24200</v>
      </c>
      <c r="K63" s="9" t="n">
        <v>25000</v>
      </c>
      <c r="L63" s="9" t="n">
        <v>25800</v>
      </c>
      <c r="M63" s="9" t="n">
        <v>26600</v>
      </c>
      <c r="N63" s="9" t="n">
        <v>27400</v>
      </c>
      <c r="O63" s="9" t="n">
        <v>28200</v>
      </c>
      <c r="P63" s="9" t="n">
        <v>29000</v>
      </c>
      <c r="Q63" s="9" t="n">
        <v>29800</v>
      </c>
      <c r="R63" s="9" t="n">
        <v>30600</v>
      </c>
    </row>
    <row collapsed="false" customFormat="false" customHeight="false" hidden="false" ht="15" outlineLevel="0" r="64">
      <c r="A64" s="7" t="n">
        <v>310</v>
      </c>
      <c r="B64" s="0" t="s">
        <v>91</v>
      </c>
      <c r="C64" s="0" t="str">
        <f aca="false">VLOOKUP(A64,справочник!$A$2:$C$322,3,0)</f>
        <v>133-134</v>
      </c>
      <c r="D64" s="0" t="str">
        <f aca="false">IFERROR(VLOOKUP(B64,справочник!$AF$2:$AF$15,1,0),"")</f>
        <v/>
      </c>
      <c r="F64" s="8" t="e">
        <f aca="false">{#н/д}</f>
        <v>#N/A</v>
      </c>
      <c r="G64" s="9" t="n">
        <v>35800</v>
      </c>
      <c r="H64" s="9" t="n">
        <v>36600</v>
      </c>
      <c r="I64" s="9" t="n">
        <v>32400</v>
      </c>
      <c r="J64" s="9" t="n">
        <v>28250</v>
      </c>
      <c r="K64" s="9" t="n">
        <v>24050</v>
      </c>
      <c r="L64" s="9" t="n">
        <v>24850</v>
      </c>
      <c r="M64" s="9" t="n">
        <v>25650</v>
      </c>
      <c r="N64" s="9" t="n">
        <v>26450</v>
      </c>
      <c r="O64" s="9" t="n">
        <v>27250</v>
      </c>
      <c r="P64" s="9" t="n">
        <v>28050</v>
      </c>
      <c r="Q64" s="9" t="n">
        <v>28850</v>
      </c>
      <c r="R64" s="9" t="n">
        <v>29650</v>
      </c>
    </row>
    <row collapsed="false" customFormat="false" customHeight="false" hidden="false" ht="15" outlineLevel="0" r="65">
      <c r="A65" s="7" t="n">
        <v>265</v>
      </c>
      <c r="B65" s="0" t="s">
        <v>92</v>
      </c>
      <c r="C65" s="8" t="n">
        <f aca="false">VLOOKUP(A65,справочник!$A$2:$C$322,3,0)</f>
        <v>278</v>
      </c>
      <c r="D65" s="0" t="str">
        <f aca="false">IFERROR(VLOOKUP(B65,справочник!$AF$2:$AF$15,1,0),"")</f>
        <v/>
      </c>
      <c r="F65" s="0" t="s">
        <v>70</v>
      </c>
      <c r="G65" s="9" t="n">
        <v>23800</v>
      </c>
      <c r="H65" s="9" t="n">
        <v>24600</v>
      </c>
      <c r="I65" s="9" t="n">
        <v>22400</v>
      </c>
      <c r="J65" s="9" t="n">
        <v>23200</v>
      </c>
      <c r="K65" s="9" t="n">
        <v>24000</v>
      </c>
      <c r="L65" s="9" t="n">
        <v>24800</v>
      </c>
      <c r="M65" s="9" t="n">
        <v>25600</v>
      </c>
      <c r="N65" s="9" t="n">
        <v>26400</v>
      </c>
      <c r="O65" s="9" t="n">
        <v>27200</v>
      </c>
      <c r="P65" s="9" t="n">
        <v>28000</v>
      </c>
      <c r="Q65" s="9" t="n">
        <v>28800</v>
      </c>
      <c r="R65" s="9" t="n">
        <v>29600</v>
      </c>
    </row>
    <row collapsed="false" customFormat="false" customHeight="false" hidden="false" ht="15" outlineLevel="0" r="66">
      <c r="A66" s="7" t="n">
        <v>251</v>
      </c>
      <c r="B66" s="0" t="s">
        <v>93</v>
      </c>
      <c r="C66" s="8" t="n">
        <f aca="false">VLOOKUP(A66,справочник!$A$2:$C$322,3,0)</f>
        <v>262</v>
      </c>
      <c r="D66" s="0" t="str">
        <f aca="false">IFERROR(VLOOKUP(B66,справочник!$AF$2:$AF$15,1,0),"")</f>
        <v/>
      </c>
      <c r="F66" s="0" t="s">
        <v>70</v>
      </c>
      <c r="G66" s="9" t="n">
        <v>20800</v>
      </c>
      <c r="H66" s="9" t="n">
        <v>21600</v>
      </c>
      <c r="I66" s="9" t="n">
        <v>22400</v>
      </c>
      <c r="J66" s="9" t="n">
        <v>23200</v>
      </c>
      <c r="K66" s="9" t="n">
        <v>24000</v>
      </c>
      <c r="L66" s="9" t="n">
        <v>24800</v>
      </c>
      <c r="M66" s="9" t="n">
        <v>25600</v>
      </c>
      <c r="N66" s="9" t="n">
        <v>26400</v>
      </c>
      <c r="O66" s="9" t="n">
        <v>27200</v>
      </c>
      <c r="P66" s="9" t="n">
        <v>28000</v>
      </c>
      <c r="Q66" s="9" t="n">
        <v>28800</v>
      </c>
      <c r="R66" s="9" t="n">
        <v>29600</v>
      </c>
    </row>
    <row collapsed="false" customFormat="false" customHeight="false" hidden="false" ht="15" outlineLevel="0" r="67">
      <c r="A67" s="7" t="n">
        <v>239</v>
      </c>
      <c r="B67" s="0" t="s">
        <v>94</v>
      </c>
      <c r="C67" s="8" t="n">
        <f aca="false">VLOOKUP(A67,справочник!$A$2:$C$322,3,0)</f>
        <v>250</v>
      </c>
      <c r="D67" s="0" t="str">
        <f aca="false">IFERROR(VLOOKUP(B67,справочник!$AF$2:$AF$15,1,0),"")</f>
        <v/>
      </c>
      <c r="F67" s="0" t="s">
        <v>44</v>
      </c>
      <c r="G67" s="9" t="n">
        <v>20800</v>
      </c>
      <c r="H67" s="9" t="n">
        <v>21600</v>
      </c>
      <c r="I67" s="9" t="n">
        <v>22400</v>
      </c>
      <c r="J67" s="9" t="n">
        <v>23200</v>
      </c>
      <c r="K67" s="9" t="n">
        <v>24000</v>
      </c>
      <c r="L67" s="9" t="n">
        <v>24800</v>
      </c>
      <c r="M67" s="9" t="n">
        <v>25600</v>
      </c>
      <c r="N67" s="9" t="n">
        <v>26400</v>
      </c>
      <c r="O67" s="9" t="n">
        <v>27200</v>
      </c>
      <c r="P67" s="9" t="n">
        <v>28000</v>
      </c>
      <c r="Q67" s="9" t="n">
        <v>28800</v>
      </c>
      <c r="R67" s="9" t="n">
        <v>29600</v>
      </c>
    </row>
    <row collapsed="false" customFormat="false" customHeight="false" hidden="false" ht="15" outlineLevel="0" r="68">
      <c r="A68" s="7" t="n">
        <v>226</v>
      </c>
      <c r="B68" s="0" t="s">
        <v>95</v>
      </c>
      <c r="C68" s="8" t="n">
        <f aca="false">VLOOKUP(A68,справочник!$A$2:$C$322,3,0)</f>
        <v>235</v>
      </c>
      <c r="D68" s="0" t="str">
        <f aca="false">IFERROR(VLOOKUP(B68,справочник!$AF$2:$AF$15,1,0),"")</f>
        <v/>
      </c>
      <c r="F68" s="0" t="s">
        <v>38</v>
      </c>
      <c r="G68" s="9" t="n">
        <v>20800</v>
      </c>
      <c r="H68" s="9" t="n">
        <v>21600</v>
      </c>
      <c r="I68" s="9" t="n">
        <v>22400</v>
      </c>
      <c r="J68" s="9" t="n">
        <v>23200</v>
      </c>
      <c r="K68" s="9" t="n">
        <v>24000</v>
      </c>
      <c r="L68" s="9" t="n">
        <v>24800</v>
      </c>
      <c r="M68" s="9" t="n">
        <v>25600</v>
      </c>
      <c r="N68" s="9" t="n">
        <v>26400</v>
      </c>
      <c r="O68" s="9" t="n">
        <v>27200</v>
      </c>
      <c r="P68" s="9" t="n">
        <v>28000</v>
      </c>
      <c r="Q68" s="9" t="n">
        <v>28800</v>
      </c>
      <c r="R68" s="9" t="n">
        <v>29600</v>
      </c>
    </row>
    <row collapsed="false" customFormat="false" customHeight="false" hidden="false" ht="15" outlineLevel="0" r="69">
      <c r="A69" s="7" t="n">
        <v>224</v>
      </c>
      <c r="B69" s="0" t="s">
        <v>96</v>
      </c>
      <c r="C69" s="8" t="n">
        <f aca="false">VLOOKUP(A69,справочник!$A$2:$C$322,3,0)</f>
        <v>233</v>
      </c>
      <c r="D69" s="0" t="str">
        <f aca="false">IFERROR(VLOOKUP(B69,справочник!$AF$2:$AF$15,1,0),"")</f>
        <v/>
      </c>
      <c r="F69" s="0" t="s">
        <v>38</v>
      </c>
      <c r="G69" s="9" t="n">
        <v>20800</v>
      </c>
      <c r="H69" s="9" t="n">
        <v>21600</v>
      </c>
      <c r="I69" s="9" t="n">
        <v>22400</v>
      </c>
      <c r="J69" s="9" t="n">
        <v>23200</v>
      </c>
      <c r="K69" s="9" t="n">
        <v>24000</v>
      </c>
      <c r="L69" s="9" t="n">
        <v>24800</v>
      </c>
      <c r="M69" s="9" t="n">
        <v>25600</v>
      </c>
      <c r="N69" s="9" t="n">
        <v>26400</v>
      </c>
      <c r="O69" s="9" t="n">
        <v>27200</v>
      </c>
      <c r="P69" s="9" t="n">
        <v>28000</v>
      </c>
      <c r="Q69" s="9" t="n">
        <v>28800</v>
      </c>
      <c r="R69" s="9" t="n">
        <v>29600</v>
      </c>
    </row>
    <row collapsed="false" customFormat="false" customHeight="false" hidden="false" ht="15" outlineLevel="0" r="70">
      <c r="A70" s="7" t="n">
        <v>195</v>
      </c>
      <c r="B70" s="0" t="s">
        <v>97</v>
      </c>
      <c r="C70" s="8" t="n">
        <f aca="false">VLOOKUP(A70,справочник!$A$2:$C$322,3,0)</f>
        <v>203</v>
      </c>
      <c r="D70" s="0" t="str">
        <f aca="false">IFERROR(VLOOKUP(B70,справочник!$AF$2:$AF$15,1,0),"")</f>
        <v/>
      </c>
      <c r="F70" s="0" t="s">
        <v>26</v>
      </c>
      <c r="G70" s="9" t="n">
        <v>24800</v>
      </c>
      <c r="H70" s="9" t="n">
        <v>25600</v>
      </c>
      <c r="I70" s="9" t="n">
        <v>26400</v>
      </c>
      <c r="J70" s="9" t="n">
        <v>27200</v>
      </c>
      <c r="K70" s="9" t="n">
        <v>28000</v>
      </c>
      <c r="L70" s="9" t="n">
        <v>24800</v>
      </c>
      <c r="M70" s="9" t="n">
        <v>25600</v>
      </c>
      <c r="N70" s="9" t="n">
        <v>26400</v>
      </c>
      <c r="O70" s="9" t="n">
        <v>27200</v>
      </c>
      <c r="P70" s="9" t="n">
        <v>28000</v>
      </c>
      <c r="Q70" s="9" t="n">
        <v>28800</v>
      </c>
      <c r="R70" s="9" t="n">
        <v>29600</v>
      </c>
    </row>
    <row collapsed="false" customFormat="false" customHeight="false" hidden="false" ht="15" outlineLevel="0" r="71">
      <c r="A71" s="7" t="n">
        <v>65</v>
      </c>
      <c r="B71" s="0" t="s">
        <v>98</v>
      </c>
      <c r="C71" s="8" t="n">
        <f aca="false">VLOOKUP(A71,справочник!$A$2:$C$322,3,0)</f>
        <v>67</v>
      </c>
      <c r="D71" s="0" t="str">
        <f aca="false">IFERROR(VLOOKUP(B71,справочник!$AF$2:$AF$15,1,0),"")</f>
        <v/>
      </c>
      <c r="F71" s="0" t="s">
        <v>42</v>
      </c>
      <c r="G71" s="9" t="n">
        <v>20800</v>
      </c>
      <c r="H71" s="9" t="n">
        <v>21600</v>
      </c>
      <c r="I71" s="9" t="n">
        <v>22400</v>
      </c>
      <c r="J71" s="9" t="n">
        <v>23200</v>
      </c>
      <c r="K71" s="9" t="n">
        <v>24000</v>
      </c>
      <c r="L71" s="9" t="n">
        <v>24800</v>
      </c>
      <c r="M71" s="9" t="n">
        <v>25600</v>
      </c>
      <c r="N71" s="9" t="n">
        <v>26400</v>
      </c>
      <c r="O71" s="9" t="n">
        <v>27200</v>
      </c>
      <c r="P71" s="9" t="n">
        <v>28000</v>
      </c>
      <c r="Q71" s="9" t="n">
        <v>28800</v>
      </c>
      <c r="R71" s="9" t="n">
        <v>29600</v>
      </c>
    </row>
    <row collapsed="false" customFormat="false" customHeight="false" hidden="false" ht="15" outlineLevel="0" r="72">
      <c r="A72" s="7" t="n">
        <v>315</v>
      </c>
      <c r="B72" s="0" t="s">
        <v>99</v>
      </c>
      <c r="C72" s="0" t="str">
        <f aca="false">VLOOKUP(A72,справочник!$A$2:$C$322,3,0)</f>
        <v>265-266</v>
      </c>
      <c r="D72" s="0" t="str">
        <f aca="false">IFERROR(VLOOKUP(B72,справочник!$AF$2:$AF$15,1,0),"")</f>
        <v/>
      </c>
      <c r="F72" s="8" t="e">
        <f aca="false">{#н/д}</f>
        <v>#N/A</v>
      </c>
      <c r="G72" s="9" t="n">
        <v>19800</v>
      </c>
      <c r="H72" s="9" t="n">
        <v>20600</v>
      </c>
      <c r="I72" s="9" t="n">
        <v>21400</v>
      </c>
      <c r="J72" s="9" t="n">
        <v>22200</v>
      </c>
      <c r="K72" s="9" t="n">
        <v>23000</v>
      </c>
      <c r="L72" s="9" t="n">
        <v>23800</v>
      </c>
      <c r="M72" s="9" t="n">
        <v>24600</v>
      </c>
      <c r="N72" s="9" t="n">
        <v>25400</v>
      </c>
      <c r="O72" s="9" t="n">
        <v>26200</v>
      </c>
      <c r="P72" s="9" t="n">
        <v>27000</v>
      </c>
      <c r="Q72" s="9" t="n">
        <v>27800</v>
      </c>
      <c r="R72" s="9" t="n">
        <v>28600</v>
      </c>
    </row>
    <row collapsed="false" customFormat="false" customHeight="false" hidden="false" ht="15" outlineLevel="0" r="73">
      <c r="A73" s="7" t="n">
        <v>117</v>
      </c>
      <c r="B73" s="0" t="s">
        <v>100</v>
      </c>
      <c r="C73" s="8" t="n">
        <f aca="false">VLOOKUP(A73,справочник!$A$2:$C$322,3,0)</f>
        <v>122</v>
      </c>
      <c r="D73" s="0" t="str">
        <f aca="false">IFERROR(VLOOKUP(B73,справочник!$AF$2:$AF$15,1,0),"")</f>
        <v/>
      </c>
      <c r="F73" s="0" t="s">
        <v>49</v>
      </c>
      <c r="G73" s="9" t="n">
        <v>19800</v>
      </c>
      <c r="H73" s="9" t="n">
        <v>20600</v>
      </c>
      <c r="I73" s="9" t="n">
        <v>21400</v>
      </c>
      <c r="J73" s="9" t="n">
        <v>22200</v>
      </c>
      <c r="K73" s="9" t="n">
        <v>23000</v>
      </c>
      <c r="L73" s="9" t="n">
        <v>23800</v>
      </c>
      <c r="M73" s="9" t="n">
        <v>24600</v>
      </c>
      <c r="N73" s="9" t="n">
        <v>25400</v>
      </c>
      <c r="O73" s="9" t="n">
        <v>26200</v>
      </c>
      <c r="P73" s="9" t="n">
        <v>27000</v>
      </c>
      <c r="Q73" s="9" t="n">
        <v>27800</v>
      </c>
      <c r="R73" s="9" t="n">
        <v>28600</v>
      </c>
    </row>
    <row collapsed="false" customFormat="false" customHeight="false" hidden="false" ht="15" outlineLevel="0" r="74">
      <c r="A74" s="7" t="n">
        <v>110</v>
      </c>
      <c r="B74" s="0" t="s">
        <v>101</v>
      </c>
      <c r="C74" s="8" t="n">
        <f aca="false">VLOOKUP(A74,справочник!$A$2:$C$322,3,0)</f>
        <v>115</v>
      </c>
      <c r="D74" s="0" t="str">
        <f aca="false">IFERROR(VLOOKUP(B74,справочник!$AF$2:$AF$15,1,0),"")</f>
        <v/>
      </c>
      <c r="F74" s="0" t="s">
        <v>49</v>
      </c>
      <c r="G74" s="9" t="n">
        <v>19800</v>
      </c>
      <c r="H74" s="9" t="n">
        <v>20600</v>
      </c>
      <c r="I74" s="9" t="n">
        <v>21400</v>
      </c>
      <c r="J74" s="9" t="n">
        <v>22200</v>
      </c>
      <c r="K74" s="9" t="n">
        <v>23000</v>
      </c>
      <c r="L74" s="9" t="n">
        <v>23800</v>
      </c>
      <c r="M74" s="9" t="n">
        <v>24600</v>
      </c>
      <c r="N74" s="9" t="n">
        <v>25400</v>
      </c>
      <c r="O74" s="9" t="n">
        <v>26200</v>
      </c>
      <c r="P74" s="9" t="n">
        <v>27000</v>
      </c>
      <c r="Q74" s="9" t="n">
        <v>27800</v>
      </c>
      <c r="R74" s="9" t="n">
        <v>28600</v>
      </c>
    </row>
    <row collapsed="false" customFormat="false" customHeight="false" hidden="false" ht="15" outlineLevel="0" r="75">
      <c r="A75" s="7" t="n">
        <v>109</v>
      </c>
      <c r="B75" s="0" t="s">
        <v>102</v>
      </c>
      <c r="C75" s="8" t="n">
        <f aca="false">VLOOKUP(A75,справочник!$A$2:$C$322,3,0)</f>
        <v>114</v>
      </c>
      <c r="D75" s="0" t="str">
        <f aca="false">IFERROR(VLOOKUP(B75,справочник!$AF$2:$AF$15,1,0),"")</f>
        <v/>
      </c>
      <c r="F75" s="0" t="s">
        <v>49</v>
      </c>
      <c r="G75" s="9" t="n">
        <v>21800</v>
      </c>
      <c r="H75" s="9" t="n">
        <v>21600</v>
      </c>
      <c r="I75" s="9" t="n">
        <v>21400</v>
      </c>
      <c r="J75" s="9" t="n">
        <v>22200</v>
      </c>
      <c r="K75" s="9" t="n">
        <v>23000</v>
      </c>
      <c r="L75" s="9" t="n">
        <v>23800</v>
      </c>
      <c r="M75" s="9" t="n">
        <v>24600</v>
      </c>
      <c r="N75" s="9" t="n">
        <v>25400</v>
      </c>
      <c r="O75" s="9" t="n">
        <v>26200</v>
      </c>
      <c r="P75" s="9" t="n">
        <v>27000</v>
      </c>
      <c r="Q75" s="9" t="n">
        <v>27800</v>
      </c>
      <c r="R75" s="9" t="n">
        <v>28600</v>
      </c>
    </row>
    <row collapsed="false" customFormat="false" customHeight="false" hidden="false" ht="15" outlineLevel="0" r="76">
      <c r="A76" s="7" t="n">
        <v>98</v>
      </c>
      <c r="B76" s="0" t="s">
        <v>103</v>
      </c>
      <c r="C76" s="8" t="n">
        <f aca="false">VLOOKUP(A76,справочник!$A$2:$C$322,3,0)</f>
        <v>103</v>
      </c>
      <c r="D76" s="0" t="str">
        <f aca="false">IFERROR(VLOOKUP(B76,справочник!$AF$2:$AF$15,1,0),"")</f>
        <v/>
      </c>
      <c r="F76" s="0" t="s">
        <v>49</v>
      </c>
      <c r="G76" s="9" t="n">
        <v>19800</v>
      </c>
      <c r="H76" s="9" t="n">
        <v>20600</v>
      </c>
      <c r="I76" s="9" t="n">
        <v>21400</v>
      </c>
      <c r="J76" s="9" t="n">
        <v>22200</v>
      </c>
      <c r="K76" s="9" t="n">
        <v>23000</v>
      </c>
      <c r="L76" s="9" t="n">
        <v>23800</v>
      </c>
      <c r="M76" s="9" t="n">
        <v>24600</v>
      </c>
      <c r="N76" s="9" t="n">
        <v>25400</v>
      </c>
      <c r="O76" s="9" t="n">
        <v>26200</v>
      </c>
      <c r="P76" s="9" t="n">
        <v>27000</v>
      </c>
      <c r="Q76" s="9" t="n">
        <v>27800</v>
      </c>
      <c r="R76" s="9" t="n">
        <v>28600</v>
      </c>
    </row>
    <row collapsed="false" customFormat="false" customHeight="false" hidden="false" ht="15" outlineLevel="0" r="77">
      <c r="A77" s="7" t="n">
        <v>213</v>
      </c>
      <c r="B77" s="0" t="s">
        <v>104</v>
      </c>
      <c r="C77" s="8" t="n">
        <f aca="false">VLOOKUP(A77,справочник!$A$2:$C$322,3,0)</f>
        <v>222</v>
      </c>
      <c r="D77" s="0" t="str">
        <f aca="false">IFERROR(VLOOKUP(B77,справочник!$AF$2:$AF$15,1,0),"")</f>
        <v/>
      </c>
      <c r="F77" s="0" t="s">
        <v>38</v>
      </c>
      <c r="G77" s="9" t="n">
        <v>19300</v>
      </c>
      <c r="H77" s="9" t="n">
        <v>20100</v>
      </c>
      <c r="I77" s="9" t="n">
        <v>20900</v>
      </c>
      <c r="J77" s="9" t="n">
        <v>21700</v>
      </c>
      <c r="K77" s="9" t="n">
        <v>22500</v>
      </c>
      <c r="L77" s="9" t="n">
        <v>23300</v>
      </c>
      <c r="M77" s="9" t="n">
        <v>24100</v>
      </c>
      <c r="N77" s="9" t="n">
        <v>24900</v>
      </c>
      <c r="O77" s="9" t="n">
        <v>25700</v>
      </c>
      <c r="P77" s="9" t="n">
        <v>26500</v>
      </c>
      <c r="Q77" s="9" t="n">
        <v>27300</v>
      </c>
      <c r="R77" s="9" t="n">
        <v>28100</v>
      </c>
    </row>
    <row collapsed="false" customFormat="false" customHeight="false" hidden="false" ht="15" outlineLevel="0" r="78">
      <c r="A78" s="7" t="n">
        <v>281</v>
      </c>
      <c r="B78" s="0" t="s">
        <v>105</v>
      </c>
      <c r="C78" s="8" t="n">
        <f aca="false">VLOOKUP(A78,справочник!$A$2:$C$322,3,0)</f>
        <v>293</v>
      </c>
      <c r="D78" s="0" t="str">
        <f aca="false">IFERROR(VLOOKUP(B78,справочник!$AF$2:$AF$15,1,0),"")</f>
        <v/>
      </c>
      <c r="F78" s="0" t="s">
        <v>34</v>
      </c>
      <c r="G78" s="9" t="n">
        <v>18800</v>
      </c>
      <c r="H78" s="9" t="n">
        <v>19600</v>
      </c>
      <c r="I78" s="9" t="n">
        <v>20400</v>
      </c>
      <c r="J78" s="9" t="n">
        <v>21200</v>
      </c>
      <c r="K78" s="9" t="n">
        <v>22000</v>
      </c>
      <c r="L78" s="9" t="n">
        <v>22800</v>
      </c>
      <c r="M78" s="9" t="n">
        <v>23600</v>
      </c>
      <c r="N78" s="9" t="n">
        <v>24400</v>
      </c>
      <c r="O78" s="9" t="n">
        <v>25200</v>
      </c>
      <c r="P78" s="9" t="n">
        <v>26000</v>
      </c>
      <c r="Q78" s="9" t="n">
        <v>26800</v>
      </c>
      <c r="R78" s="9" t="n">
        <v>27600</v>
      </c>
    </row>
    <row collapsed="false" customFormat="false" customHeight="false" hidden="false" ht="15" outlineLevel="0" r="79">
      <c r="A79" s="7" t="n">
        <v>269</v>
      </c>
      <c r="B79" s="0" t="s">
        <v>106</v>
      </c>
      <c r="C79" s="8" t="n">
        <f aca="false">VLOOKUP(A79,справочник!$A$2:$C$322,3,0)</f>
        <v>282</v>
      </c>
      <c r="D79" s="0" t="str">
        <f aca="false">IFERROR(VLOOKUP(B79,справочник!$AF$2:$AF$15,1,0),"")</f>
        <v/>
      </c>
      <c r="F79" s="0" t="s">
        <v>34</v>
      </c>
      <c r="G79" s="9" t="n">
        <v>18800</v>
      </c>
      <c r="H79" s="9" t="n">
        <v>19600</v>
      </c>
      <c r="I79" s="9" t="n">
        <v>20400</v>
      </c>
      <c r="J79" s="9" t="n">
        <v>21200</v>
      </c>
      <c r="K79" s="9" t="n">
        <v>22000</v>
      </c>
      <c r="L79" s="9" t="n">
        <v>22800</v>
      </c>
      <c r="M79" s="9" t="n">
        <v>23600</v>
      </c>
      <c r="N79" s="9" t="n">
        <v>24400</v>
      </c>
      <c r="O79" s="9" t="n">
        <v>25200</v>
      </c>
      <c r="P79" s="9" t="n">
        <v>26000</v>
      </c>
      <c r="Q79" s="9" t="n">
        <v>26800</v>
      </c>
      <c r="R79" s="9" t="n">
        <v>27600</v>
      </c>
    </row>
    <row collapsed="false" customFormat="false" customHeight="false" hidden="false" ht="15" outlineLevel="0" r="80">
      <c r="A80" s="7" t="n">
        <v>93</v>
      </c>
      <c r="B80" s="0" t="s">
        <v>107</v>
      </c>
      <c r="C80" s="8" t="n">
        <f aca="false">VLOOKUP(A80,справочник!$A$2:$C$322,3,0)</f>
        <v>98</v>
      </c>
      <c r="D80" s="0" t="str">
        <f aca="false">IFERROR(VLOOKUP(B80,справочник!$AF$2:$AF$15,1,0),"")</f>
        <v/>
      </c>
      <c r="F80" s="0" t="s">
        <v>55</v>
      </c>
      <c r="G80" s="9" t="n">
        <v>18800</v>
      </c>
      <c r="H80" s="9" t="n">
        <v>19600</v>
      </c>
      <c r="I80" s="9" t="n">
        <v>20400</v>
      </c>
      <c r="J80" s="9" t="n">
        <v>21200</v>
      </c>
      <c r="K80" s="9" t="n">
        <v>22000</v>
      </c>
      <c r="L80" s="9" t="n">
        <v>22800</v>
      </c>
      <c r="M80" s="9" t="n">
        <v>23600</v>
      </c>
      <c r="N80" s="9" t="n">
        <v>24400</v>
      </c>
      <c r="O80" s="9" t="n">
        <v>25200</v>
      </c>
      <c r="P80" s="9" t="n">
        <v>26000</v>
      </c>
      <c r="Q80" s="9" t="n">
        <v>26800</v>
      </c>
      <c r="R80" s="9" t="n">
        <v>27600</v>
      </c>
    </row>
    <row collapsed="false" customFormat="false" customHeight="false" hidden="false" ht="15" outlineLevel="0" r="81">
      <c r="A81" s="7" t="n">
        <v>220</v>
      </c>
      <c r="B81" s="0" t="s">
        <v>108</v>
      </c>
      <c r="C81" s="8" t="n">
        <f aca="false">VLOOKUP(A81,справочник!$A$2:$C$322,3,0)</f>
        <v>229</v>
      </c>
      <c r="D81" s="0" t="str">
        <f aca="false">IFERROR(VLOOKUP(B81,справочник!$AF$2:$AF$15,1,0),"")</f>
        <v/>
      </c>
      <c r="F81" s="0" t="s">
        <v>38</v>
      </c>
      <c r="G81" s="9" t="n">
        <v>17800</v>
      </c>
      <c r="H81" s="9" t="n">
        <v>18600</v>
      </c>
      <c r="I81" s="9" t="n">
        <v>19400</v>
      </c>
      <c r="J81" s="9" t="n">
        <v>20200</v>
      </c>
      <c r="K81" s="9" t="n">
        <v>21000</v>
      </c>
      <c r="L81" s="9" t="n">
        <v>21800</v>
      </c>
      <c r="M81" s="9" t="n">
        <v>22600</v>
      </c>
      <c r="N81" s="9" t="n">
        <v>23400</v>
      </c>
      <c r="O81" s="9" t="n">
        <v>24200</v>
      </c>
      <c r="P81" s="9" t="n">
        <v>25000</v>
      </c>
      <c r="Q81" s="9" t="n">
        <v>25800</v>
      </c>
      <c r="R81" s="9" t="n">
        <v>26600</v>
      </c>
    </row>
    <row collapsed="false" customFormat="false" customHeight="false" hidden="false" ht="15" outlineLevel="0" r="82">
      <c r="A82" s="7" t="n">
        <v>192</v>
      </c>
      <c r="B82" s="0" t="s">
        <v>109</v>
      </c>
      <c r="C82" s="8" t="n">
        <f aca="false">VLOOKUP(A82,справочник!$A$2:$C$322,3,0)</f>
        <v>200</v>
      </c>
      <c r="D82" s="0" t="str">
        <f aca="false">IFERROR(VLOOKUP(B82,справочник!$AF$2:$AF$15,1,0),"")</f>
        <v/>
      </c>
      <c r="F82" s="0" t="s">
        <v>32</v>
      </c>
      <c r="G82" s="9" t="n">
        <v>17800</v>
      </c>
      <c r="H82" s="9" t="n">
        <v>18600</v>
      </c>
      <c r="I82" s="9" t="n">
        <v>19400</v>
      </c>
      <c r="J82" s="9" t="n">
        <v>20200</v>
      </c>
      <c r="K82" s="9" t="n">
        <v>21000</v>
      </c>
      <c r="L82" s="9" t="n">
        <v>21800</v>
      </c>
      <c r="M82" s="9" t="n">
        <v>22600</v>
      </c>
      <c r="N82" s="9" t="n">
        <v>23400</v>
      </c>
      <c r="O82" s="9" t="n">
        <v>24200</v>
      </c>
      <c r="P82" s="9" t="n">
        <v>25000</v>
      </c>
      <c r="Q82" s="9" t="n">
        <v>25800</v>
      </c>
      <c r="R82" s="9" t="n">
        <v>26600</v>
      </c>
    </row>
    <row collapsed="false" customFormat="false" customHeight="false" hidden="false" ht="15" outlineLevel="0" r="83">
      <c r="A83" s="7" t="n">
        <v>119</v>
      </c>
      <c r="B83" s="0" t="s">
        <v>110</v>
      </c>
      <c r="C83" s="8" t="n">
        <f aca="false">VLOOKUP(A83,справочник!$A$2:$C$322,3,0)</f>
        <v>124</v>
      </c>
      <c r="D83" s="0" t="str">
        <f aca="false">IFERROR(VLOOKUP(B83,справочник!$AF$2:$AF$15,1,0),"")</f>
        <v/>
      </c>
      <c r="F83" s="0" t="s">
        <v>49</v>
      </c>
      <c r="G83" s="9" t="n">
        <v>20800</v>
      </c>
      <c r="H83" s="9" t="n">
        <v>21600</v>
      </c>
      <c r="I83" s="9" t="n">
        <v>19400</v>
      </c>
      <c r="J83" s="9" t="n">
        <v>20200</v>
      </c>
      <c r="K83" s="9" t="n">
        <v>21000</v>
      </c>
      <c r="L83" s="9" t="n">
        <v>21800</v>
      </c>
      <c r="M83" s="9" t="n">
        <v>22600</v>
      </c>
      <c r="N83" s="9" t="n">
        <v>23400</v>
      </c>
      <c r="O83" s="9" t="n">
        <v>24200</v>
      </c>
      <c r="P83" s="9" t="n">
        <v>25000</v>
      </c>
      <c r="Q83" s="9" t="n">
        <v>25800</v>
      </c>
      <c r="R83" s="9" t="n">
        <v>26600</v>
      </c>
    </row>
    <row collapsed="false" customFormat="false" customHeight="false" hidden="false" ht="15" outlineLevel="0" r="84">
      <c r="A84" s="7" t="n">
        <v>20</v>
      </c>
      <c r="B84" s="0" t="s">
        <v>111</v>
      </c>
      <c r="C84" s="8" t="n">
        <f aca="false">VLOOKUP(A84,справочник!$A$2:$C$322,3,0)</f>
        <v>20</v>
      </c>
      <c r="D84" s="0" t="str">
        <f aca="false">IFERROR(VLOOKUP(B84,справочник!$AF$2:$AF$15,1,0),"")</f>
        <v/>
      </c>
      <c r="F84" s="0" t="s">
        <v>30</v>
      </c>
      <c r="G84" s="9" t="n">
        <v>17800</v>
      </c>
      <c r="H84" s="9" t="n">
        <v>18600</v>
      </c>
      <c r="I84" s="9" t="n">
        <v>19400</v>
      </c>
      <c r="J84" s="9" t="n">
        <v>20200</v>
      </c>
      <c r="K84" s="9" t="n">
        <v>21000</v>
      </c>
      <c r="L84" s="9" t="n">
        <v>21800</v>
      </c>
      <c r="M84" s="9" t="n">
        <v>22600</v>
      </c>
      <c r="N84" s="9" t="n">
        <v>23400</v>
      </c>
      <c r="O84" s="9" t="n">
        <v>24200</v>
      </c>
      <c r="P84" s="9" t="n">
        <v>25000</v>
      </c>
      <c r="Q84" s="9" t="n">
        <v>25800</v>
      </c>
      <c r="R84" s="9" t="n">
        <v>26600</v>
      </c>
    </row>
    <row collapsed="false" customFormat="false" customHeight="false" hidden="false" ht="15" outlineLevel="0" r="85">
      <c r="A85" s="7" t="n">
        <v>316</v>
      </c>
      <c r="B85" s="0" t="s">
        <v>112</v>
      </c>
      <c r="C85" s="0" t="str">
        <f aca="false">VLOOKUP(A85,справочник!$A$2:$C$322,3,0)</f>
        <v>306-307</v>
      </c>
      <c r="D85" s="0" t="str">
        <f aca="false">IFERROR(VLOOKUP(B85,справочник!$AF$2:$AF$15,1,0),"")</f>
        <v/>
      </c>
      <c r="F85" s="8" t="e">
        <f aca="false">{#н/д}</f>
        <v>#N/A</v>
      </c>
      <c r="G85" s="9" t="n">
        <v>17000</v>
      </c>
      <c r="H85" s="9" t="n">
        <v>17800</v>
      </c>
      <c r="I85" s="9" t="n">
        <v>18600</v>
      </c>
      <c r="J85" s="9" t="n">
        <v>19400</v>
      </c>
      <c r="K85" s="9" t="n">
        <v>20200</v>
      </c>
      <c r="L85" s="9" t="n">
        <v>21000</v>
      </c>
      <c r="M85" s="9" t="n">
        <v>21800</v>
      </c>
      <c r="N85" s="9" t="n">
        <v>22600</v>
      </c>
      <c r="O85" s="9" t="n">
        <v>23400</v>
      </c>
      <c r="P85" s="9" t="n">
        <v>24200</v>
      </c>
      <c r="Q85" s="9" t="n">
        <v>25000</v>
      </c>
      <c r="R85" s="9" t="n">
        <v>25800</v>
      </c>
    </row>
    <row collapsed="false" customFormat="false" customHeight="false" hidden="false" ht="15" outlineLevel="0" r="86">
      <c r="A86" s="7" t="n">
        <v>105</v>
      </c>
      <c r="B86" s="0" t="s">
        <v>113</v>
      </c>
      <c r="C86" s="8" t="n">
        <f aca="false">VLOOKUP(A86,справочник!$A$2:$C$322,3,0)</f>
        <v>110</v>
      </c>
      <c r="D86" s="0" t="str">
        <f aca="false">IFERROR(VLOOKUP(B86,справочник!$AF$2:$AF$15,1,0),"")</f>
        <v/>
      </c>
      <c r="F86" s="0" t="s">
        <v>49</v>
      </c>
      <c r="G86" s="9" t="n">
        <v>17800</v>
      </c>
      <c r="H86" s="9" t="n">
        <v>18600</v>
      </c>
      <c r="I86" s="9" t="n">
        <v>19400</v>
      </c>
      <c r="J86" s="9" t="n">
        <v>20200</v>
      </c>
      <c r="K86" s="9" t="n">
        <v>21000</v>
      </c>
      <c r="L86" s="9" t="n">
        <v>21000</v>
      </c>
      <c r="M86" s="9" t="n">
        <v>21800</v>
      </c>
      <c r="N86" s="9" t="n">
        <v>22600</v>
      </c>
      <c r="O86" s="9" t="n">
        <v>23400</v>
      </c>
      <c r="P86" s="9" t="n">
        <v>24200</v>
      </c>
      <c r="Q86" s="9" t="n">
        <v>25000</v>
      </c>
      <c r="R86" s="9" t="n">
        <v>25800</v>
      </c>
    </row>
    <row collapsed="false" customFormat="false" customHeight="false" hidden="false" ht="15" outlineLevel="0" r="87">
      <c r="A87" s="7" t="n">
        <v>225</v>
      </c>
      <c r="B87" s="0" t="s">
        <v>114</v>
      </c>
      <c r="C87" s="8" t="n">
        <f aca="false">VLOOKUP(A87,справочник!$A$2:$C$322,3,0)</f>
        <v>234</v>
      </c>
      <c r="D87" s="0" t="str">
        <f aca="false">IFERROR(VLOOKUP(B87,справочник!$AF$2:$AF$15,1,0),"")</f>
        <v/>
      </c>
      <c r="F87" s="0" t="s">
        <v>38</v>
      </c>
      <c r="G87" s="9" t="n">
        <v>16800</v>
      </c>
      <c r="H87" s="9" t="n">
        <v>17600</v>
      </c>
      <c r="I87" s="9" t="n">
        <v>18400</v>
      </c>
      <c r="J87" s="9" t="n">
        <v>19200</v>
      </c>
      <c r="K87" s="9" t="n">
        <v>20000</v>
      </c>
      <c r="L87" s="9" t="n">
        <v>20800</v>
      </c>
      <c r="M87" s="9" t="n">
        <v>21600</v>
      </c>
      <c r="N87" s="9" t="n">
        <v>22400</v>
      </c>
      <c r="O87" s="9" t="n">
        <v>23200</v>
      </c>
      <c r="P87" s="9" t="n">
        <v>24000</v>
      </c>
      <c r="Q87" s="9" t="n">
        <v>24800</v>
      </c>
      <c r="R87" s="9" t="n">
        <v>25600</v>
      </c>
    </row>
    <row collapsed="false" customFormat="false" customHeight="false" hidden="false" ht="15" outlineLevel="0" r="88">
      <c r="A88" s="7" t="n">
        <v>35</v>
      </c>
      <c r="B88" s="0" t="s">
        <v>115</v>
      </c>
      <c r="C88" s="8" t="n">
        <f aca="false">VLOOKUP(A88,справочник!$A$2:$C$322,3,0)</f>
        <v>35</v>
      </c>
      <c r="D88" s="0" t="str">
        <f aca="false">IFERROR(VLOOKUP(B88,справочник!$AF$2:$AF$15,1,0),"")</f>
        <v/>
      </c>
      <c r="F88" s="0" t="s">
        <v>28</v>
      </c>
      <c r="G88" s="9" t="n">
        <v>16800</v>
      </c>
      <c r="H88" s="9" t="n">
        <v>17600</v>
      </c>
      <c r="I88" s="9" t="n">
        <v>18400</v>
      </c>
      <c r="J88" s="9" t="n">
        <v>19200</v>
      </c>
      <c r="K88" s="9" t="n">
        <v>20000</v>
      </c>
      <c r="L88" s="9" t="n">
        <v>20800</v>
      </c>
      <c r="M88" s="9" t="n">
        <v>21600</v>
      </c>
      <c r="N88" s="9" t="n">
        <v>22400</v>
      </c>
      <c r="O88" s="9" t="n">
        <v>23200</v>
      </c>
      <c r="P88" s="9" t="n">
        <v>24000</v>
      </c>
      <c r="Q88" s="9" t="n">
        <v>24800</v>
      </c>
      <c r="R88" s="9" t="n">
        <v>25600</v>
      </c>
    </row>
    <row collapsed="false" customFormat="false" customHeight="false" hidden="false" ht="15" outlineLevel="0" r="89">
      <c r="A89" s="7" t="n">
        <v>13</v>
      </c>
      <c r="B89" s="0" t="s">
        <v>116</v>
      </c>
      <c r="C89" s="8" t="n">
        <f aca="false">VLOOKUP(A89,справочник!$A$2:$C$322,3,0)</f>
        <v>13</v>
      </c>
      <c r="D89" s="0" t="str">
        <f aca="false">IFERROR(VLOOKUP(B89,справочник!$AF$2:$AF$15,1,0),"")</f>
        <v/>
      </c>
      <c r="F89" s="0" t="s">
        <v>30</v>
      </c>
      <c r="G89" s="9" t="n">
        <v>16800</v>
      </c>
      <c r="H89" s="9" t="n">
        <v>17600</v>
      </c>
      <c r="I89" s="9" t="n">
        <v>18400</v>
      </c>
      <c r="J89" s="9" t="n">
        <v>19200</v>
      </c>
      <c r="K89" s="9" t="n">
        <v>20000</v>
      </c>
      <c r="L89" s="9" t="n">
        <v>20800</v>
      </c>
      <c r="M89" s="9" t="n">
        <v>21600</v>
      </c>
      <c r="N89" s="9" t="n">
        <v>22400</v>
      </c>
      <c r="O89" s="9" t="n">
        <v>23200</v>
      </c>
      <c r="P89" s="9" t="n">
        <v>24000</v>
      </c>
      <c r="Q89" s="9" t="n">
        <v>24800</v>
      </c>
      <c r="R89" s="9" t="n">
        <v>25600</v>
      </c>
    </row>
    <row collapsed="false" customFormat="false" customHeight="false" hidden="false" ht="15" outlineLevel="0" r="90">
      <c r="A90" s="7" t="n">
        <v>190</v>
      </c>
      <c r="B90" s="0" t="s">
        <v>117</v>
      </c>
      <c r="C90" s="8" t="n">
        <f aca="false">VLOOKUP(A90,справочник!$A$2:$C$322,3,0)</f>
        <v>198</v>
      </c>
      <c r="D90" s="0" t="str">
        <f aca="false">IFERROR(VLOOKUP(B90,справочник!$AF$2:$AF$15,1,0),"")</f>
        <v/>
      </c>
      <c r="F90" s="0" t="s">
        <v>32</v>
      </c>
      <c r="G90" s="9" t="n">
        <v>16800</v>
      </c>
      <c r="H90" s="9" t="n">
        <v>17600</v>
      </c>
      <c r="I90" s="9" t="n">
        <v>18400</v>
      </c>
      <c r="J90" s="9" t="n">
        <v>19200</v>
      </c>
      <c r="K90" s="9" t="n">
        <v>20000</v>
      </c>
      <c r="L90" s="9" t="n">
        <v>20000</v>
      </c>
      <c r="M90" s="9" t="n">
        <v>20800</v>
      </c>
      <c r="N90" s="9" t="n">
        <v>21600</v>
      </c>
      <c r="O90" s="9" t="n">
        <v>22400</v>
      </c>
      <c r="P90" s="9" t="n">
        <v>23200</v>
      </c>
      <c r="Q90" s="9" t="n">
        <v>24000</v>
      </c>
      <c r="R90" s="9" t="n">
        <v>24800</v>
      </c>
    </row>
    <row collapsed="false" customFormat="false" customHeight="false" hidden="false" ht="15" outlineLevel="0" r="91">
      <c r="A91" s="7" t="n">
        <v>209</v>
      </c>
      <c r="B91" s="0" t="s">
        <v>118</v>
      </c>
      <c r="C91" s="8" t="n">
        <f aca="false">VLOOKUP(A91,справочник!$A$2:$C$322,3,0)</f>
        <v>219</v>
      </c>
      <c r="D91" s="0" t="str">
        <f aca="false">IFERROR(VLOOKUP(B91,справочник!$AF$2:$AF$15,1,0),"")</f>
        <v/>
      </c>
      <c r="F91" s="0" t="s">
        <v>26</v>
      </c>
      <c r="G91" s="9" t="n">
        <v>20800</v>
      </c>
      <c r="H91" s="9" t="n">
        <v>21600</v>
      </c>
      <c r="I91" s="9" t="n">
        <v>22400</v>
      </c>
      <c r="J91" s="9" t="n">
        <v>23200</v>
      </c>
      <c r="K91" s="9" t="n">
        <v>22000</v>
      </c>
      <c r="L91" s="9" t="n">
        <v>19800</v>
      </c>
      <c r="M91" s="9" t="n">
        <v>20600</v>
      </c>
      <c r="N91" s="9" t="n">
        <v>21400</v>
      </c>
      <c r="O91" s="9" t="n">
        <v>22200</v>
      </c>
      <c r="P91" s="9" t="n">
        <v>23000</v>
      </c>
      <c r="Q91" s="9" t="n">
        <v>23800</v>
      </c>
      <c r="R91" s="9" t="n">
        <v>24600</v>
      </c>
    </row>
    <row collapsed="false" customFormat="false" customHeight="false" hidden="false" ht="15" outlineLevel="0" r="92">
      <c r="A92" s="10" t="n">
        <v>147</v>
      </c>
      <c r="B92" s="0" t="s">
        <v>119</v>
      </c>
      <c r="C92" s="8" t="n">
        <f aca="false">VLOOKUP(A92,справочник!$A$2:$C$322,3,0)</f>
        <v>155</v>
      </c>
      <c r="D92" s="0" t="str">
        <f aca="false">IFERROR(VLOOKUP(B92,справочник!$AF$2:$AF$15,1,0),"")</f>
        <v/>
      </c>
      <c r="F92" s="0" t="s">
        <v>24</v>
      </c>
      <c r="G92" s="9" t="n">
        <v>15800</v>
      </c>
      <c r="H92" s="9" t="n">
        <v>16600</v>
      </c>
      <c r="I92" s="9" t="n">
        <v>17400</v>
      </c>
      <c r="J92" s="9" t="n">
        <v>18200</v>
      </c>
      <c r="K92" s="9" t="n">
        <v>19000</v>
      </c>
      <c r="L92" s="9" t="n">
        <v>19800</v>
      </c>
      <c r="M92" s="9" t="n">
        <v>20600</v>
      </c>
      <c r="N92" s="9" t="n">
        <v>21400</v>
      </c>
      <c r="O92" s="9" t="n">
        <v>22200</v>
      </c>
      <c r="P92" s="9" t="n">
        <v>23000</v>
      </c>
      <c r="Q92" s="9" t="n">
        <v>23800</v>
      </c>
      <c r="R92" s="9" t="n">
        <v>24600</v>
      </c>
    </row>
    <row collapsed="false" customFormat="false" customHeight="false" hidden="false" ht="15" outlineLevel="0" r="93">
      <c r="A93" s="7" t="n">
        <v>113</v>
      </c>
      <c r="B93" s="0" t="s">
        <v>120</v>
      </c>
      <c r="C93" s="0" t="str">
        <f aca="false">VLOOKUP(A93,справочник!$A$2:$C$322,3,0)</f>
        <v>116+118+120</v>
      </c>
      <c r="D93" s="0" t="str">
        <f aca="false">IFERROR(VLOOKUP(B93,справочник!$AF$2:$AF$15,1,0),"")</f>
        <v/>
      </c>
      <c r="F93" s="0" t="s">
        <v>49</v>
      </c>
      <c r="G93" s="9" t="n">
        <v>15800</v>
      </c>
      <c r="H93" s="9" t="n">
        <v>16600</v>
      </c>
      <c r="I93" s="9" t="n">
        <v>17400</v>
      </c>
      <c r="J93" s="9" t="n">
        <v>18200</v>
      </c>
      <c r="K93" s="9" t="n">
        <v>19000</v>
      </c>
      <c r="L93" s="9" t="n">
        <v>19800</v>
      </c>
      <c r="M93" s="9" t="n">
        <v>20600</v>
      </c>
      <c r="N93" s="9" t="n">
        <v>21400</v>
      </c>
      <c r="O93" s="9" t="n">
        <v>22200</v>
      </c>
      <c r="P93" s="9" t="n">
        <v>23000</v>
      </c>
      <c r="Q93" s="9" t="n">
        <v>23800</v>
      </c>
      <c r="R93" s="9" t="n">
        <v>24600</v>
      </c>
    </row>
    <row collapsed="false" customFormat="false" customHeight="false" hidden="false" ht="15" outlineLevel="0" r="94">
      <c r="A94" s="7" t="n">
        <v>46</v>
      </c>
      <c r="B94" s="0" t="s">
        <v>121</v>
      </c>
      <c r="C94" s="8" t="n">
        <f aca="false">VLOOKUP(A94,справочник!$A$2:$C$322,3,0)</f>
        <v>46</v>
      </c>
      <c r="D94" s="0" t="str">
        <f aca="false">IFERROR(VLOOKUP(B94,справочник!$AF$2:$AF$15,1,0),"")</f>
        <v/>
      </c>
      <c r="F94" s="0" t="s">
        <v>28</v>
      </c>
      <c r="G94" s="9" t="n">
        <v>15800</v>
      </c>
      <c r="H94" s="9" t="n">
        <v>16600</v>
      </c>
      <c r="I94" s="9" t="n">
        <v>17400</v>
      </c>
      <c r="J94" s="9" t="n">
        <v>18200</v>
      </c>
      <c r="K94" s="9" t="n">
        <v>19000</v>
      </c>
      <c r="L94" s="9" t="n">
        <v>19800</v>
      </c>
      <c r="M94" s="9" t="n">
        <v>20600</v>
      </c>
      <c r="N94" s="9" t="n">
        <v>21400</v>
      </c>
      <c r="O94" s="9" t="n">
        <v>22200</v>
      </c>
      <c r="P94" s="9" t="n">
        <v>23000</v>
      </c>
      <c r="Q94" s="9" t="n">
        <v>23800</v>
      </c>
      <c r="R94" s="9" t="n">
        <v>24600</v>
      </c>
    </row>
    <row collapsed="false" customFormat="false" customHeight="false" hidden="false" ht="15" outlineLevel="0" r="95">
      <c r="A95" s="7" t="n">
        <v>41</v>
      </c>
      <c r="B95" s="0" t="s">
        <v>122</v>
      </c>
      <c r="C95" s="8" t="n">
        <f aca="false">VLOOKUP(A95,справочник!$A$2:$C$322,3,0)</f>
        <v>41</v>
      </c>
      <c r="D95" s="0" t="str">
        <f aca="false">IFERROR(VLOOKUP(B95,справочник!$AF$2:$AF$15,1,0),"")</f>
        <v/>
      </c>
      <c r="F95" s="0" t="s">
        <v>28</v>
      </c>
      <c r="G95" s="9" t="n">
        <v>15800</v>
      </c>
      <c r="H95" s="9" t="n">
        <v>16600</v>
      </c>
      <c r="I95" s="9" t="n">
        <v>17400</v>
      </c>
      <c r="J95" s="9" t="n">
        <v>18200</v>
      </c>
      <c r="K95" s="9" t="n">
        <v>19000</v>
      </c>
      <c r="L95" s="9" t="n">
        <v>19800</v>
      </c>
      <c r="M95" s="9" t="n">
        <v>20600</v>
      </c>
      <c r="N95" s="9" t="n">
        <v>21400</v>
      </c>
      <c r="O95" s="9" t="n">
        <v>22200</v>
      </c>
      <c r="P95" s="9" t="n">
        <v>23000</v>
      </c>
      <c r="Q95" s="9" t="n">
        <v>23800</v>
      </c>
      <c r="R95" s="9" t="n">
        <v>24600</v>
      </c>
    </row>
    <row collapsed="false" customFormat="false" customHeight="false" hidden="false" ht="15" outlineLevel="0" r="96">
      <c r="A96" s="7" t="n">
        <v>40</v>
      </c>
      <c r="B96" s="0" t="s">
        <v>123</v>
      </c>
      <c r="C96" s="8" t="n">
        <f aca="false">VLOOKUP(A96,справочник!$A$2:$C$322,3,0)</f>
        <v>40</v>
      </c>
      <c r="D96" s="0" t="str">
        <f aca="false">IFERROR(VLOOKUP(B96,справочник!$AF$2:$AF$15,1,0),"")</f>
        <v/>
      </c>
      <c r="F96" s="0" t="s">
        <v>28</v>
      </c>
      <c r="G96" s="9" t="n">
        <v>15800</v>
      </c>
      <c r="H96" s="9" t="n">
        <v>16600</v>
      </c>
      <c r="I96" s="9" t="n">
        <v>17400</v>
      </c>
      <c r="J96" s="9" t="n">
        <v>18200</v>
      </c>
      <c r="K96" s="9" t="n">
        <v>19000</v>
      </c>
      <c r="L96" s="9" t="n">
        <v>19800</v>
      </c>
      <c r="M96" s="9" t="n">
        <v>20600</v>
      </c>
      <c r="N96" s="9" t="n">
        <v>21400</v>
      </c>
      <c r="O96" s="9" t="n">
        <v>22200</v>
      </c>
      <c r="P96" s="9" t="n">
        <v>23000</v>
      </c>
      <c r="Q96" s="9" t="n">
        <v>23800</v>
      </c>
      <c r="R96" s="9" t="n">
        <v>24600</v>
      </c>
    </row>
    <row collapsed="false" customFormat="false" customHeight="false" hidden="false" ht="15" outlineLevel="0" r="97">
      <c r="A97" s="7" t="n">
        <v>185</v>
      </c>
      <c r="B97" s="0" t="s">
        <v>124</v>
      </c>
      <c r="C97" s="8" t="n">
        <f aca="false">VLOOKUP(A97,справочник!$A$2:$C$322,3,0)</f>
        <v>193</v>
      </c>
      <c r="D97" s="0" t="str">
        <f aca="false">IFERROR(VLOOKUP(B97,справочник!$AF$2:$AF$15,1,0),"")</f>
        <v/>
      </c>
      <c r="F97" s="0" t="s">
        <v>32</v>
      </c>
      <c r="G97" s="9" t="n">
        <v>14800</v>
      </c>
      <c r="H97" s="9" t="n">
        <v>15600</v>
      </c>
      <c r="I97" s="9" t="n">
        <v>16400</v>
      </c>
      <c r="J97" s="9" t="n">
        <v>17200</v>
      </c>
      <c r="K97" s="9" t="n">
        <v>18000</v>
      </c>
      <c r="L97" s="9" t="n">
        <v>18800</v>
      </c>
      <c r="M97" s="9" t="n">
        <v>19600</v>
      </c>
      <c r="N97" s="9" t="n">
        <v>20400</v>
      </c>
      <c r="O97" s="9" t="n">
        <v>21200</v>
      </c>
      <c r="P97" s="9" t="n">
        <v>22000</v>
      </c>
      <c r="Q97" s="9" t="n">
        <v>22800</v>
      </c>
      <c r="R97" s="9" t="n">
        <v>23600</v>
      </c>
    </row>
    <row collapsed="false" customFormat="false" customHeight="false" hidden="false" ht="15" outlineLevel="0" r="98">
      <c r="A98" s="7" t="n">
        <v>124</v>
      </c>
      <c r="B98" s="0" t="s">
        <v>125</v>
      </c>
      <c r="C98" s="8" t="n">
        <f aca="false">VLOOKUP(A98,справочник!$A$2:$C$322,3,0)</f>
        <v>129</v>
      </c>
      <c r="D98" s="0" t="str">
        <f aca="false">IFERROR(VLOOKUP(B98,справочник!$AF$2:$AF$15,1,0),"")</f>
        <v/>
      </c>
      <c r="F98" s="0" t="s">
        <v>49</v>
      </c>
      <c r="G98" s="9" t="n">
        <v>14300</v>
      </c>
      <c r="H98" s="9" t="n">
        <v>15100</v>
      </c>
      <c r="I98" s="9" t="n">
        <v>15900</v>
      </c>
      <c r="J98" s="9" t="n">
        <v>16700</v>
      </c>
      <c r="K98" s="9" t="n">
        <v>17500</v>
      </c>
      <c r="L98" s="9" t="n">
        <v>18300</v>
      </c>
      <c r="M98" s="9" t="n">
        <v>19100</v>
      </c>
      <c r="N98" s="9" t="n">
        <v>19900</v>
      </c>
      <c r="O98" s="9" t="n">
        <v>20700</v>
      </c>
      <c r="P98" s="9" t="n">
        <v>21500</v>
      </c>
      <c r="Q98" s="9" t="n">
        <v>22300</v>
      </c>
      <c r="R98" s="9" t="n">
        <v>23100</v>
      </c>
    </row>
    <row collapsed="false" customFormat="false" customHeight="false" hidden="false" ht="15" outlineLevel="0" r="99">
      <c r="A99" s="7" t="n">
        <v>305</v>
      </c>
      <c r="B99" s="0" t="s">
        <v>126</v>
      </c>
      <c r="C99" s="8" t="n">
        <f aca="false">VLOOKUP(A99,справочник!$A$2:$C$322,3,0)</f>
        <v>320</v>
      </c>
      <c r="D99" s="0" t="str">
        <f aca="false">IFERROR(VLOOKUP(B99,справочник!$AF$2:$AF$15,1,0),"")</f>
        <v/>
      </c>
      <c r="F99" s="0" t="s">
        <v>40</v>
      </c>
      <c r="G99" s="9" t="n">
        <v>13800</v>
      </c>
      <c r="H99" s="9" t="n">
        <v>14600</v>
      </c>
      <c r="I99" s="9" t="n">
        <v>15400</v>
      </c>
      <c r="J99" s="9" t="n">
        <v>16200</v>
      </c>
      <c r="K99" s="9" t="n">
        <v>17000</v>
      </c>
      <c r="L99" s="9" t="n">
        <v>17800</v>
      </c>
      <c r="M99" s="9" t="n">
        <v>18600</v>
      </c>
      <c r="N99" s="9" t="n">
        <v>19400</v>
      </c>
      <c r="O99" s="9" t="n">
        <v>20200</v>
      </c>
      <c r="P99" s="9" t="n">
        <v>21000</v>
      </c>
      <c r="Q99" s="9" t="n">
        <v>21800</v>
      </c>
      <c r="R99" s="9" t="n">
        <v>22600</v>
      </c>
    </row>
    <row collapsed="false" customFormat="false" customHeight="false" hidden="false" ht="15" outlineLevel="0" r="100">
      <c r="A100" s="7" t="n">
        <v>302</v>
      </c>
      <c r="B100" s="0" t="s">
        <v>127</v>
      </c>
      <c r="C100" s="8" t="n">
        <f aca="false">VLOOKUP(A100,справочник!$A$2:$C$322,3,0)</f>
        <v>317</v>
      </c>
      <c r="D100" s="0" t="str">
        <f aca="false">IFERROR(VLOOKUP(B100,справочник!$AF$2:$AF$15,1,0),"")</f>
        <v/>
      </c>
      <c r="F100" s="0" t="s">
        <v>40</v>
      </c>
      <c r="G100" s="9" t="n">
        <v>13800</v>
      </c>
      <c r="H100" s="9" t="n">
        <v>14600</v>
      </c>
      <c r="I100" s="9" t="n">
        <v>15400</v>
      </c>
      <c r="J100" s="9" t="n">
        <v>16200</v>
      </c>
      <c r="K100" s="9" t="n">
        <v>17000</v>
      </c>
      <c r="L100" s="9" t="n">
        <v>17800</v>
      </c>
      <c r="M100" s="9" t="n">
        <v>18600</v>
      </c>
      <c r="N100" s="9" t="n">
        <v>19400</v>
      </c>
      <c r="O100" s="9" t="n">
        <v>20200</v>
      </c>
      <c r="P100" s="9" t="n">
        <v>21000</v>
      </c>
      <c r="Q100" s="9" t="n">
        <v>21800</v>
      </c>
      <c r="R100" s="9" t="n">
        <v>22600</v>
      </c>
    </row>
    <row collapsed="false" customFormat="false" customHeight="false" hidden="false" ht="15" outlineLevel="0" r="101">
      <c r="A101" s="7" t="n">
        <v>178</v>
      </c>
      <c r="B101" s="0" t="s">
        <v>128</v>
      </c>
      <c r="C101" s="8" t="n">
        <f aca="false">VLOOKUP(A101,справочник!$A$2:$C$322,3,0)</f>
        <v>186</v>
      </c>
      <c r="D101" s="0" t="str">
        <f aca="false">IFERROR(VLOOKUP(B101,справочник!$AF$2:$AF$15,1,0),"")</f>
        <v/>
      </c>
      <c r="F101" s="0" t="s">
        <v>32</v>
      </c>
      <c r="G101" s="9" t="n">
        <v>13800</v>
      </c>
      <c r="H101" s="9" t="n">
        <v>14600</v>
      </c>
      <c r="I101" s="9" t="n">
        <v>15400</v>
      </c>
      <c r="J101" s="9" t="n">
        <v>16200</v>
      </c>
      <c r="K101" s="9" t="n">
        <v>17000</v>
      </c>
      <c r="L101" s="9" t="n">
        <v>17800</v>
      </c>
      <c r="M101" s="9" t="n">
        <v>18600</v>
      </c>
      <c r="N101" s="9" t="n">
        <v>19400</v>
      </c>
      <c r="O101" s="9" t="n">
        <v>20200</v>
      </c>
      <c r="P101" s="9" t="n">
        <v>21000</v>
      </c>
      <c r="Q101" s="9" t="n">
        <v>21800</v>
      </c>
      <c r="R101" s="9" t="n">
        <v>22600</v>
      </c>
    </row>
    <row collapsed="false" customFormat="false" customHeight="false" hidden="false" ht="15" outlineLevel="0" r="102">
      <c r="A102" s="7" t="n">
        <v>132</v>
      </c>
      <c r="B102" s="0" t="s">
        <v>129</v>
      </c>
      <c r="C102" s="8" t="n">
        <f aca="false">VLOOKUP(A102,справочник!$A$2:$C$322,3,0)</f>
        <v>139</v>
      </c>
      <c r="D102" s="0" t="str">
        <f aca="false">IFERROR(VLOOKUP(B102,справочник!$AF$2:$AF$15,1,0),"")</f>
        <v/>
      </c>
      <c r="F102" s="0" t="s">
        <v>24</v>
      </c>
      <c r="G102" s="9" t="n">
        <v>13800</v>
      </c>
      <c r="H102" s="9" t="n">
        <v>14600</v>
      </c>
      <c r="I102" s="9" t="n">
        <v>15400</v>
      </c>
      <c r="J102" s="9" t="n">
        <v>16200</v>
      </c>
      <c r="K102" s="9" t="n">
        <v>17000</v>
      </c>
      <c r="L102" s="9" t="n">
        <v>17800</v>
      </c>
      <c r="M102" s="9" t="n">
        <v>18600</v>
      </c>
      <c r="N102" s="9" t="n">
        <v>19400</v>
      </c>
      <c r="O102" s="9" t="n">
        <v>20200</v>
      </c>
      <c r="P102" s="9" t="n">
        <v>21000</v>
      </c>
      <c r="Q102" s="9" t="n">
        <v>21800</v>
      </c>
      <c r="R102" s="9" t="n">
        <v>22600</v>
      </c>
    </row>
    <row collapsed="false" customFormat="false" customHeight="false" hidden="false" ht="15" outlineLevel="0" r="103">
      <c r="A103" s="7" t="n">
        <v>123</v>
      </c>
      <c r="B103" s="0" t="s">
        <v>130</v>
      </c>
      <c r="C103" s="8" t="n">
        <f aca="false">VLOOKUP(A103,справочник!$A$2:$C$322,3,0)</f>
        <v>128</v>
      </c>
      <c r="D103" s="0" t="str">
        <f aca="false">IFERROR(VLOOKUP(B103,справочник!$AF$2:$AF$15,1,0),"")</f>
        <v/>
      </c>
      <c r="F103" s="0" t="s">
        <v>49</v>
      </c>
      <c r="G103" s="9" t="n">
        <v>13800</v>
      </c>
      <c r="H103" s="9" t="n">
        <v>14600</v>
      </c>
      <c r="I103" s="9" t="n">
        <v>15400</v>
      </c>
      <c r="J103" s="9" t="n">
        <v>16200</v>
      </c>
      <c r="K103" s="9" t="n">
        <v>17000</v>
      </c>
      <c r="L103" s="9" t="n">
        <v>17800</v>
      </c>
      <c r="M103" s="9" t="n">
        <v>18600</v>
      </c>
      <c r="N103" s="9" t="n">
        <v>19400</v>
      </c>
      <c r="O103" s="9" t="n">
        <v>20200</v>
      </c>
      <c r="P103" s="9" t="n">
        <v>21000</v>
      </c>
      <c r="Q103" s="9" t="n">
        <v>21800</v>
      </c>
      <c r="R103" s="9" t="n">
        <v>22600</v>
      </c>
    </row>
    <row collapsed="false" customFormat="false" customHeight="false" hidden="false" ht="15" outlineLevel="0" r="104">
      <c r="A104" s="7" t="n">
        <v>96</v>
      </c>
      <c r="B104" s="0" t="s">
        <v>131</v>
      </c>
      <c r="C104" s="8" t="n">
        <f aca="false">VLOOKUP(A104,справочник!$A$2:$C$322,3,0)</f>
        <v>102</v>
      </c>
      <c r="D104" s="0" t="str">
        <f aca="false">IFERROR(VLOOKUP(B104,справочник!$AF$2:$AF$15,1,0),"")</f>
        <v/>
      </c>
      <c r="F104" s="0" t="s">
        <v>49</v>
      </c>
      <c r="G104" s="9" t="n">
        <v>17788</v>
      </c>
      <c r="H104" s="9" t="n">
        <v>18588</v>
      </c>
      <c r="I104" s="9" t="n">
        <v>19388</v>
      </c>
      <c r="J104" s="9" t="n">
        <v>18188</v>
      </c>
      <c r="K104" s="9" t="n">
        <v>18988</v>
      </c>
      <c r="L104" s="9" t="n">
        <v>17788</v>
      </c>
      <c r="M104" s="9" t="n">
        <v>18588</v>
      </c>
      <c r="N104" s="9" t="n">
        <v>19388</v>
      </c>
      <c r="O104" s="9" t="n">
        <v>20188</v>
      </c>
      <c r="P104" s="9" t="n">
        <v>20988</v>
      </c>
      <c r="Q104" s="9" t="n">
        <v>21788</v>
      </c>
      <c r="R104" s="9" t="n">
        <v>22588</v>
      </c>
    </row>
    <row collapsed="false" customFormat="false" customHeight="false" hidden="false" ht="15" outlineLevel="0" r="105">
      <c r="A105" s="7" t="n">
        <v>9</v>
      </c>
      <c r="B105" s="0" t="s">
        <v>132</v>
      </c>
      <c r="C105" s="8" t="n">
        <f aca="false">VLOOKUP(A105,справочник!$A$2:$C$322,3,0)</f>
        <v>9</v>
      </c>
      <c r="D105" s="0" t="str">
        <f aca="false">IFERROR(VLOOKUP(B105,справочник!$AF$2:$AF$15,1,0),"")</f>
        <v/>
      </c>
      <c r="F105" s="0" t="s">
        <v>30</v>
      </c>
      <c r="G105" s="9" t="n">
        <v>23800</v>
      </c>
      <c r="H105" s="9" t="n">
        <v>24600</v>
      </c>
      <c r="I105" s="9" t="n">
        <v>25400</v>
      </c>
      <c r="J105" s="9" t="n">
        <v>26200</v>
      </c>
      <c r="K105" s="9" t="n">
        <v>18000</v>
      </c>
      <c r="L105" s="9" t="n">
        <v>17200</v>
      </c>
      <c r="M105" s="9" t="n">
        <v>18000</v>
      </c>
      <c r="N105" s="9" t="n">
        <v>18800</v>
      </c>
      <c r="O105" s="9" t="n">
        <v>19600</v>
      </c>
      <c r="P105" s="9" t="n">
        <v>20400</v>
      </c>
      <c r="Q105" s="9" t="n">
        <v>21200</v>
      </c>
      <c r="R105" s="9" t="n">
        <v>22000</v>
      </c>
    </row>
    <row collapsed="false" customFormat="false" customHeight="false" hidden="false" ht="15" outlineLevel="0" r="106">
      <c r="A106" s="7" t="n">
        <v>301</v>
      </c>
      <c r="B106" s="0" t="s">
        <v>133</v>
      </c>
      <c r="C106" s="8" t="n">
        <f aca="false">VLOOKUP(A106,справочник!$A$2:$C$322,3,0)</f>
        <v>316</v>
      </c>
      <c r="D106" s="0" t="str">
        <f aca="false">IFERROR(VLOOKUP(B106,справочник!$AF$2:$AF$15,1,0),"")</f>
        <v/>
      </c>
      <c r="F106" s="0" t="s">
        <v>40</v>
      </c>
      <c r="G106" s="9" t="n">
        <v>12800</v>
      </c>
      <c r="H106" s="9" t="n">
        <v>13600</v>
      </c>
      <c r="I106" s="9" t="n">
        <v>14400</v>
      </c>
      <c r="J106" s="9" t="n">
        <v>15200</v>
      </c>
      <c r="K106" s="9" t="n">
        <v>16000</v>
      </c>
      <c r="L106" s="9" t="n">
        <v>16800</v>
      </c>
      <c r="M106" s="9" t="n">
        <v>17600</v>
      </c>
      <c r="N106" s="9" t="n">
        <v>18400</v>
      </c>
      <c r="O106" s="9" t="n">
        <v>19200</v>
      </c>
      <c r="P106" s="9" t="n">
        <v>20000</v>
      </c>
      <c r="Q106" s="9" t="n">
        <v>20800</v>
      </c>
      <c r="R106" s="9" t="n">
        <v>21600</v>
      </c>
    </row>
    <row collapsed="false" customFormat="false" customHeight="false" hidden="false" ht="15" outlineLevel="0" r="107">
      <c r="A107" s="7" t="n">
        <v>297</v>
      </c>
      <c r="B107" s="0" t="s">
        <v>134</v>
      </c>
      <c r="C107" s="8" t="n">
        <f aca="false">VLOOKUP(A107,справочник!$A$2:$C$322,3,0)</f>
        <v>312</v>
      </c>
      <c r="D107" s="0" t="str">
        <f aca="false">IFERROR(VLOOKUP(B107,справочник!$AF$2:$AF$15,1,0),"")</f>
        <v/>
      </c>
      <c r="F107" s="0" t="s">
        <v>40</v>
      </c>
      <c r="G107" s="9" t="n">
        <v>12800</v>
      </c>
      <c r="H107" s="9" t="n">
        <v>13600</v>
      </c>
      <c r="I107" s="9" t="n">
        <v>14400</v>
      </c>
      <c r="J107" s="9" t="n">
        <v>15200</v>
      </c>
      <c r="K107" s="9" t="n">
        <v>16000</v>
      </c>
      <c r="L107" s="9" t="n">
        <v>16800</v>
      </c>
      <c r="M107" s="9" t="n">
        <v>17600</v>
      </c>
      <c r="N107" s="9" t="n">
        <v>18400</v>
      </c>
      <c r="O107" s="9" t="n">
        <v>19200</v>
      </c>
      <c r="P107" s="9" t="n">
        <v>20000</v>
      </c>
      <c r="Q107" s="9" t="n">
        <v>20800</v>
      </c>
      <c r="R107" s="9" t="n">
        <v>21600</v>
      </c>
    </row>
    <row collapsed="false" customFormat="false" customHeight="false" hidden="false" ht="15" outlineLevel="0" r="108">
      <c r="A108" s="7" t="n">
        <v>295</v>
      </c>
      <c r="B108" s="1" t="s">
        <v>40</v>
      </c>
      <c r="C108" s="8" t="n">
        <f aca="false">VLOOKUP(A108,справочник!$A$2:$C$322,3,0)</f>
        <v>310</v>
      </c>
      <c r="D108" s="0" t="str">
        <f aca="false">IFERROR(VLOOKUP(B108,справочник!$AF$2:$AF$15,1,0),"")</f>
        <v>Измайлов Михаил Михайлович</v>
      </c>
      <c r="F108" s="0" t="s">
        <v>40</v>
      </c>
      <c r="G108" s="9" t="n">
        <v>12800</v>
      </c>
      <c r="H108" s="9" t="n">
        <v>13600</v>
      </c>
      <c r="I108" s="9" t="n">
        <v>14400</v>
      </c>
      <c r="J108" s="9" t="n">
        <v>15200</v>
      </c>
      <c r="K108" s="9" t="n">
        <v>16000</v>
      </c>
      <c r="L108" s="9" t="n">
        <v>16800</v>
      </c>
      <c r="M108" s="9" t="n">
        <v>17600</v>
      </c>
      <c r="N108" s="9" t="n">
        <v>18400</v>
      </c>
      <c r="O108" s="9" t="n">
        <v>19200</v>
      </c>
      <c r="P108" s="9" t="n">
        <v>20000</v>
      </c>
      <c r="Q108" s="9" t="n">
        <v>20800</v>
      </c>
      <c r="R108" s="9" t="n">
        <v>21600</v>
      </c>
    </row>
    <row collapsed="false" customFormat="false" customHeight="false" hidden="false" ht="15" outlineLevel="0" r="109">
      <c r="A109" s="7" t="n">
        <v>293</v>
      </c>
      <c r="B109" s="0" t="s">
        <v>135</v>
      </c>
      <c r="C109" s="8" t="n">
        <f aca="false">VLOOKUP(A109,справочник!$A$2:$C$322,3,0)</f>
        <v>308</v>
      </c>
      <c r="D109" s="0" t="str">
        <f aca="false">IFERROR(VLOOKUP(B109,справочник!$AF$2:$AF$15,1,0),"")</f>
        <v/>
      </c>
      <c r="F109" s="0" t="s">
        <v>40</v>
      </c>
      <c r="G109" s="9" t="n">
        <v>12800</v>
      </c>
      <c r="H109" s="9" t="n">
        <v>13600</v>
      </c>
      <c r="I109" s="9" t="n">
        <v>14400</v>
      </c>
      <c r="J109" s="9" t="n">
        <v>15200</v>
      </c>
      <c r="K109" s="9" t="n">
        <v>16000</v>
      </c>
      <c r="L109" s="9" t="n">
        <v>16800</v>
      </c>
      <c r="M109" s="9" t="n">
        <v>17600</v>
      </c>
      <c r="N109" s="9" t="n">
        <v>18400</v>
      </c>
      <c r="O109" s="9" t="n">
        <v>19200</v>
      </c>
      <c r="P109" s="9" t="n">
        <v>20000</v>
      </c>
      <c r="Q109" s="9" t="n">
        <v>20800</v>
      </c>
      <c r="R109" s="9" t="n">
        <v>21600</v>
      </c>
    </row>
    <row collapsed="false" customFormat="false" customHeight="false" hidden="false" ht="15" outlineLevel="0" r="110">
      <c r="A110" s="7" t="n">
        <v>205</v>
      </c>
      <c r="B110" s="0" t="s">
        <v>136</v>
      </c>
      <c r="C110" s="8" t="n">
        <f aca="false">VLOOKUP(A110,справочник!$A$2:$C$322,3,0)</f>
        <v>215</v>
      </c>
      <c r="D110" s="0" t="str">
        <f aca="false">IFERROR(VLOOKUP(B110,справочник!$AF$2:$AF$15,1,0),"")</f>
        <v/>
      </c>
      <c r="F110" s="0" t="s">
        <v>26</v>
      </c>
      <c r="G110" s="9" t="n">
        <v>12800</v>
      </c>
      <c r="H110" s="9" t="n">
        <v>13600</v>
      </c>
      <c r="I110" s="9" t="n">
        <v>14400</v>
      </c>
      <c r="J110" s="9" t="n">
        <v>15200</v>
      </c>
      <c r="K110" s="9" t="n">
        <v>16000</v>
      </c>
      <c r="L110" s="9" t="n">
        <v>16800</v>
      </c>
      <c r="M110" s="9" t="n">
        <v>17600</v>
      </c>
      <c r="N110" s="9" t="n">
        <v>18400</v>
      </c>
      <c r="O110" s="9" t="n">
        <v>19200</v>
      </c>
      <c r="P110" s="9" t="n">
        <v>20000</v>
      </c>
      <c r="Q110" s="9" t="n">
        <v>20800</v>
      </c>
      <c r="R110" s="9" t="n">
        <v>21600</v>
      </c>
    </row>
    <row collapsed="false" customFormat="false" customHeight="false" hidden="false" ht="15" outlineLevel="0" r="111">
      <c r="A111" s="7" t="n">
        <v>167</v>
      </c>
      <c r="B111" s="0" t="s">
        <v>137</v>
      </c>
      <c r="C111" s="8" t="n">
        <f aca="false">VLOOKUP(A111,справочник!$A$2:$C$322,3,0)</f>
        <v>175</v>
      </c>
      <c r="D111" s="0" t="str">
        <f aca="false">IFERROR(VLOOKUP(B111,справочник!$AF$2:$AF$15,1,0),"")</f>
        <v/>
      </c>
      <c r="F111" s="0" t="s">
        <v>36</v>
      </c>
      <c r="G111" s="9" t="n">
        <v>12800</v>
      </c>
      <c r="H111" s="9" t="n">
        <v>13600</v>
      </c>
      <c r="I111" s="9" t="n">
        <v>14400</v>
      </c>
      <c r="J111" s="9" t="n">
        <v>15200</v>
      </c>
      <c r="K111" s="9" t="n">
        <v>16000</v>
      </c>
      <c r="L111" s="9" t="n">
        <v>16800</v>
      </c>
      <c r="M111" s="9" t="n">
        <v>17600</v>
      </c>
      <c r="N111" s="9" t="n">
        <v>18400</v>
      </c>
      <c r="O111" s="9" t="n">
        <v>19200</v>
      </c>
      <c r="P111" s="9" t="n">
        <v>20000</v>
      </c>
      <c r="Q111" s="9" t="n">
        <v>20800</v>
      </c>
      <c r="R111" s="9" t="n">
        <v>21600</v>
      </c>
    </row>
    <row collapsed="false" customFormat="false" customHeight="false" hidden="false" ht="15" outlineLevel="0" r="112">
      <c r="A112" s="7" t="n">
        <v>166</v>
      </c>
      <c r="B112" s="0" t="s">
        <v>138</v>
      </c>
      <c r="C112" s="8" t="n">
        <f aca="false">VLOOKUP(A112,справочник!$A$2:$C$322,3,0)</f>
        <v>174</v>
      </c>
      <c r="D112" s="0" t="str">
        <f aca="false">IFERROR(VLOOKUP(B112,справочник!$AF$2:$AF$15,1,0),"")</f>
        <v/>
      </c>
      <c r="F112" s="0" t="s">
        <v>36</v>
      </c>
      <c r="G112" s="9" t="n">
        <v>12800</v>
      </c>
      <c r="H112" s="9" t="n">
        <v>13600</v>
      </c>
      <c r="I112" s="9" t="n">
        <v>14400</v>
      </c>
      <c r="J112" s="9" t="n">
        <v>15200</v>
      </c>
      <c r="K112" s="9" t="n">
        <v>16000</v>
      </c>
      <c r="L112" s="9" t="n">
        <v>16800</v>
      </c>
      <c r="M112" s="9" t="n">
        <v>17600</v>
      </c>
      <c r="N112" s="9" t="n">
        <v>18400</v>
      </c>
      <c r="O112" s="9" t="n">
        <v>19200</v>
      </c>
      <c r="P112" s="9" t="n">
        <v>20000</v>
      </c>
      <c r="Q112" s="9" t="n">
        <v>20800</v>
      </c>
      <c r="R112" s="9" t="n">
        <v>21600</v>
      </c>
    </row>
    <row collapsed="false" customFormat="false" customHeight="false" hidden="false" ht="15" outlineLevel="0" r="113">
      <c r="A113" s="7" t="n">
        <v>71</v>
      </c>
      <c r="B113" s="0" t="s">
        <v>139</v>
      </c>
      <c r="C113" s="8" t="n">
        <f aca="false">VLOOKUP(A113,справочник!$A$2:$C$322,3,0)</f>
        <v>77</v>
      </c>
      <c r="D113" s="0" t="str">
        <f aca="false">IFERROR(VLOOKUP(B113,справочник!$AF$2:$AF$15,1,0),"")</f>
        <v/>
      </c>
      <c r="F113" s="0" t="s">
        <v>42</v>
      </c>
      <c r="G113" s="9" t="n">
        <v>12800</v>
      </c>
      <c r="H113" s="9" t="n">
        <v>13600</v>
      </c>
      <c r="I113" s="9" t="n">
        <v>14400</v>
      </c>
      <c r="J113" s="9" t="n">
        <v>15200</v>
      </c>
      <c r="K113" s="9" t="n">
        <v>16000</v>
      </c>
      <c r="L113" s="9" t="n">
        <v>16800</v>
      </c>
      <c r="M113" s="9" t="n">
        <v>17600</v>
      </c>
      <c r="N113" s="9" t="n">
        <v>18400</v>
      </c>
      <c r="O113" s="9" t="n">
        <v>19200</v>
      </c>
      <c r="P113" s="9" t="n">
        <v>20000</v>
      </c>
      <c r="Q113" s="9" t="n">
        <v>20800</v>
      </c>
      <c r="R113" s="9" t="n">
        <v>21600</v>
      </c>
    </row>
    <row collapsed="false" customFormat="false" customHeight="false" hidden="false" ht="15" outlineLevel="0" r="114">
      <c r="A114" s="7" t="n">
        <v>39</v>
      </c>
      <c r="B114" s="0" t="s">
        <v>140</v>
      </c>
      <c r="C114" s="8" t="n">
        <f aca="false">VLOOKUP(A114,справочник!$A$2:$C$322,3,0)</f>
        <v>39</v>
      </c>
      <c r="D114" s="0" t="str">
        <f aca="false">IFERROR(VLOOKUP(B114,справочник!$AF$2:$AF$15,1,0),"")</f>
        <v/>
      </c>
      <c r="F114" s="0" t="s">
        <v>28</v>
      </c>
      <c r="G114" s="9" t="n">
        <v>12800</v>
      </c>
      <c r="H114" s="9" t="n">
        <v>13600</v>
      </c>
      <c r="I114" s="9" t="n">
        <v>14400</v>
      </c>
      <c r="J114" s="9" t="n">
        <v>15200</v>
      </c>
      <c r="K114" s="9" t="n">
        <v>16000</v>
      </c>
      <c r="L114" s="9" t="n">
        <v>16800</v>
      </c>
      <c r="M114" s="9" t="n">
        <v>17600</v>
      </c>
      <c r="N114" s="9" t="n">
        <v>18400</v>
      </c>
      <c r="O114" s="9" t="n">
        <v>19200</v>
      </c>
      <c r="P114" s="9" t="n">
        <v>20000</v>
      </c>
      <c r="Q114" s="9" t="n">
        <v>20800</v>
      </c>
      <c r="R114" s="9" t="n">
        <v>21600</v>
      </c>
    </row>
    <row collapsed="false" customFormat="false" customHeight="false" hidden="false" ht="15" outlineLevel="0" r="115">
      <c r="A115" s="10" t="n">
        <v>27</v>
      </c>
      <c r="B115" s="0" t="s">
        <v>141</v>
      </c>
      <c r="C115" s="8" t="n">
        <f aca="false">VLOOKUP(A115,справочник!$A$2:$C$322,3,0)</f>
        <v>27</v>
      </c>
      <c r="D115" s="0" t="str">
        <f aca="false">IFERROR(VLOOKUP(B115,справочник!$AF$2:$AF$15,1,0),"")</f>
        <v/>
      </c>
      <c r="F115" s="0" t="s">
        <v>30</v>
      </c>
      <c r="G115" s="9" t="n">
        <v>12800</v>
      </c>
      <c r="H115" s="9" t="n">
        <v>13600</v>
      </c>
      <c r="I115" s="9" t="n">
        <v>14400</v>
      </c>
      <c r="J115" s="9" t="n">
        <v>15200</v>
      </c>
      <c r="K115" s="9" t="n">
        <v>16000</v>
      </c>
      <c r="L115" s="9" t="n">
        <v>16800</v>
      </c>
      <c r="M115" s="9" t="n">
        <v>17600</v>
      </c>
      <c r="N115" s="9" t="n">
        <v>18400</v>
      </c>
      <c r="O115" s="9" t="n">
        <v>19200</v>
      </c>
      <c r="P115" s="9" t="n">
        <v>20000</v>
      </c>
      <c r="Q115" s="9" t="n">
        <v>20800</v>
      </c>
      <c r="R115" s="9" t="n">
        <v>21600</v>
      </c>
    </row>
    <row collapsed="false" customFormat="false" customHeight="false" hidden="false" ht="15" outlineLevel="0" r="116">
      <c r="A116" s="7" t="n">
        <v>11</v>
      </c>
      <c r="B116" s="0" t="s">
        <v>142</v>
      </c>
      <c r="C116" s="8" t="n">
        <f aca="false">VLOOKUP(A116,справочник!$A$2:$C$322,3,0)</f>
        <v>11</v>
      </c>
      <c r="D116" s="0" t="str">
        <f aca="false">IFERROR(VLOOKUP(B116,справочник!$AF$2:$AF$15,1,0),"")</f>
        <v/>
      </c>
      <c r="F116" s="0" t="s">
        <v>30</v>
      </c>
      <c r="G116" s="9" t="n">
        <v>12800</v>
      </c>
      <c r="H116" s="9" t="n">
        <v>13600</v>
      </c>
      <c r="I116" s="9" t="n">
        <v>14400</v>
      </c>
      <c r="J116" s="9" t="n">
        <v>15200</v>
      </c>
      <c r="K116" s="9" t="n">
        <v>16000</v>
      </c>
      <c r="L116" s="9" t="n">
        <v>16800</v>
      </c>
      <c r="M116" s="9" t="n">
        <v>17600</v>
      </c>
      <c r="N116" s="9" t="n">
        <v>18400</v>
      </c>
      <c r="O116" s="9" t="n">
        <v>19200</v>
      </c>
      <c r="P116" s="9" t="n">
        <v>20000</v>
      </c>
      <c r="Q116" s="9" t="n">
        <v>20800</v>
      </c>
      <c r="R116" s="9" t="n">
        <v>21600</v>
      </c>
    </row>
    <row collapsed="false" customFormat="false" customHeight="false" hidden="false" ht="15" outlineLevel="0" r="117">
      <c r="A117" s="7" t="n">
        <v>300</v>
      </c>
      <c r="B117" s="0" t="s">
        <v>143</v>
      </c>
      <c r="C117" s="8" t="n">
        <f aca="false">VLOOKUP(A117,справочник!$A$2:$C$322,3,0)</f>
        <v>315</v>
      </c>
      <c r="D117" s="0" t="str">
        <f aca="false">IFERROR(VLOOKUP(B117,справочник!$AF$2:$AF$15,1,0),"")</f>
        <v/>
      </c>
      <c r="F117" s="0" t="s">
        <v>40</v>
      </c>
      <c r="G117" s="9" t="n">
        <v>11800</v>
      </c>
      <c r="H117" s="9" t="n">
        <v>12600</v>
      </c>
      <c r="I117" s="9" t="n">
        <v>13400</v>
      </c>
      <c r="J117" s="9" t="n">
        <v>14200</v>
      </c>
      <c r="K117" s="9" t="n">
        <v>15000</v>
      </c>
      <c r="L117" s="9" t="n">
        <v>15800</v>
      </c>
      <c r="M117" s="9" t="n">
        <v>16600</v>
      </c>
      <c r="N117" s="9" t="n">
        <v>17400</v>
      </c>
      <c r="O117" s="9" t="n">
        <v>18200</v>
      </c>
      <c r="P117" s="9" t="n">
        <v>19000</v>
      </c>
      <c r="Q117" s="9" t="n">
        <v>19800</v>
      </c>
      <c r="R117" s="9" t="n">
        <v>20600</v>
      </c>
    </row>
    <row collapsed="false" customFormat="false" customHeight="false" hidden="false" ht="15" outlineLevel="0" r="118">
      <c r="A118" s="7" t="n">
        <v>292</v>
      </c>
      <c r="B118" s="0" t="s">
        <v>144</v>
      </c>
      <c r="C118" s="8" t="n">
        <f aca="false">VLOOKUP(A118,справочник!$A$2:$C$322,3,0)</f>
        <v>305</v>
      </c>
      <c r="D118" s="0" t="str">
        <f aca="false">IFERROR(VLOOKUP(B118,справочник!$AF$2:$AF$15,1,0),"")</f>
        <v/>
      </c>
      <c r="F118" s="0" t="s">
        <v>40</v>
      </c>
      <c r="G118" s="9" t="n">
        <v>11800</v>
      </c>
      <c r="H118" s="9" t="n">
        <v>12600</v>
      </c>
      <c r="I118" s="9" t="n">
        <v>13400</v>
      </c>
      <c r="J118" s="9" t="n">
        <v>14200</v>
      </c>
      <c r="K118" s="9" t="n">
        <v>15000</v>
      </c>
      <c r="L118" s="9" t="n">
        <v>15800</v>
      </c>
      <c r="M118" s="9" t="n">
        <v>16600</v>
      </c>
      <c r="N118" s="9" t="n">
        <v>17400</v>
      </c>
      <c r="O118" s="9" t="n">
        <v>18200</v>
      </c>
      <c r="P118" s="9" t="n">
        <v>19000</v>
      </c>
      <c r="Q118" s="9" t="n">
        <v>19800</v>
      </c>
      <c r="R118" s="9" t="n">
        <v>20600</v>
      </c>
    </row>
    <row collapsed="false" customFormat="false" customHeight="false" hidden="false" ht="15" outlineLevel="0" r="119">
      <c r="A119" s="7" t="n">
        <v>266</v>
      </c>
      <c r="B119" s="0" t="s">
        <v>145</v>
      </c>
      <c r="C119" s="8" t="n">
        <f aca="false">VLOOKUP(A119,справочник!$A$2:$C$322,3,0)</f>
        <v>279</v>
      </c>
      <c r="D119" s="0" t="str">
        <f aca="false">IFERROR(VLOOKUP(B119,справочник!$AF$2:$AF$15,1,0),"")</f>
        <v/>
      </c>
      <c r="F119" s="0" t="s">
        <v>70</v>
      </c>
      <c r="G119" s="9" t="n">
        <v>11800</v>
      </c>
      <c r="H119" s="9" t="n">
        <v>12600</v>
      </c>
      <c r="I119" s="9" t="n">
        <v>13400</v>
      </c>
      <c r="J119" s="9" t="n">
        <v>14200</v>
      </c>
      <c r="K119" s="9" t="n">
        <v>15000</v>
      </c>
      <c r="L119" s="9" t="n">
        <v>15800</v>
      </c>
      <c r="M119" s="9" t="n">
        <v>16600</v>
      </c>
      <c r="N119" s="9" t="n">
        <v>17400</v>
      </c>
      <c r="O119" s="9" t="n">
        <v>18200</v>
      </c>
      <c r="P119" s="9" t="n">
        <v>19000</v>
      </c>
      <c r="Q119" s="9" t="n">
        <v>19800</v>
      </c>
      <c r="R119" s="9" t="n">
        <v>20600</v>
      </c>
    </row>
    <row collapsed="false" customFormat="false" customHeight="false" hidden="false" ht="15" outlineLevel="0" r="120">
      <c r="A120" s="7" t="n">
        <v>250</v>
      </c>
      <c r="B120" s="0" t="s">
        <v>146</v>
      </c>
      <c r="C120" s="8" t="n">
        <f aca="false">VLOOKUP(A120,справочник!$A$2:$C$322,3,0)</f>
        <v>261</v>
      </c>
      <c r="D120" s="0" t="str">
        <f aca="false">IFERROR(VLOOKUP(B120,справочник!$AF$2:$AF$15,1,0),"")</f>
        <v/>
      </c>
      <c r="F120" s="0" t="s">
        <v>70</v>
      </c>
      <c r="G120" s="9" t="n">
        <v>14800</v>
      </c>
      <c r="H120" s="9" t="n">
        <v>15600</v>
      </c>
      <c r="I120" s="9" t="n">
        <v>15400</v>
      </c>
      <c r="J120" s="9" t="n">
        <v>15200</v>
      </c>
      <c r="K120" s="9" t="n">
        <v>15000</v>
      </c>
      <c r="L120" s="9" t="n">
        <v>15800</v>
      </c>
      <c r="M120" s="9" t="n">
        <v>16600</v>
      </c>
      <c r="N120" s="9" t="n">
        <v>17400</v>
      </c>
      <c r="O120" s="9" t="n">
        <v>18200</v>
      </c>
      <c r="P120" s="9" t="n">
        <v>19000</v>
      </c>
      <c r="Q120" s="9" t="n">
        <v>19800</v>
      </c>
      <c r="R120" s="9" t="n">
        <v>20600</v>
      </c>
    </row>
    <row collapsed="false" customFormat="false" customHeight="false" hidden="false" ht="15" outlineLevel="0" r="121">
      <c r="A121" s="7" t="n">
        <v>247</v>
      </c>
      <c r="B121" s="0" t="s">
        <v>147</v>
      </c>
      <c r="C121" s="8" t="n">
        <f aca="false">VLOOKUP(A121,справочник!$A$2:$C$322,3,0)</f>
        <v>258</v>
      </c>
      <c r="D121" s="0" t="str">
        <f aca="false">IFERROR(VLOOKUP(B121,справочник!$AF$2:$AF$15,1,0),"")</f>
        <v/>
      </c>
      <c r="F121" s="0" t="s">
        <v>44</v>
      </c>
      <c r="G121" s="9" t="n">
        <v>11800</v>
      </c>
      <c r="H121" s="9" t="n">
        <v>12600</v>
      </c>
      <c r="I121" s="9" t="n">
        <v>13400</v>
      </c>
      <c r="J121" s="9" t="n">
        <v>14200</v>
      </c>
      <c r="K121" s="9" t="n">
        <v>15000</v>
      </c>
      <c r="L121" s="9" t="n">
        <v>15800</v>
      </c>
      <c r="M121" s="9" t="n">
        <v>16600</v>
      </c>
      <c r="N121" s="9" t="n">
        <v>17400</v>
      </c>
      <c r="O121" s="9" t="n">
        <v>18200</v>
      </c>
      <c r="P121" s="9" t="n">
        <v>19000</v>
      </c>
      <c r="Q121" s="9" t="n">
        <v>19800</v>
      </c>
      <c r="R121" s="9" t="n">
        <v>20600</v>
      </c>
    </row>
    <row collapsed="false" customFormat="false" customHeight="false" hidden="false" ht="15" outlineLevel="0" r="122">
      <c r="A122" s="7" t="n">
        <v>73</v>
      </c>
      <c r="B122" s="0" t="s">
        <v>148</v>
      </c>
      <c r="C122" s="8" t="n">
        <f aca="false">VLOOKUP(A122,справочник!$A$2:$C$322,3,0)</f>
        <v>79</v>
      </c>
      <c r="D122" s="0" t="str">
        <f aca="false">IFERROR(VLOOKUP(B122,справочник!$AF$2:$AF$15,1,0),"")</f>
        <v/>
      </c>
      <c r="F122" s="0" t="s">
        <v>42</v>
      </c>
      <c r="G122" s="9" t="n">
        <v>11800</v>
      </c>
      <c r="H122" s="9" t="n">
        <v>12600</v>
      </c>
      <c r="I122" s="9" t="n">
        <v>13400</v>
      </c>
      <c r="J122" s="9" t="n">
        <v>14200</v>
      </c>
      <c r="K122" s="9" t="n">
        <v>15000</v>
      </c>
      <c r="L122" s="9" t="n">
        <v>15800</v>
      </c>
      <c r="M122" s="9" t="n">
        <v>16600</v>
      </c>
      <c r="N122" s="9" t="n">
        <v>17400</v>
      </c>
      <c r="O122" s="9" t="n">
        <v>18200</v>
      </c>
      <c r="P122" s="9" t="n">
        <v>19000</v>
      </c>
      <c r="Q122" s="9" t="n">
        <v>19800</v>
      </c>
      <c r="R122" s="9" t="n">
        <v>20600</v>
      </c>
    </row>
    <row collapsed="false" customFormat="false" customHeight="false" hidden="false" ht="15" outlineLevel="0" r="123">
      <c r="A123" s="7" t="n">
        <v>5</v>
      </c>
      <c r="B123" s="0" t="s">
        <v>149</v>
      </c>
      <c r="C123" s="8" t="n">
        <f aca="false">VLOOKUP(A123,справочник!$A$2:$C$322,3,0)</f>
        <v>5</v>
      </c>
      <c r="D123" s="0" t="str">
        <f aca="false">IFERROR(VLOOKUP(B123,справочник!$AF$2:$AF$15,1,0),"")</f>
        <v/>
      </c>
      <c r="F123" s="0" t="s">
        <v>30</v>
      </c>
      <c r="G123" s="9" t="n">
        <v>11800</v>
      </c>
      <c r="H123" s="9" t="n">
        <v>12600</v>
      </c>
      <c r="I123" s="9" t="n">
        <v>13400</v>
      </c>
      <c r="J123" s="9" t="n">
        <v>14200</v>
      </c>
      <c r="K123" s="9" t="n">
        <v>15000</v>
      </c>
      <c r="L123" s="9" t="n">
        <v>15800</v>
      </c>
      <c r="M123" s="9" t="n">
        <v>16600</v>
      </c>
      <c r="N123" s="9" t="n">
        <v>17400</v>
      </c>
      <c r="O123" s="9" t="n">
        <v>18200</v>
      </c>
      <c r="P123" s="9" t="n">
        <v>19000</v>
      </c>
      <c r="Q123" s="9" t="n">
        <v>19800</v>
      </c>
      <c r="R123" s="9" t="n">
        <v>20600</v>
      </c>
    </row>
    <row collapsed="false" customFormat="false" customHeight="false" hidden="false" ht="15" outlineLevel="0" r="124">
      <c r="A124" s="7" t="n">
        <v>175</v>
      </c>
      <c r="B124" s="0" t="s">
        <v>150</v>
      </c>
      <c r="C124" s="8" t="n">
        <f aca="false">VLOOKUP(A124,справочник!$A$2:$C$322,3,0)</f>
        <v>187</v>
      </c>
      <c r="D124" s="0" t="str">
        <f aca="false">IFERROR(VLOOKUP(B124,справочник!$AF$2:$AF$15,1,0),"")</f>
        <v/>
      </c>
      <c r="F124" s="0" t="s">
        <v>32</v>
      </c>
      <c r="G124" s="9" t="n">
        <v>32800</v>
      </c>
      <c r="H124" s="9" t="n">
        <v>33600</v>
      </c>
      <c r="I124" s="9" t="n">
        <v>34400</v>
      </c>
      <c r="J124" s="9" t="n">
        <v>35200</v>
      </c>
      <c r="K124" s="9" t="n">
        <v>14400</v>
      </c>
      <c r="L124" s="9" t="n">
        <v>15200</v>
      </c>
      <c r="M124" s="9" t="n">
        <v>16000</v>
      </c>
      <c r="N124" s="9" t="n">
        <v>16800</v>
      </c>
      <c r="O124" s="9" t="n">
        <v>17600</v>
      </c>
      <c r="P124" s="9" t="n">
        <v>18400</v>
      </c>
      <c r="Q124" s="9" t="n">
        <v>19200</v>
      </c>
      <c r="R124" s="9" t="n">
        <v>20000</v>
      </c>
    </row>
    <row collapsed="false" customFormat="false" customHeight="false" hidden="false" ht="15" outlineLevel="0" r="125">
      <c r="A125" s="7" t="n">
        <v>127</v>
      </c>
      <c r="B125" s="1" t="s">
        <v>30</v>
      </c>
      <c r="C125" s="8" t="n">
        <f aca="false">VLOOKUP(A125,справочник!$A$2:$C$322,3,0)</f>
        <v>132</v>
      </c>
      <c r="D125" s="0" t="str">
        <f aca="false">IFERROR(VLOOKUP(B125,справочник!$AF$2:$AF$15,1,0),"")</f>
        <v>Жохова Елена Сергеевна</v>
      </c>
      <c r="F125" s="0" t="s">
        <v>24</v>
      </c>
      <c r="G125" s="9" t="n">
        <v>12800</v>
      </c>
      <c r="H125" s="9" t="n">
        <v>12000</v>
      </c>
      <c r="I125" s="9" t="n">
        <v>12800</v>
      </c>
      <c r="J125" s="9" t="n">
        <v>13600</v>
      </c>
      <c r="K125" s="9" t="n">
        <v>14400</v>
      </c>
      <c r="L125" s="9" t="n">
        <v>15200</v>
      </c>
      <c r="M125" s="9" t="n">
        <v>16000</v>
      </c>
      <c r="N125" s="9" t="n">
        <v>16800</v>
      </c>
      <c r="O125" s="9" t="n">
        <v>17600</v>
      </c>
      <c r="P125" s="9" t="n">
        <v>18400</v>
      </c>
      <c r="Q125" s="9" t="n">
        <v>19200</v>
      </c>
      <c r="R125" s="9" t="n">
        <v>20000</v>
      </c>
    </row>
    <row collapsed="false" customFormat="false" customHeight="false" hidden="false" ht="15" outlineLevel="0" r="126">
      <c r="A126" s="7" t="n">
        <v>270</v>
      </c>
      <c r="B126" s="0" t="s">
        <v>151</v>
      </c>
      <c r="C126" s="8" t="n">
        <f aca="false">VLOOKUP(A126,справочник!$A$2:$C$322,3,0)</f>
        <v>283</v>
      </c>
      <c r="D126" s="0" t="str">
        <f aca="false">IFERROR(VLOOKUP(B126,справочник!$AF$2:$AF$15,1,0),"")</f>
        <v/>
      </c>
      <c r="F126" s="0" t="s">
        <v>34</v>
      </c>
      <c r="G126" s="9" t="n">
        <v>10800</v>
      </c>
      <c r="H126" s="9" t="n">
        <v>11600</v>
      </c>
      <c r="I126" s="9" t="n">
        <v>12400</v>
      </c>
      <c r="J126" s="9" t="n">
        <v>13200</v>
      </c>
      <c r="K126" s="9" t="n">
        <v>14000</v>
      </c>
      <c r="L126" s="9" t="n">
        <v>14800</v>
      </c>
      <c r="M126" s="9" t="n">
        <v>15600</v>
      </c>
      <c r="N126" s="9" t="n">
        <v>16400</v>
      </c>
      <c r="O126" s="9" t="n">
        <v>17200</v>
      </c>
      <c r="P126" s="9" t="n">
        <v>18000</v>
      </c>
      <c r="Q126" s="9" t="n">
        <v>18800</v>
      </c>
      <c r="R126" s="9" t="n">
        <v>19600</v>
      </c>
    </row>
    <row collapsed="false" customFormat="false" customHeight="false" hidden="false" ht="15" outlineLevel="0" r="127">
      <c r="A127" s="7" t="n">
        <v>136</v>
      </c>
      <c r="B127" s="0" t="s">
        <v>152</v>
      </c>
      <c r="C127" s="8" t="n">
        <f aca="false">VLOOKUP(A127,справочник!$A$2:$C$322,3,0)</f>
        <v>144</v>
      </c>
      <c r="D127" s="0" t="str">
        <f aca="false">IFERROR(VLOOKUP(B127,справочник!$AF$2:$AF$15,1,0),"")</f>
        <v/>
      </c>
      <c r="F127" s="0" t="s">
        <v>24</v>
      </c>
      <c r="G127" s="9" t="n">
        <v>10800</v>
      </c>
      <c r="H127" s="9" t="n">
        <v>11600</v>
      </c>
      <c r="I127" s="9" t="n">
        <v>12400</v>
      </c>
      <c r="J127" s="9" t="n">
        <v>13200</v>
      </c>
      <c r="K127" s="9" t="n">
        <v>14000</v>
      </c>
      <c r="L127" s="9" t="n">
        <v>14800</v>
      </c>
      <c r="M127" s="9" t="n">
        <v>15600</v>
      </c>
      <c r="N127" s="9" t="n">
        <v>16400</v>
      </c>
      <c r="O127" s="9" t="n">
        <v>17200</v>
      </c>
      <c r="P127" s="9" t="n">
        <v>18000</v>
      </c>
      <c r="Q127" s="9" t="n">
        <v>18800</v>
      </c>
      <c r="R127" s="9" t="n">
        <v>19600</v>
      </c>
    </row>
    <row collapsed="false" customFormat="false" customHeight="false" hidden="false" ht="15" outlineLevel="0" r="128">
      <c r="A128" s="7" t="n">
        <v>57</v>
      </c>
      <c r="B128" s="0" t="s">
        <v>153</v>
      </c>
      <c r="C128" s="8" t="n">
        <f aca="false">VLOOKUP(A128,справочник!$A$2:$C$322,3,0)</f>
        <v>59</v>
      </c>
      <c r="D128" s="0" t="str">
        <f aca="false">IFERROR(VLOOKUP(B128,справочник!$AF$2:$AF$15,1,0),"")</f>
        <v/>
      </c>
      <c r="F128" s="0" t="s">
        <v>28</v>
      </c>
      <c r="G128" s="9" t="n">
        <v>10800</v>
      </c>
      <c r="H128" s="9" t="n">
        <v>11600</v>
      </c>
      <c r="I128" s="9" t="n">
        <v>12400</v>
      </c>
      <c r="J128" s="9" t="n">
        <v>13200</v>
      </c>
      <c r="K128" s="9" t="n">
        <v>14000</v>
      </c>
      <c r="L128" s="9" t="n">
        <v>14800</v>
      </c>
      <c r="M128" s="9" t="n">
        <v>15600</v>
      </c>
      <c r="N128" s="9" t="n">
        <v>16400</v>
      </c>
      <c r="O128" s="9" t="n">
        <v>17200</v>
      </c>
      <c r="P128" s="9" t="n">
        <v>18000</v>
      </c>
      <c r="Q128" s="9" t="n">
        <v>18800</v>
      </c>
      <c r="R128" s="9" t="n">
        <v>19600</v>
      </c>
    </row>
    <row collapsed="false" customFormat="false" customHeight="false" hidden="false" ht="15" outlineLevel="0" r="129">
      <c r="A129" s="7" t="n">
        <v>36</v>
      </c>
      <c r="B129" s="0" t="s">
        <v>154</v>
      </c>
      <c r="C129" s="8" t="n">
        <f aca="false">VLOOKUP(A129,справочник!$A$2:$C$322,3,0)</f>
        <v>36</v>
      </c>
      <c r="D129" s="0" t="str">
        <f aca="false">IFERROR(VLOOKUP(B129,справочник!$AF$2:$AF$15,1,0),"")</f>
        <v/>
      </c>
      <c r="F129" s="0" t="s">
        <v>28</v>
      </c>
      <c r="G129" s="9" t="n">
        <v>10800</v>
      </c>
      <c r="H129" s="9" t="n">
        <v>11600</v>
      </c>
      <c r="I129" s="9" t="n">
        <v>12400</v>
      </c>
      <c r="J129" s="9" t="n">
        <v>13200</v>
      </c>
      <c r="K129" s="9" t="n">
        <v>14000</v>
      </c>
      <c r="L129" s="9" t="n">
        <v>14800</v>
      </c>
      <c r="M129" s="9" t="n">
        <v>15600</v>
      </c>
      <c r="N129" s="9" t="n">
        <v>16400</v>
      </c>
      <c r="O129" s="9" t="n">
        <v>17200</v>
      </c>
      <c r="P129" s="9" t="n">
        <v>18000</v>
      </c>
      <c r="Q129" s="9" t="n">
        <v>18800</v>
      </c>
      <c r="R129" s="9" t="n">
        <v>19600</v>
      </c>
    </row>
    <row collapsed="false" customFormat="false" customHeight="false" hidden="false" ht="15" outlineLevel="0" r="130">
      <c r="A130" s="7" t="n">
        <v>24</v>
      </c>
      <c r="B130" s="0" t="s">
        <v>155</v>
      </c>
      <c r="C130" s="8" t="n">
        <f aca="false">VLOOKUP(A130,справочник!$A$2:$C$322,3,0)</f>
        <v>24</v>
      </c>
      <c r="D130" s="0" t="str">
        <f aca="false">IFERROR(VLOOKUP(B130,справочник!$AF$2:$AF$15,1,0),"")</f>
        <v/>
      </c>
      <c r="F130" s="0" t="s">
        <v>30</v>
      </c>
      <c r="G130" s="9" t="n">
        <v>10800</v>
      </c>
      <c r="H130" s="9" t="n">
        <v>11600</v>
      </c>
      <c r="I130" s="9" t="n">
        <v>12400</v>
      </c>
      <c r="J130" s="9" t="n">
        <v>13200</v>
      </c>
      <c r="K130" s="9" t="n">
        <v>14000</v>
      </c>
      <c r="L130" s="9" t="n">
        <v>14800</v>
      </c>
      <c r="M130" s="9" t="n">
        <v>15600</v>
      </c>
      <c r="N130" s="9" t="n">
        <v>16400</v>
      </c>
      <c r="O130" s="9" t="n">
        <v>17200</v>
      </c>
      <c r="P130" s="9" t="n">
        <v>18000</v>
      </c>
      <c r="Q130" s="9" t="n">
        <v>18800</v>
      </c>
      <c r="R130" s="9" t="n">
        <v>19600</v>
      </c>
    </row>
    <row collapsed="false" customFormat="false" customHeight="false" hidden="false" ht="15" outlineLevel="0" r="131">
      <c r="A131" s="7" t="n">
        <v>6</v>
      </c>
      <c r="B131" s="0" t="s">
        <v>156</v>
      </c>
      <c r="C131" s="8" t="n">
        <f aca="false">VLOOKUP(A131,справочник!$A$2:$C$322,3,0)</f>
        <v>6</v>
      </c>
      <c r="D131" s="0" t="str">
        <f aca="false">IFERROR(VLOOKUP(B131,справочник!$AF$2:$AF$15,1,0),"")</f>
        <v/>
      </c>
      <c r="F131" s="0" t="s">
        <v>30</v>
      </c>
      <c r="G131" s="9" t="n">
        <v>14800</v>
      </c>
      <c r="H131" s="9" t="n">
        <v>15600</v>
      </c>
      <c r="I131" s="9" t="n">
        <v>16400</v>
      </c>
      <c r="J131" s="9" t="n">
        <v>17200</v>
      </c>
      <c r="K131" s="9" t="n">
        <v>14000</v>
      </c>
      <c r="L131" s="9" t="n">
        <v>14800</v>
      </c>
      <c r="M131" s="9" t="n">
        <v>15600</v>
      </c>
      <c r="N131" s="9" t="n">
        <v>16400</v>
      </c>
      <c r="O131" s="9" t="n">
        <v>17200</v>
      </c>
      <c r="P131" s="9" t="n">
        <v>18000</v>
      </c>
      <c r="Q131" s="9" t="n">
        <v>18800</v>
      </c>
      <c r="R131" s="9" t="n">
        <v>19600</v>
      </c>
    </row>
    <row collapsed="false" customFormat="false" customHeight="false" hidden="false" ht="15" outlineLevel="0" r="132">
      <c r="A132" s="7" t="n">
        <v>100</v>
      </c>
      <c r="B132" s="0" t="s">
        <v>157</v>
      </c>
      <c r="C132" s="8" t="n">
        <f aca="false">VLOOKUP(A132,справочник!$A$2:$C$322,3,0)</f>
        <v>105</v>
      </c>
      <c r="D132" s="0" t="str">
        <f aca="false">IFERROR(VLOOKUP(B132,справочник!$AF$2:$AF$15,1,0),"")</f>
        <v/>
      </c>
      <c r="F132" s="0" t="s">
        <v>49</v>
      </c>
      <c r="G132" s="9" t="n">
        <v>10749.7</v>
      </c>
      <c r="H132" s="9" t="n">
        <v>11549.7</v>
      </c>
      <c r="I132" s="9" t="n">
        <v>12349.7</v>
      </c>
      <c r="J132" s="9" t="n">
        <v>13149.7</v>
      </c>
      <c r="K132" s="9" t="n">
        <v>13949.7</v>
      </c>
      <c r="L132" s="9" t="n">
        <v>14749.7</v>
      </c>
      <c r="M132" s="9" t="n">
        <v>15549.7</v>
      </c>
      <c r="N132" s="9" t="n">
        <v>16349.7</v>
      </c>
      <c r="O132" s="9" t="n">
        <v>17149.7</v>
      </c>
      <c r="P132" s="9" t="n">
        <v>17949.7</v>
      </c>
      <c r="Q132" s="9" t="n">
        <v>18749.7</v>
      </c>
      <c r="R132" s="9" t="n">
        <v>19549.7</v>
      </c>
    </row>
    <row collapsed="false" customFormat="false" customHeight="false" hidden="false" ht="15" outlineLevel="0" r="133">
      <c r="A133" s="7" t="n">
        <v>289</v>
      </c>
      <c r="B133" s="0" t="s">
        <v>158</v>
      </c>
      <c r="C133" s="8" t="n">
        <f aca="false">VLOOKUP(A133,справочник!$A$2:$C$322,3,0)</f>
        <v>301</v>
      </c>
      <c r="D133" s="0" t="str">
        <f aca="false">IFERROR(VLOOKUP(B133,справочник!$AF$2:$AF$15,1,0),"")</f>
        <v/>
      </c>
      <c r="F133" s="0" t="s">
        <v>40</v>
      </c>
      <c r="G133" s="9" t="n">
        <v>9800</v>
      </c>
      <c r="H133" s="9" t="n">
        <v>10600</v>
      </c>
      <c r="I133" s="9" t="n">
        <v>11400</v>
      </c>
      <c r="J133" s="9" t="n">
        <v>12200</v>
      </c>
      <c r="K133" s="9" t="n">
        <v>13000</v>
      </c>
      <c r="L133" s="9" t="n">
        <v>13800</v>
      </c>
      <c r="M133" s="9" t="n">
        <v>14600</v>
      </c>
      <c r="N133" s="9" t="n">
        <v>15400</v>
      </c>
      <c r="O133" s="9" t="n">
        <v>16200</v>
      </c>
      <c r="P133" s="9" t="n">
        <v>17000</v>
      </c>
      <c r="Q133" s="9" t="n">
        <v>17800</v>
      </c>
      <c r="R133" s="9" t="n">
        <v>18600</v>
      </c>
    </row>
    <row collapsed="false" customFormat="false" customHeight="false" hidden="false" ht="15" outlineLevel="0" r="134">
      <c r="A134" s="7" t="n">
        <v>206</v>
      </c>
      <c r="B134" s="0" t="s">
        <v>159</v>
      </c>
      <c r="C134" s="8" t="n">
        <f aca="false">VLOOKUP(A134,справочник!$A$2:$C$322,3,0)</f>
        <v>216</v>
      </c>
      <c r="D134" s="0" t="str">
        <f aca="false">IFERROR(VLOOKUP(B134,справочник!$AF$2:$AF$15,1,0),"")</f>
        <v/>
      </c>
      <c r="F134" s="0" t="s">
        <v>26</v>
      </c>
      <c r="G134" s="9" t="n">
        <v>9800</v>
      </c>
      <c r="H134" s="9" t="n">
        <v>10600</v>
      </c>
      <c r="I134" s="9" t="n">
        <v>11400</v>
      </c>
      <c r="J134" s="9" t="n">
        <v>12200</v>
      </c>
      <c r="K134" s="9" t="n">
        <v>13000</v>
      </c>
      <c r="L134" s="9" t="n">
        <v>13800</v>
      </c>
      <c r="M134" s="9" t="n">
        <v>14600</v>
      </c>
      <c r="N134" s="9" t="n">
        <v>15400</v>
      </c>
      <c r="O134" s="9" t="n">
        <v>16200</v>
      </c>
      <c r="P134" s="9" t="n">
        <v>17000</v>
      </c>
      <c r="Q134" s="9" t="n">
        <v>17800</v>
      </c>
      <c r="R134" s="9" t="n">
        <v>18600</v>
      </c>
    </row>
    <row collapsed="false" customFormat="false" customHeight="false" hidden="false" ht="15" outlineLevel="0" r="135">
      <c r="A135" s="7" t="n">
        <v>163</v>
      </c>
      <c r="B135" s="0" t="s">
        <v>160</v>
      </c>
      <c r="C135" s="8" t="n">
        <f aca="false">VLOOKUP(A135,справочник!$A$2:$C$322,3,0)</f>
        <v>171</v>
      </c>
      <c r="D135" s="0" t="str">
        <f aca="false">IFERROR(VLOOKUP(B135,справочник!$AF$2:$AF$15,1,0),"")</f>
        <v/>
      </c>
      <c r="F135" s="0" t="s">
        <v>36</v>
      </c>
      <c r="G135" s="9" t="n">
        <v>9800</v>
      </c>
      <c r="H135" s="9" t="n">
        <v>10600</v>
      </c>
      <c r="I135" s="9" t="n">
        <v>11400</v>
      </c>
      <c r="J135" s="9" t="n">
        <v>12200</v>
      </c>
      <c r="K135" s="9" t="n">
        <v>13000</v>
      </c>
      <c r="L135" s="9" t="n">
        <v>13800</v>
      </c>
      <c r="M135" s="9" t="n">
        <v>14600</v>
      </c>
      <c r="N135" s="9" t="n">
        <v>15400</v>
      </c>
      <c r="O135" s="9" t="n">
        <v>16200</v>
      </c>
      <c r="P135" s="9" t="n">
        <v>17000</v>
      </c>
      <c r="Q135" s="9" t="n">
        <v>17800</v>
      </c>
      <c r="R135" s="9" t="n">
        <v>18600</v>
      </c>
    </row>
    <row collapsed="false" customFormat="false" customHeight="false" hidden="false" ht="15" outlineLevel="0" r="136">
      <c r="A136" s="7" t="n">
        <v>2</v>
      </c>
      <c r="B136" s="0" t="s">
        <v>161</v>
      </c>
      <c r="C136" s="8" t="n">
        <f aca="false">VLOOKUP(A136,справочник!$A$2:$C$322,3,0)</f>
        <v>2</v>
      </c>
      <c r="D136" s="0" t="str">
        <f aca="false">IFERROR(VLOOKUP(B136,справочник!$AF$2:$AF$15,1,0),"")</f>
        <v/>
      </c>
      <c r="F136" s="0" t="s">
        <v>30</v>
      </c>
      <c r="G136" s="9" t="n">
        <v>9800</v>
      </c>
      <c r="H136" s="9" t="n">
        <v>10600</v>
      </c>
      <c r="I136" s="9" t="n">
        <v>11400</v>
      </c>
      <c r="J136" s="9" t="n">
        <v>12200</v>
      </c>
      <c r="K136" s="9" t="n">
        <v>13000</v>
      </c>
      <c r="L136" s="9" t="n">
        <v>13800</v>
      </c>
      <c r="M136" s="9" t="n">
        <v>14600</v>
      </c>
      <c r="N136" s="9" t="n">
        <v>15400</v>
      </c>
      <c r="O136" s="9" t="n">
        <v>16200</v>
      </c>
      <c r="P136" s="9" t="n">
        <v>17000</v>
      </c>
      <c r="Q136" s="9" t="n">
        <v>17800</v>
      </c>
      <c r="R136" s="9" t="n">
        <v>18600</v>
      </c>
    </row>
    <row collapsed="false" customFormat="false" customHeight="false" hidden="false" ht="15" outlineLevel="0" r="137">
      <c r="A137" s="7" t="n">
        <v>143</v>
      </c>
      <c r="B137" s="0" t="s">
        <v>162</v>
      </c>
      <c r="C137" s="8" t="n">
        <f aca="false">VLOOKUP(A137,справочник!$A$2:$C$322,3,0)</f>
        <v>151</v>
      </c>
      <c r="D137" s="0" t="str">
        <f aca="false">IFERROR(VLOOKUP(B137,справочник!$AF$2:$AF$15,1,0),"")</f>
        <v/>
      </c>
      <c r="F137" s="0" t="s">
        <v>24</v>
      </c>
      <c r="G137" s="9" t="n">
        <v>13800</v>
      </c>
      <c r="H137" s="9" t="n">
        <v>14600</v>
      </c>
      <c r="I137" s="9" t="n">
        <v>15400</v>
      </c>
      <c r="J137" s="9" t="n">
        <v>16200</v>
      </c>
      <c r="K137" s="9" t="n">
        <v>17000</v>
      </c>
      <c r="L137" s="9" t="n">
        <v>13000</v>
      </c>
      <c r="M137" s="9" t="n">
        <v>13800</v>
      </c>
      <c r="N137" s="9" t="n">
        <v>14600</v>
      </c>
      <c r="O137" s="9" t="n">
        <v>15400</v>
      </c>
      <c r="P137" s="9" t="n">
        <v>16200</v>
      </c>
      <c r="Q137" s="9" t="n">
        <v>17000</v>
      </c>
      <c r="R137" s="9" t="n">
        <v>17800</v>
      </c>
    </row>
    <row collapsed="false" customFormat="false" customHeight="false" hidden="false" ht="15" outlineLevel="0" r="138">
      <c r="A138" s="7" t="n">
        <v>308</v>
      </c>
      <c r="B138" s="0" t="s">
        <v>163</v>
      </c>
      <c r="C138" s="8" t="n">
        <f aca="false">VLOOKUP(A138,справочник!$A$2:$C$322,3,0)</f>
        <v>323</v>
      </c>
      <c r="D138" s="0" t="str">
        <f aca="false">IFERROR(VLOOKUP(B138,справочник!$AF$2:$AF$15,1,0),"")</f>
        <v/>
      </c>
      <c r="F138" s="0" t="s">
        <v>40</v>
      </c>
      <c r="G138" s="9" t="n">
        <v>8800</v>
      </c>
      <c r="H138" s="9" t="n">
        <v>9600</v>
      </c>
      <c r="I138" s="9" t="n">
        <v>10400</v>
      </c>
      <c r="J138" s="9" t="n">
        <v>11200</v>
      </c>
      <c r="K138" s="9" t="n">
        <v>12000</v>
      </c>
      <c r="L138" s="9" t="n">
        <v>12800</v>
      </c>
      <c r="M138" s="9" t="n">
        <v>13600</v>
      </c>
      <c r="N138" s="9" t="n">
        <v>14400</v>
      </c>
      <c r="O138" s="9" t="n">
        <v>15200</v>
      </c>
      <c r="P138" s="9" t="n">
        <v>16000</v>
      </c>
      <c r="Q138" s="9" t="n">
        <v>16800</v>
      </c>
      <c r="R138" s="9" t="n">
        <v>17600</v>
      </c>
    </row>
    <row collapsed="false" customFormat="false" customHeight="false" hidden="false" ht="15" outlineLevel="0" r="139">
      <c r="A139" s="7" t="n">
        <v>218</v>
      </c>
      <c r="B139" s="0" t="s">
        <v>164</v>
      </c>
      <c r="C139" s="8" t="n">
        <f aca="false">VLOOKUP(A139,справочник!$A$2:$C$322,3,0)</f>
        <v>227</v>
      </c>
      <c r="D139" s="0" t="str">
        <f aca="false">IFERROR(VLOOKUP(B139,справочник!$AF$2:$AF$15,1,0),"")</f>
        <v/>
      </c>
      <c r="F139" s="0" t="s">
        <v>38</v>
      </c>
      <c r="G139" s="9" t="n">
        <v>14800</v>
      </c>
      <c r="H139" s="9" t="n">
        <v>15600</v>
      </c>
      <c r="I139" s="9" t="n">
        <v>15400</v>
      </c>
      <c r="J139" s="9" t="n">
        <v>16200</v>
      </c>
      <c r="K139" s="9" t="n">
        <v>17000</v>
      </c>
      <c r="L139" s="9" t="n">
        <v>12800</v>
      </c>
      <c r="M139" s="9" t="n">
        <v>13600</v>
      </c>
      <c r="N139" s="9" t="n">
        <v>14400</v>
      </c>
      <c r="O139" s="9" t="n">
        <v>15200</v>
      </c>
      <c r="P139" s="9" t="n">
        <v>16000</v>
      </c>
      <c r="Q139" s="9" t="n">
        <v>16800</v>
      </c>
      <c r="R139" s="9" t="n">
        <v>17600</v>
      </c>
    </row>
    <row collapsed="false" customFormat="false" customHeight="false" hidden="false" ht="15" outlineLevel="0" r="140">
      <c r="A140" s="7" t="n">
        <v>210</v>
      </c>
      <c r="B140" s="0" t="s">
        <v>165</v>
      </c>
      <c r="C140" s="8" t="n">
        <f aca="false">VLOOKUP(A140,справочник!$A$2:$C$322,3,0)</f>
        <v>219</v>
      </c>
      <c r="D140" s="0" t="str">
        <f aca="false">IFERROR(VLOOKUP(B140,справочник!$AF$2:$AF$15,1,0),"")</f>
        <v/>
      </c>
      <c r="F140" s="0" t="s">
        <v>26</v>
      </c>
      <c r="G140" s="9" t="n">
        <v>8800</v>
      </c>
      <c r="H140" s="9" t="n">
        <v>9600</v>
      </c>
      <c r="I140" s="9" t="n">
        <v>10400</v>
      </c>
      <c r="J140" s="9" t="n">
        <v>11200</v>
      </c>
      <c r="K140" s="9" t="n">
        <v>12000</v>
      </c>
      <c r="L140" s="9" t="n">
        <v>12800</v>
      </c>
      <c r="M140" s="9" t="n">
        <v>13600</v>
      </c>
      <c r="N140" s="9" t="n">
        <v>14400</v>
      </c>
      <c r="O140" s="9" t="n">
        <v>15200</v>
      </c>
      <c r="P140" s="9" t="n">
        <v>16000</v>
      </c>
      <c r="Q140" s="9" t="n">
        <v>16800</v>
      </c>
      <c r="R140" s="9" t="n">
        <v>17600</v>
      </c>
    </row>
    <row collapsed="false" customFormat="false" customHeight="false" hidden="false" ht="15" outlineLevel="0" r="141">
      <c r="A141" s="7" t="n">
        <v>112</v>
      </c>
      <c r="B141" s="0" t="s">
        <v>166</v>
      </c>
      <c r="C141" s="8" t="n">
        <f aca="false">VLOOKUP(A141,справочник!$A$2:$C$322,3,0)</f>
        <v>117</v>
      </c>
      <c r="D141" s="0" t="str">
        <f aca="false">IFERROR(VLOOKUP(B141,справочник!$AF$2:$AF$15,1,0),"")</f>
        <v/>
      </c>
      <c r="F141" s="0" t="s">
        <v>49</v>
      </c>
      <c r="G141" s="9" t="n">
        <v>17800</v>
      </c>
      <c r="H141" s="9" t="n">
        <v>13800</v>
      </c>
      <c r="I141" s="9" t="n">
        <v>14600</v>
      </c>
      <c r="J141" s="9" t="n">
        <v>15400</v>
      </c>
      <c r="K141" s="9" t="n">
        <v>16200</v>
      </c>
      <c r="L141" s="9" t="n">
        <v>12200</v>
      </c>
      <c r="M141" s="9" t="n">
        <v>13000</v>
      </c>
      <c r="N141" s="9" t="n">
        <v>13800</v>
      </c>
      <c r="O141" s="9" t="n">
        <v>14600</v>
      </c>
      <c r="P141" s="9" t="n">
        <v>15400</v>
      </c>
      <c r="Q141" s="9" t="n">
        <v>16200</v>
      </c>
      <c r="R141" s="9" t="n">
        <v>17000</v>
      </c>
    </row>
    <row collapsed="false" customFormat="false" customHeight="false" hidden="false" ht="15" outlineLevel="0" r="142">
      <c r="A142" s="7" t="n">
        <v>118</v>
      </c>
      <c r="B142" s="0" t="s">
        <v>167</v>
      </c>
      <c r="C142" s="8" t="n">
        <f aca="false">VLOOKUP(A142,справочник!$A$2:$C$322,3,0)</f>
        <v>123</v>
      </c>
      <c r="D142" s="0" t="str">
        <f aca="false">IFERROR(VLOOKUP(B142,справочник!$AF$2:$AF$15,1,0),"")</f>
        <v/>
      </c>
      <c r="F142" s="0" t="s">
        <v>49</v>
      </c>
      <c r="G142" s="9" t="n">
        <v>7800</v>
      </c>
      <c r="H142" s="9" t="n">
        <v>8600</v>
      </c>
      <c r="I142" s="9" t="n">
        <v>9400</v>
      </c>
      <c r="J142" s="9" t="n">
        <v>10200</v>
      </c>
      <c r="K142" s="9" t="n">
        <v>11000</v>
      </c>
      <c r="L142" s="9" t="n">
        <v>11800</v>
      </c>
      <c r="M142" s="9" t="n">
        <v>12600</v>
      </c>
      <c r="N142" s="9" t="n">
        <v>13400</v>
      </c>
      <c r="O142" s="9" t="n">
        <v>14200</v>
      </c>
      <c r="P142" s="9" t="n">
        <v>15000</v>
      </c>
      <c r="Q142" s="9" t="n">
        <v>15800</v>
      </c>
      <c r="R142" s="9" t="n">
        <v>16600</v>
      </c>
    </row>
    <row collapsed="false" customFormat="false" customHeight="false" hidden="false" ht="15" outlineLevel="0" r="143">
      <c r="A143" s="7" t="n">
        <v>230</v>
      </c>
      <c r="B143" s="0" t="s">
        <v>168</v>
      </c>
      <c r="C143" s="8" t="n">
        <f aca="false">VLOOKUP(A143,справочник!$A$2:$C$322,3,0)</f>
        <v>257</v>
      </c>
      <c r="D143" s="0" t="str">
        <f aca="false">IFERROR(VLOOKUP(B143,справочник!$AF$2:$AF$15,1,0),"")</f>
        <v/>
      </c>
      <c r="F143" s="0" t="s">
        <v>44</v>
      </c>
      <c r="G143" s="9" t="n">
        <v>10800</v>
      </c>
      <c r="H143" s="9" t="n">
        <v>11600</v>
      </c>
      <c r="I143" s="9" t="n">
        <v>12400</v>
      </c>
      <c r="J143" s="9" t="n">
        <v>13200</v>
      </c>
      <c r="K143" s="9" t="n">
        <v>10500</v>
      </c>
      <c r="L143" s="9" t="n">
        <v>11300</v>
      </c>
      <c r="M143" s="9" t="n">
        <v>12100</v>
      </c>
      <c r="N143" s="9" t="n">
        <v>12900</v>
      </c>
      <c r="O143" s="9" t="n">
        <v>13700</v>
      </c>
      <c r="P143" s="9" t="n">
        <v>14500</v>
      </c>
      <c r="Q143" s="9" t="n">
        <v>15300</v>
      </c>
      <c r="R143" s="9" t="n">
        <v>16100</v>
      </c>
    </row>
    <row collapsed="false" customFormat="false" customHeight="false" hidden="false" ht="15" outlineLevel="0" r="144">
      <c r="A144" s="7" t="n">
        <v>307</v>
      </c>
      <c r="B144" s="0" t="s">
        <v>169</v>
      </c>
      <c r="C144" s="8" t="n">
        <f aca="false">VLOOKUP(A144,справочник!$A$2:$C$322,3,0)</f>
        <v>322</v>
      </c>
      <c r="D144" s="0" t="str">
        <f aca="false">IFERROR(VLOOKUP(B144,справочник!$AF$2:$AF$15,1,0),"")</f>
        <v/>
      </c>
      <c r="F144" s="0" t="s">
        <v>40</v>
      </c>
      <c r="G144" s="9" t="n">
        <v>14800</v>
      </c>
      <c r="H144" s="9" t="n">
        <v>15600</v>
      </c>
      <c r="I144" s="9" t="n">
        <v>16400</v>
      </c>
      <c r="J144" s="9" t="n">
        <v>17200</v>
      </c>
      <c r="K144" s="9" t="n">
        <v>10000</v>
      </c>
      <c r="L144" s="9" t="n">
        <v>10800</v>
      </c>
      <c r="M144" s="9" t="n">
        <v>11600</v>
      </c>
      <c r="N144" s="9" t="n">
        <v>12400</v>
      </c>
      <c r="O144" s="9" t="n">
        <v>13200</v>
      </c>
      <c r="P144" s="9" t="n">
        <v>14000</v>
      </c>
      <c r="Q144" s="9" t="n">
        <v>14800</v>
      </c>
      <c r="R144" s="9" t="n">
        <v>15600</v>
      </c>
    </row>
    <row collapsed="false" customFormat="false" customHeight="false" hidden="false" ht="15" outlineLevel="0" r="145">
      <c r="A145" s="7" t="n">
        <v>279</v>
      </c>
      <c r="B145" s="0" t="s">
        <v>170</v>
      </c>
      <c r="C145" s="8" t="n">
        <f aca="false">VLOOKUP(A145,справочник!$A$2:$C$322,3,0)</f>
        <v>291</v>
      </c>
      <c r="D145" s="0" t="str">
        <f aca="false">IFERROR(VLOOKUP(B145,справочник!$AF$2:$AF$15,1,0),"")</f>
        <v/>
      </c>
      <c r="F145" s="0" t="s">
        <v>34</v>
      </c>
      <c r="G145" s="9" t="n">
        <v>6800</v>
      </c>
      <c r="H145" s="9" t="n">
        <v>7600</v>
      </c>
      <c r="I145" s="9" t="n">
        <v>8400</v>
      </c>
      <c r="J145" s="9" t="n">
        <v>9200</v>
      </c>
      <c r="K145" s="9" t="n">
        <v>10000</v>
      </c>
      <c r="L145" s="9" t="n">
        <v>10800</v>
      </c>
      <c r="M145" s="9" t="n">
        <v>11600</v>
      </c>
      <c r="N145" s="9" t="n">
        <v>12400</v>
      </c>
      <c r="O145" s="9" t="n">
        <v>13200</v>
      </c>
      <c r="P145" s="9" t="n">
        <v>14000</v>
      </c>
      <c r="Q145" s="9" t="n">
        <v>14800</v>
      </c>
      <c r="R145" s="9" t="n">
        <v>15600</v>
      </c>
    </row>
    <row collapsed="false" customFormat="false" customHeight="false" hidden="false" ht="15" outlineLevel="0" r="146">
      <c r="A146" s="7" t="n">
        <v>252</v>
      </c>
      <c r="B146" s="0" t="s">
        <v>171</v>
      </c>
      <c r="C146" s="8" t="n">
        <f aca="false">VLOOKUP(A146,справочник!$A$2:$C$322,3,0)</f>
        <v>264</v>
      </c>
      <c r="D146" s="0" t="str">
        <f aca="false">IFERROR(VLOOKUP(B146,справочник!$AF$2:$AF$15,1,0),"")</f>
        <v/>
      </c>
      <c r="F146" s="0" t="s">
        <v>70</v>
      </c>
      <c r="G146" s="9" t="n">
        <v>10800</v>
      </c>
      <c r="H146" s="9" t="n">
        <v>10800</v>
      </c>
      <c r="I146" s="9" t="n">
        <v>10000</v>
      </c>
      <c r="J146" s="9" t="n">
        <v>10800</v>
      </c>
      <c r="K146" s="9" t="n">
        <v>10000</v>
      </c>
      <c r="L146" s="9" t="n">
        <v>10800</v>
      </c>
      <c r="M146" s="9" t="n">
        <v>11600</v>
      </c>
      <c r="N146" s="9" t="n">
        <v>12400</v>
      </c>
      <c r="O146" s="9" t="n">
        <v>13200</v>
      </c>
      <c r="P146" s="9" t="n">
        <v>14000</v>
      </c>
      <c r="Q146" s="9" t="n">
        <v>14800</v>
      </c>
      <c r="R146" s="9" t="n">
        <v>15600</v>
      </c>
    </row>
    <row collapsed="false" customFormat="false" customHeight="false" hidden="false" ht="15" outlineLevel="0" r="147">
      <c r="A147" s="7" t="n">
        <v>161</v>
      </c>
      <c r="B147" s="0" t="s">
        <v>172</v>
      </c>
      <c r="C147" s="8" t="n">
        <f aca="false">VLOOKUP(A147,справочник!$A$2:$C$322,3,0)</f>
        <v>169</v>
      </c>
      <c r="D147" s="0" t="str">
        <f aca="false">IFERROR(VLOOKUP(B147,справочник!$AF$2:$AF$15,1,0),"")</f>
        <v/>
      </c>
      <c r="F147" s="0" t="s">
        <v>36</v>
      </c>
      <c r="G147" s="9" t="n">
        <v>6800</v>
      </c>
      <c r="H147" s="9" t="n">
        <v>7600</v>
      </c>
      <c r="I147" s="9" t="n">
        <v>8400</v>
      </c>
      <c r="J147" s="9" t="n">
        <v>9200</v>
      </c>
      <c r="K147" s="9" t="n">
        <v>10000</v>
      </c>
      <c r="L147" s="9" t="n">
        <v>10800</v>
      </c>
      <c r="M147" s="9" t="n">
        <v>11600</v>
      </c>
      <c r="N147" s="9" t="n">
        <v>12400</v>
      </c>
      <c r="O147" s="9" t="n">
        <v>13200</v>
      </c>
      <c r="P147" s="9" t="n">
        <v>14000</v>
      </c>
      <c r="Q147" s="9" t="n">
        <v>14800</v>
      </c>
      <c r="R147" s="9" t="n">
        <v>15600</v>
      </c>
    </row>
    <row collapsed="false" customFormat="false" customHeight="false" hidden="false" ht="15" outlineLevel="0" r="148">
      <c r="A148" s="7" t="n">
        <v>94</v>
      </c>
      <c r="B148" s="0" t="s">
        <v>173</v>
      </c>
      <c r="C148" s="8" t="n">
        <f aca="false">VLOOKUP(A148,справочник!$A$2:$C$322,3,0)</f>
        <v>99</v>
      </c>
      <c r="D148" s="0" t="str">
        <f aca="false">IFERROR(VLOOKUP(B148,справочник!$AF$2:$AF$15,1,0),"")</f>
        <v/>
      </c>
      <c r="F148" s="0" t="s">
        <v>55</v>
      </c>
      <c r="G148" s="9" t="n">
        <v>6800</v>
      </c>
      <c r="H148" s="9" t="n">
        <v>7600</v>
      </c>
      <c r="I148" s="9" t="n">
        <v>8400</v>
      </c>
      <c r="J148" s="9" t="n">
        <v>9200</v>
      </c>
      <c r="K148" s="9" t="n">
        <v>10000</v>
      </c>
      <c r="L148" s="9" t="n">
        <v>10800</v>
      </c>
      <c r="M148" s="9" t="n">
        <v>11600</v>
      </c>
      <c r="N148" s="9" t="n">
        <v>12400</v>
      </c>
      <c r="O148" s="9" t="n">
        <v>13200</v>
      </c>
      <c r="P148" s="9" t="n">
        <v>14000</v>
      </c>
      <c r="Q148" s="9" t="n">
        <v>14800</v>
      </c>
      <c r="R148" s="9" t="n">
        <v>15600</v>
      </c>
    </row>
    <row collapsed="false" customFormat="false" customHeight="false" hidden="false" ht="15" outlineLevel="0" r="149">
      <c r="A149" s="7" t="n">
        <v>72</v>
      </c>
      <c r="B149" s="0" t="s">
        <v>174</v>
      </c>
      <c r="C149" s="8" t="n">
        <f aca="false">VLOOKUP(A149,справочник!$A$2:$C$322,3,0)</f>
        <v>78</v>
      </c>
      <c r="D149" s="0" t="str">
        <f aca="false">IFERROR(VLOOKUP(B149,справочник!$AF$2:$AF$15,1,0),"")</f>
        <v/>
      </c>
      <c r="F149" s="0" t="s">
        <v>42</v>
      </c>
      <c r="G149" s="9" t="n">
        <v>6800</v>
      </c>
      <c r="H149" s="9" t="n">
        <v>7600</v>
      </c>
      <c r="I149" s="9" t="n">
        <v>8400</v>
      </c>
      <c r="J149" s="9" t="n">
        <v>9200</v>
      </c>
      <c r="K149" s="9" t="n">
        <v>10000</v>
      </c>
      <c r="L149" s="9" t="n">
        <v>10800</v>
      </c>
      <c r="M149" s="9" t="n">
        <v>11600</v>
      </c>
      <c r="N149" s="9" t="n">
        <v>12400</v>
      </c>
      <c r="O149" s="9" t="n">
        <v>13200</v>
      </c>
      <c r="P149" s="9" t="n">
        <v>14000</v>
      </c>
      <c r="Q149" s="9" t="n">
        <v>14800</v>
      </c>
      <c r="R149" s="9" t="n">
        <v>15600</v>
      </c>
    </row>
    <row collapsed="false" customFormat="false" customHeight="false" hidden="false" ht="15" outlineLevel="0" r="150">
      <c r="A150" s="7" t="n">
        <v>38</v>
      </c>
      <c r="B150" s="0" t="s">
        <v>175</v>
      </c>
      <c r="C150" s="8" t="n">
        <f aca="false">VLOOKUP(A150,справочник!$A$2:$C$322,3,0)</f>
        <v>255</v>
      </c>
      <c r="D150" s="0" t="str">
        <f aca="false">IFERROR(VLOOKUP(B150,справочник!$AF$2:$AF$15,1,0),"")</f>
        <v/>
      </c>
      <c r="F150" s="0" t="s">
        <v>44</v>
      </c>
      <c r="G150" s="9" t="n">
        <v>7800</v>
      </c>
      <c r="H150" s="9" t="n">
        <v>8600</v>
      </c>
      <c r="I150" s="9" t="n">
        <v>9400</v>
      </c>
      <c r="J150" s="9" t="n">
        <v>10200</v>
      </c>
      <c r="K150" s="9" t="n">
        <v>11000</v>
      </c>
      <c r="L150" s="9" t="n">
        <v>10200</v>
      </c>
      <c r="M150" s="9" t="n">
        <v>11000</v>
      </c>
      <c r="N150" s="9" t="n">
        <v>11800</v>
      </c>
      <c r="O150" s="9" t="n">
        <v>12600</v>
      </c>
      <c r="P150" s="9" t="n">
        <v>13400</v>
      </c>
      <c r="Q150" s="9" t="n">
        <v>14200</v>
      </c>
      <c r="R150" s="9" t="n">
        <v>15000</v>
      </c>
    </row>
    <row collapsed="false" customFormat="false" customHeight="false" hidden="false" ht="15" outlineLevel="0" r="151">
      <c r="A151" s="7" t="n">
        <v>280</v>
      </c>
      <c r="B151" s="0" t="s">
        <v>176</v>
      </c>
      <c r="C151" s="8" t="n">
        <f aca="false">VLOOKUP(A151,справочник!$A$2:$C$322,3,0)</f>
        <v>292</v>
      </c>
      <c r="D151" s="0" t="str">
        <f aca="false">IFERROR(VLOOKUP(B151,справочник!$AF$2:$AF$15,1,0),"")</f>
        <v/>
      </c>
      <c r="F151" s="0" t="s">
        <v>34</v>
      </c>
      <c r="G151" s="9" t="n">
        <v>5800</v>
      </c>
      <c r="H151" s="9" t="n">
        <v>6600</v>
      </c>
      <c r="I151" s="9" t="n">
        <v>7400</v>
      </c>
      <c r="J151" s="9" t="n">
        <v>8200</v>
      </c>
      <c r="K151" s="9" t="n">
        <v>9000</v>
      </c>
      <c r="L151" s="9" t="n">
        <v>9800</v>
      </c>
      <c r="M151" s="9" t="n">
        <v>10600</v>
      </c>
      <c r="N151" s="9" t="n">
        <v>11400</v>
      </c>
      <c r="O151" s="9" t="n">
        <v>12200</v>
      </c>
      <c r="P151" s="9" t="n">
        <v>13000</v>
      </c>
      <c r="Q151" s="9" t="n">
        <v>13800</v>
      </c>
      <c r="R151" s="9" t="n">
        <v>14600</v>
      </c>
    </row>
    <row collapsed="false" customFormat="false" customHeight="false" hidden="false" ht="15" outlineLevel="0" r="152">
      <c r="A152" s="7" t="n">
        <v>272</v>
      </c>
      <c r="B152" s="0" t="s">
        <v>177</v>
      </c>
      <c r="C152" s="8" t="n">
        <f aca="false">VLOOKUP(A152,справочник!$A$2:$C$322,3,0)</f>
        <v>285</v>
      </c>
      <c r="D152" s="0" t="str">
        <f aca="false">IFERROR(VLOOKUP(B152,справочник!$AF$2:$AF$15,1,0),"")</f>
        <v/>
      </c>
      <c r="F152" s="0" t="s">
        <v>34</v>
      </c>
      <c r="G152" s="9" t="n">
        <v>5800</v>
      </c>
      <c r="H152" s="9" t="n">
        <v>6600</v>
      </c>
      <c r="I152" s="9" t="n">
        <v>7400</v>
      </c>
      <c r="J152" s="9" t="n">
        <v>8200</v>
      </c>
      <c r="K152" s="9" t="n">
        <v>9000</v>
      </c>
      <c r="L152" s="9" t="n">
        <v>9800</v>
      </c>
      <c r="M152" s="9" t="n">
        <v>10600</v>
      </c>
      <c r="N152" s="9" t="n">
        <v>11400</v>
      </c>
      <c r="O152" s="9" t="n">
        <v>12200</v>
      </c>
      <c r="P152" s="9" t="n">
        <v>13000</v>
      </c>
      <c r="Q152" s="9" t="n">
        <v>13800</v>
      </c>
      <c r="R152" s="9" t="n">
        <v>14600</v>
      </c>
    </row>
    <row collapsed="false" customFormat="false" customHeight="false" hidden="false" ht="15" outlineLevel="0" r="153">
      <c r="A153" s="7" t="n">
        <v>259</v>
      </c>
      <c r="B153" s="0" t="s">
        <v>178</v>
      </c>
      <c r="C153" s="8" t="n">
        <f aca="false">VLOOKUP(A153,справочник!$A$2:$C$322,3,0)</f>
        <v>272</v>
      </c>
      <c r="D153" s="0" t="str">
        <f aca="false">IFERROR(VLOOKUP(B153,справочник!$AF$2:$AF$15,1,0),"")</f>
        <v/>
      </c>
      <c r="F153" s="0" t="s">
        <v>70</v>
      </c>
      <c r="G153" s="9" t="n">
        <v>4800</v>
      </c>
      <c r="H153" s="9" t="n">
        <v>5600</v>
      </c>
      <c r="I153" s="9" t="n">
        <v>6400</v>
      </c>
      <c r="J153" s="9" t="n">
        <v>7200</v>
      </c>
      <c r="K153" s="9" t="n">
        <v>8000</v>
      </c>
      <c r="L153" s="9" t="n">
        <v>8800</v>
      </c>
      <c r="M153" s="9" t="n">
        <v>9600</v>
      </c>
      <c r="N153" s="9" t="n">
        <v>10400</v>
      </c>
      <c r="O153" s="9" t="n">
        <v>11200</v>
      </c>
      <c r="P153" s="9" t="n">
        <v>12000</v>
      </c>
      <c r="Q153" s="9" t="n">
        <v>12800</v>
      </c>
      <c r="R153" s="9" t="n">
        <v>13600</v>
      </c>
    </row>
    <row collapsed="false" customFormat="false" customHeight="false" hidden="false" ht="15" outlineLevel="0" r="154">
      <c r="A154" s="7" t="n">
        <v>88</v>
      </c>
      <c r="B154" s="0" t="s">
        <v>179</v>
      </c>
      <c r="C154" s="0" t="str">
        <f aca="false">VLOOKUP(A154,справочник!$A$2:$C$322,3,0)</f>
        <v>97+93</v>
      </c>
      <c r="D154" s="0" t="str">
        <f aca="false">IFERROR(VLOOKUP(B154,справочник!$AF$2:$AF$15,1,0),"")</f>
        <v/>
      </c>
      <c r="F154" s="0" t="s">
        <v>55</v>
      </c>
      <c r="G154" s="9" t="n">
        <v>4800</v>
      </c>
      <c r="H154" s="9" t="n">
        <v>5600</v>
      </c>
      <c r="I154" s="9" t="n">
        <v>6400</v>
      </c>
      <c r="J154" s="9" t="n">
        <v>7200</v>
      </c>
      <c r="K154" s="9" t="n">
        <v>8000</v>
      </c>
      <c r="L154" s="9" t="n">
        <v>8800</v>
      </c>
      <c r="M154" s="9" t="n">
        <v>9600</v>
      </c>
      <c r="N154" s="9" t="n">
        <v>10400</v>
      </c>
      <c r="O154" s="9" t="n">
        <v>11200</v>
      </c>
      <c r="P154" s="9" t="n">
        <v>12000</v>
      </c>
      <c r="Q154" s="9" t="n">
        <v>12800</v>
      </c>
      <c r="R154" s="9" t="n">
        <v>13600</v>
      </c>
    </row>
    <row collapsed="false" customFormat="false" customHeight="false" hidden="false" ht="15" outlineLevel="0" r="155">
      <c r="A155" s="7" t="n">
        <v>284</v>
      </c>
      <c r="B155" s="0" t="s">
        <v>180</v>
      </c>
      <c r="C155" s="8" t="n">
        <f aca="false">VLOOKUP(A155,справочник!$A$2:$C$322,3,0)</f>
        <v>296</v>
      </c>
      <c r="D155" s="0" t="str">
        <f aca="false">IFERROR(VLOOKUP(B155,справочник!$AF$2:$AF$15,1,0),"")</f>
        <v/>
      </c>
      <c r="F155" s="0" t="s">
        <v>34</v>
      </c>
      <c r="G155" s="9" t="n">
        <v>9800</v>
      </c>
      <c r="H155" s="9" t="n">
        <v>10600</v>
      </c>
      <c r="I155" s="9" t="n">
        <v>5400</v>
      </c>
      <c r="J155" s="9" t="n">
        <v>6200</v>
      </c>
      <c r="K155" s="9" t="n">
        <v>7000</v>
      </c>
      <c r="L155" s="9" t="n">
        <v>7800</v>
      </c>
      <c r="M155" s="9" t="n">
        <v>8600</v>
      </c>
      <c r="N155" s="9" t="n">
        <v>9400</v>
      </c>
      <c r="O155" s="9" t="n">
        <v>10200</v>
      </c>
      <c r="P155" s="9" t="n">
        <v>11000</v>
      </c>
      <c r="Q155" s="9" t="n">
        <v>11800</v>
      </c>
      <c r="R155" s="9" t="n">
        <v>12600</v>
      </c>
    </row>
    <row collapsed="false" customFormat="false" customHeight="false" hidden="false" ht="15" outlineLevel="0" r="156">
      <c r="A156" s="7" t="n">
        <v>282</v>
      </c>
      <c r="B156" s="0" t="s">
        <v>181</v>
      </c>
      <c r="C156" s="8" t="n">
        <f aca="false">VLOOKUP(A156,справочник!$A$2:$C$322,3,0)</f>
        <v>294</v>
      </c>
      <c r="D156" s="0" t="str">
        <f aca="false">IFERROR(VLOOKUP(B156,справочник!$AF$2:$AF$15,1,0),"")</f>
        <v/>
      </c>
      <c r="F156" s="0" t="s">
        <v>34</v>
      </c>
      <c r="G156" s="9" t="n">
        <v>3800</v>
      </c>
      <c r="H156" s="9" t="n">
        <v>4600</v>
      </c>
      <c r="I156" s="9" t="n">
        <v>5400</v>
      </c>
      <c r="J156" s="9" t="n">
        <v>6200</v>
      </c>
      <c r="K156" s="9" t="n">
        <v>7000</v>
      </c>
      <c r="L156" s="9" t="n">
        <v>7800</v>
      </c>
      <c r="M156" s="9" t="n">
        <v>8600</v>
      </c>
      <c r="N156" s="9" t="n">
        <v>9400</v>
      </c>
      <c r="O156" s="9" t="n">
        <v>10200</v>
      </c>
      <c r="P156" s="9" t="n">
        <v>11000</v>
      </c>
      <c r="Q156" s="9" t="n">
        <v>11800</v>
      </c>
      <c r="R156" s="9" t="n">
        <v>12600</v>
      </c>
    </row>
    <row collapsed="false" customFormat="false" customHeight="false" hidden="false" ht="15" outlineLevel="0" r="157">
      <c r="A157" s="7" t="n">
        <v>260</v>
      </c>
      <c r="B157" s="0" t="s">
        <v>182</v>
      </c>
      <c r="C157" s="8" t="n">
        <f aca="false">VLOOKUP(A157,справочник!$A$2:$C$322,3,0)</f>
        <v>273</v>
      </c>
      <c r="D157" s="0" t="str">
        <f aca="false">IFERROR(VLOOKUP(B157,справочник!$AF$2:$AF$15,1,0),"")</f>
        <v/>
      </c>
      <c r="F157" s="0" t="s">
        <v>70</v>
      </c>
      <c r="G157" s="9" t="n">
        <v>8800</v>
      </c>
      <c r="H157" s="9" t="n">
        <v>7600</v>
      </c>
      <c r="I157" s="9" t="n">
        <v>8400</v>
      </c>
      <c r="J157" s="9" t="n">
        <v>9200</v>
      </c>
      <c r="K157" s="9" t="n">
        <v>9000</v>
      </c>
      <c r="L157" s="9" t="n">
        <v>7800</v>
      </c>
      <c r="M157" s="9" t="n">
        <v>8600</v>
      </c>
      <c r="N157" s="9" t="n">
        <v>9400</v>
      </c>
      <c r="O157" s="9" t="n">
        <v>10200</v>
      </c>
      <c r="P157" s="9" t="n">
        <v>11000</v>
      </c>
      <c r="Q157" s="9" t="n">
        <v>11800</v>
      </c>
      <c r="R157" s="9" t="n">
        <v>12600</v>
      </c>
    </row>
    <row collapsed="false" customFormat="false" customHeight="false" hidden="false" ht="15" outlineLevel="0" r="158">
      <c r="A158" s="7" t="n">
        <v>254</v>
      </c>
      <c r="B158" s="0" t="s">
        <v>183</v>
      </c>
      <c r="C158" s="8" t="n">
        <f aca="false">VLOOKUP(A158,справочник!$A$2:$C$322,3,0)</f>
        <v>267</v>
      </c>
      <c r="D158" s="0" t="str">
        <f aca="false">IFERROR(VLOOKUP(B158,справочник!$AF$2:$AF$15,1,0),"")</f>
        <v/>
      </c>
      <c r="F158" s="0" t="s">
        <v>70</v>
      </c>
      <c r="G158" s="9" t="n">
        <v>3800</v>
      </c>
      <c r="H158" s="9" t="n">
        <v>4600</v>
      </c>
      <c r="I158" s="9" t="n">
        <v>5400</v>
      </c>
      <c r="J158" s="9" t="n">
        <v>6200</v>
      </c>
      <c r="K158" s="9" t="n">
        <v>7000</v>
      </c>
      <c r="L158" s="9" t="n">
        <v>7800</v>
      </c>
      <c r="M158" s="9" t="n">
        <v>8600</v>
      </c>
      <c r="N158" s="9" t="n">
        <v>9400</v>
      </c>
      <c r="O158" s="9" t="n">
        <v>10200</v>
      </c>
      <c r="P158" s="9" t="n">
        <v>11000</v>
      </c>
      <c r="Q158" s="9" t="n">
        <v>11800</v>
      </c>
      <c r="R158" s="9" t="n">
        <v>12600</v>
      </c>
    </row>
    <row collapsed="false" customFormat="false" customHeight="false" hidden="false" ht="15" outlineLevel="0" r="159">
      <c r="A159" s="7" t="n">
        <v>177</v>
      </c>
      <c r="B159" s="0" t="s">
        <v>184</v>
      </c>
      <c r="C159" s="8" t="n">
        <f aca="false">VLOOKUP(A159,справочник!$A$2:$C$322,3,0)</f>
        <v>185</v>
      </c>
      <c r="D159" s="0" t="str">
        <f aca="false">IFERROR(VLOOKUP(B159,справочник!$AF$2:$AF$15,1,0),"")</f>
        <v/>
      </c>
      <c r="F159" s="0" t="s">
        <v>32</v>
      </c>
      <c r="G159" s="9" t="n">
        <v>3800</v>
      </c>
      <c r="H159" s="9" t="n">
        <v>4600</v>
      </c>
      <c r="I159" s="9" t="n">
        <v>5400</v>
      </c>
      <c r="J159" s="9" t="n">
        <v>6200</v>
      </c>
      <c r="K159" s="9" t="n">
        <v>7000</v>
      </c>
      <c r="L159" s="9" t="n">
        <v>7800</v>
      </c>
      <c r="M159" s="9" t="n">
        <v>8600</v>
      </c>
      <c r="N159" s="9" t="n">
        <v>9400</v>
      </c>
      <c r="O159" s="9" t="n">
        <v>10200</v>
      </c>
      <c r="P159" s="9" t="n">
        <v>11000</v>
      </c>
      <c r="Q159" s="9" t="n">
        <v>11800</v>
      </c>
      <c r="R159" s="9" t="n">
        <v>12600</v>
      </c>
    </row>
    <row collapsed="false" customFormat="false" customHeight="false" hidden="false" ht="15" outlineLevel="0" r="160">
      <c r="A160" s="7" t="n">
        <v>152</v>
      </c>
      <c r="B160" s="0" t="s">
        <v>185</v>
      </c>
      <c r="C160" s="8" t="n">
        <f aca="false">VLOOKUP(A160,справочник!$A$2:$C$322,3,0)</f>
        <v>160</v>
      </c>
      <c r="D160" s="0" t="str">
        <f aca="false">IFERROR(VLOOKUP(B160,справочник!$AF$2:$AF$15,1,0),"")</f>
        <v/>
      </c>
      <c r="F160" s="0" t="s">
        <v>36</v>
      </c>
      <c r="G160" s="9" t="n">
        <v>3800</v>
      </c>
      <c r="H160" s="9" t="n">
        <v>4600</v>
      </c>
      <c r="I160" s="9" t="n">
        <v>5400</v>
      </c>
      <c r="J160" s="9" t="n">
        <v>6200</v>
      </c>
      <c r="K160" s="9" t="n">
        <v>7000</v>
      </c>
      <c r="L160" s="9" t="n">
        <v>7800</v>
      </c>
      <c r="M160" s="9" t="n">
        <v>8600</v>
      </c>
      <c r="N160" s="9" t="n">
        <v>9400</v>
      </c>
      <c r="O160" s="9" t="n">
        <v>10200</v>
      </c>
      <c r="P160" s="9" t="n">
        <v>11000</v>
      </c>
      <c r="Q160" s="9" t="n">
        <v>11800</v>
      </c>
      <c r="R160" s="9" t="n">
        <v>12600</v>
      </c>
    </row>
    <row collapsed="false" customFormat="false" customHeight="false" hidden="false" ht="15" outlineLevel="0" r="161">
      <c r="A161" s="7" t="n">
        <v>128</v>
      </c>
      <c r="B161" s="0" t="s">
        <v>186</v>
      </c>
      <c r="C161" s="8" t="n">
        <f aca="false">VLOOKUP(A161,справочник!$A$2:$C$322,3,0)</f>
        <v>135</v>
      </c>
      <c r="D161" s="0" t="str">
        <f aca="false">IFERROR(VLOOKUP(B161,справочник!$AF$2:$AF$15,1,0),"")</f>
        <v/>
      </c>
      <c r="F161" s="0" t="s">
        <v>24</v>
      </c>
      <c r="G161" s="9" t="n">
        <v>3800</v>
      </c>
      <c r="H161" s="9" t="n">
        <v>4600</v>
      </c>
      <c r="I161" s="9" t="n">
        <v>5400</v>
      </c>
      <c r="J161" s="9" t="n">
        <v>6200</v>
      </c>
      <c r="K161" s="9" t="n">
        <v>7000</v>
      </c>
      <c r="L161" s="9" t="n">
        <v>7800</v>
      </c>
      <c r="M161" s="9" t="n">
        <v>8600</v>
      </c>
      <c r="N161" s="9" t="n">
        <v>9400</v>
      </c>
      <c r="O161" s="9" t="n">
        <v>10200</v>
      </c>
      <c r="P161" s="9" t="n">
        <v>11000</v>
      </c>
      <c r="Q161" s="9" t="n">
        <v>11800</v>
      </c>
      <c r="R161" s="9" t="n">
        <v>12600</v>
      </c>
    </row>
    <row collapsed="false" customFormat="false" customHeight="false" hidden="false" ht="15" outlineLevel="0" r="162">
      <c r="A162" s="7" t="n">
        <v>104</v>
      </c>
      <c r="B162" s="0" t="s">
        <v>187</v>
      </c>
      <c r="C162" s="8" t="n">
        <f aca="false">VLOOKUP(A162,справочник!$A$2:$C$322,3,0)</f>
        <v>109</v>
      </c>
      <c r="D162" s="0" t="str">
        <f aca="false">IFERROR(VLOOKUP(B162,справочник!$AF$2:$AF$15,1,0),"")</f>
        <v/>
      </c>
      <c r="F162" s="0" t="s">
        <v>49</v>
      </c>
      <c r="G162" s="9" t="n">
        <v>3800</v>
      </c>
      <c r="H162" s="9" t="n">
        <v>4600</v>
      </c>
      <c r="I162" s="9" t="n">
        <v>5400</v>
      </c>
      <c r="J162" s="9" t="n">
        <v>6200</v>
      </c>
      <c r="K162" s="9" t="n">
        <v>7000</v>
      </c>
      <c r="L162" s="9" t="n">
        <v>7800</v>
      </c>
      <c r="M162" s="9" t="n">
        <v>8600</v>
      </c>
      <c r="N162" s="9" t="n">
        <v>9400</v>
      </c>
      <c r="O162" s="9" t="n">
        <v>10200</v>
      </c>
      <c r="P162" s="9" t="n">
        <v>11000</v>
      </c>
      <c r="Q162" s="9" t="n">
        <v>11800</v>
      </c>
      <c r="R162" s="9" t="n">
        <v>12600</v>
      </c>
    </row>
    <row collapsed="false" customFormat="false" customHeight="false" hidden="false" ht="15" outlineLevel="0" r="163">
      <c r="A163" s="7" t="n">
        <v>87</v>
      </c>
      <c r="B163" s="0" t="s">
        <v>188</v>
      </c>
      <c r="C163" s="8" t="n">
        <f aca="false">VLOOKUP(A163,справочник!$A$2:$C$322,3,0)</f>
        <v>92</v>
      </c>
      <c r="D163" s="0" t="str">
        <f aca="false">IFERROR(VLOOKUP(B163,справочник!$AF$2:$AF$15,1,0),"")</f>
        <v/>
      </c>
      <c r="F163" s="0" t="s">
        <v>55</v>
      </c>
      <c r="G163" s="9" t="n">
        <v>3800</v>
      </c>
      <c r="H163" s="9" t="n">
        <v>4600</v>
      </c>
      <c r="I163" s="9" t="n">
        <v>5400</v>
      </c>
      <c r="J163" s="9" t="n">
        <v>6200</v>
      </c>
      <c r="K163" s="9" t="n">
        <v>7000</v>
      </c>
      <c r="L163" s="9" t="n">
        <v>7800</v>
      </c>
      <c r="M163" s="9" t="n">
        <v>8600</v>
      </c>
      <c r="N163" s="9" t="n">
        <v>9400</v>
      </c>
      <c r="O163" s="9" t="n">
        <v>10200</v>
      </c>
      <c r="P163" s="9" t="n">
        <v>11000</v>
      </c>
      <c r="Q163" s="9" t="n">
        <v>11800</v>
      </c>
      <c r="R163" s="9" t="n">
        <v>12600</v>
      </c>
    </row>
    <row collapsed="false" customFormat="false" customHeight="false" hidden="false" ht="15" outlineLevel="0" r="164">
      <c r="A164" s="7" t="n">
        <v>208</v>
      </c>
      <c r="B164" s="0" t="s">
        <v>189</v>
      </c>
      <c r="C164" s="8" t="n">
        <f aca="false">VLOOKUP(A164,справочник!$A$2:$C$322,3,0)</f>
        <v>218</v>
      </c>
      <c r="D164" s="0" t="str">
        <f aca="false">IFERROR(VLOOKUP(B164,справочник!$AF$2:$AF$15,1,0),"")</f>
        <v/>
      </c>
      <c r="F164" s="0" t="s">
        <v>26</v>
      </c>
      <c r="G164" s="9" t="n">
        <v>3300</v>
      </c>
      <c r="H164" s="9" t="n">
        <v>4100</v>
      </c>
      <c r="I164" s="9" t="n">
        <v>4900</v>
      </c>
      <c r="J164" s="9" t="n">
        <v>5700</v>
      </c>
      <c r="K164" s="9" t="n">
        <v>6500</v>
      </c>
      <c r="L164" s="9" t="n">
        <v>7300</v>
      </c>
      <c r="M164" s="9" t="n">
        <v>8100</v>
      </c>
      <c r="N164" s="9" t="n">
        <v>8900</v>
      </c>
      <c r="O164" s="9" t="n">
        <v>9700</v>
      </c>
      <c r="P164" s="9" t="n">
        <v>10500</v>
      </c>
      <c r="Q164" s="9" t="n">
        <v>11300</v>
      </c>
      <c r="R164" s="9" t="n">
        <v>12100</v>
      </c>
    </row>
    <row collapsed="false" customFormat="false" customHeight="false" hidden="false" ht="15" outlineLevel="0" r="165">
      <c r="A165" s="7" t="n">
        <v>176</v>
      </c>
      <c r="B165" s="0" t="s">
        <v>190</v>
      </c>
      <c r="C165" s="8" t="n">
        <f aca="false">VLOOKUP(A165,справочник!$A$2:$C$322,3,0)</f>
        <v>184</v>
      </c>
      <c r="D165" s="0" t="str">
        <f aca="false">IFERROR(VLOOKUP(B165,справочник!$AF$2:$AF$15,1,0),"")</f>
        <v/>
      </c>
      <c r="F165" s="0" t="s">
        <v>32</v>
      </c>
      <c r="G165" s="9" t="n">
        <v>12800</v>
      </c>
      <c r="H165" s="9" t="n">
        <v>10600</v>
      </c>
      <c r="I165" s="9" t="n">
        <v>11400</v>
      </c>
      <c r="J165" s="9" t="n">
        <v>12200</v>
      </c>
      <c r="K165" s="9" t="n">
        <v>10000</v>
      </c>
      <c r="L165" s="9" t="n">
        <v>7300</v>
      </c>
      <c r="M165" s="9" t="n">
        <v>8100</v>
      </c>
      <c r="N165" s="9" t="n">
        <v>8900</v>
      </c>
      <c r="O165" s="9" t="n">
        <v>9700</v>
      </c>
      <c r="P165" s="9" t="n">
        <v>10500</v>
      </c>
      <c r="Q165" s="9" t="n">
        <v>11300</v>
      </c>
      <c r="R165" s="9" t="n">
        <v>12100</v>
      </c>
    </row>
    <row collapsed="false" customFormat="false" customHeight="false" hidden="false" ht="15" outlineLevel="0" r="166">
      <c r="A166" s="7" t="n">
        <v>227</v>
      </c>
      <c r="B166" s="0" t="s">
        <v>191</v>
      </c>
      <c r="C166" s="8" t="n">
        <f aca="false">VLOOKUP(A166,справочник!$A$2:$C$322,3,0)</f>
        <v>236</v>
      </c>
      <c r="D166" s="0" t="str">
        <f aca="false">IFERROR(VLOOKUP(B166,справочник!$AF$2:$AF$15,1,0),"")</f>
        <v/>
      </c>
      <c r="F166" s="0" t="s">
        <v>38</v>
      </c>
      <c r="G166" s="9" t="n">
        <v>11800</v>
      </c>
      <c r="H166" s="9" t="n">
        <v>8800</v>
      </c>
      <c r="I166" s="9" t="n">
        <v>4800</v>
      </c>
      <c r="J166" s="9" t="n">
        <v>5600</v>
      </c>
      <c r="K166" s="9" t="n">
        <v>6400</v>
      </c>
      <c r="L166" s="9" t="n">
        <v>7200</v>
      </c>
      <c r="M166" s="9" t="n">
        <v>8000</v>
      </c>
      <c r="N166" s="9" t="n">
        <v>8800</v>
      </c>
      <c r="O166" s="9" t="n">
        <v>9600</v>
      </c>
      <c r="P166" s="9" t="n">
        <v>10400</v>
      </c>
      <c r="Q166" s="9" t="n">
        <v>11200</v>
      </c>
      <c r="R166" s="9" t="n">
        <v>12000</v>
      </c>
    </row>
    <row collapsed="false" customFormat="false" customHeight="false" hidden="false" ht="15" outlineLevel="0" r="167">
      <c r="A167" s="7" t="n">
        <v>66</v>
      </c>
      <c r="B167" s="0" t="s">
        <v>192</v>
      </c>
      <c r="C167" s="8" t="n">
        <f aca="false">VLOOKUP(A167,справочник!$A$2:$C$322,3,0)</f>
        <v>68</v>
      </c>
      <c r="D167" s="0" t="str">
        <f aca="false">IFERROR(VLOOKUP(B167,справочник!$AF$2:$AF$15,1,0),"")</f>
        <v/>
      </c>
      <c r="F167" s="0" t="s">
        <v>42</v>
      </c>
      <c r="G167" s="9" t="n">
        <v>3020</v>
      </c>
      <c r="H167" s="9" t="n">
        <v>3820</v>
      </c>
      <c r="I167" s="9" t="n">
        <v>4620</v>
      </c>
      <c r="J167" s="9" t="n">
        <v>5420</v>
      </c>
      <c r="K167" s="9" t="n">
        <v>6220</v>
      </c>
      <c r="L167" s="9" t="n">
        <v>7020</v>
      </c>
      <c r="M167" s="9" t="n">
        <v>7820</v>
      </c>
      <c r="N167" s="9" t="n">
        <v>8620</v>
      </c>
      <c r="O167" s="9" t="n">
        <v>9420</v>
      </c>
      <c r="P167" s="9" t="n">
        <v>10220</v>
      </c>
      <c r="Q167" s="9" t="n">
        <v>11020</v>
      </c>
      <c r="R167" s="9" t="n">
        <v>11820</v>
      </c>
    </row>
    <row collapsed="false" customFormat="false" customHeight="false" hidden="false" ht="15" outlineLevel="0" r="168">
      <c r="A168" s="7" t="n">
        <v>287</v>
      </c>
      <c r="B168" s="0" t="s">
        <v>193</v>
      </c>
      <c r="C168" s="8" t="n">
        <f aca="false">VLOOKUP(A168,справочник!$A$2:$C$322,3,0)</f>
        <v>299</v>
      </c>
      <c r="D168" s="0" t="str">
        <f aca="false">IFERROR(VLOOKUP(B168,справочник!$AF$2:$AF$15,1,0),"")</f>
        <v/>
      </c>
      <c r="F168" s="0" t="s">
        <v>34</v>
      </c>
      <c r="G168" s="9" t="n">
        <v>2800</v>
      </c>
      <c r="H168" s="9" t="n">
        <v>3600</v>
      </c>
      <c r="I168" s="9" t="n">
        <v>4400</v>
      </c>
      <c r="J168" s="9" t="n">
        <v>5200</v>
      </c>
      <c r="K168" s="9" t="n">
        <v>6000</v>
      </c>
      <c r="L168" s="9" t="n">
        <v>6800</v>
      </c>
      <c r="M168" s="9" t="n">
        <v>7600</v>
      </c>
      <c r="N168" s="9" t="n">
        <v>8400</v>
      </c>
      <c r="O168" s="9" t="n">
        <v>9200</v>
      </c>
      <c r="P168" s="9" t="n">
        <v>10000</v>
      </c>
      <c r="Q168" s="9" t="n">
        <v>10800</v>
      </c>
      <c r="R168" s="9" t="n">
        <v>11600</v>
      </c>
    </row>
    <row collapsed="false" customFormat="false" customHeight="false" hidden="false" ht="15" outlineLevel="0" r="169">
      <c r="A169" s="7" t="n">
        <v>221</v>
      </c>
      <c r="B169" s="0" t="s">
        <v>194</v>
      </c>
      <c r="C169" s="8" t="n">
        <f aca="false">VLOOKUP(A169,справочник!$A$2:$C$322,3,0)</f>
        <v>230</v>
      </c>
      <c r="D169" s="0" t="str">
        <f aca="false">IFERROR(VLOOKUP(B169,справочник!$AF$2:$AF$15,1,0),"")</f>
        <v/>
      </c>
      <c r="F169" s="0" t="s">
        <v>38</v>
      </c>
      <c r="G169" s="9" t="n">
        <v>2800</v>
      </c>
      <c r="H169" s="9" t="n">
        <v>3600</v>
      </c>
      <c r="I169" s="9" t="n">
        <v>4400</v>
      </c>
      <c r="J169" s="9" t="n">
        <v>5200</v>
      </c>
      <c r="K169" s="9" t="n">
        <v>6000</v>
      </c>
      <c r="L169" s="9" t="n">
        <v>6800</v>
      </c>
      <c r="M169" s="9" t="n">
        <v>7600</v>
      </c>
      <c r="N169" s="9" t="n">
        <v>8400</v>
      </c>
      <c r="O169" s="9" t="n">
        <v>9200</v>
      </c>
      <c r="P169" s="9" t="n">
        <v>10000</v>
      </c>
      <c r="Q169" s="9" t="n">
        <v>10800</v>
      </c>
      <c r="R169" s="9" t="n">
        <v>11600</v>
      </c>
    </row>
    <row collapsed="false" customFormat="false" customHeight="false" hidden="false" ht="15" outlineLevel="0" r="170">
      <c r="A170" s="7" t="n">
        <v>125</v>
      </c>
      <c r="B170" s="0" t="s">
        <v>195</v>
      </c>
      <c r="C170" s="8" t="n">
        <f aca="false">VLOOKUP(A170,справочник!$A$2:$C$322,3,0)</f>
        <v>130</v>
      </c>
      <c r="D170" s="0" t="str">
        <f aca="false">IFERROR(VLOOKUP(B170,справочник!$AF$2:$AF$15,1,0),"")</f>
        <v/>
      </c>
      <c r="F170" s="0" t="s">
        <v>49</v>
      </c>
      <c r="G170" s="9" t="n">
        <v>5800</v>
      </c>
      <c r="H170" s="9" t="n">
        <v>6600</v>
      </c>
      <c r="I170" s="9" t="n">
        <v>7400</v>
      </c>
      <c r="J170" s="9" t="n">
        <v>8200</v>
      </c>
      <c r="K170" s="9" t="n">
        <v>9000</v>
      </c>
      <c r="L170" s="9" t="n">
        <v>6800</v>
      </c>
      <c r="M170" s="9" t="n">
        <v>7600</v>
      </c>
      <c r="N170" s="9" t="n">
        <v>8400</v>
      </c>
      <c r="O170" s="9" t="n">
        <v>9200</v>
      </c>
      <c r="P170" s="9" t="n">
        <v>10000</v>
      </c>
      <c r="Q170" s="9" t="n">
        <v>10800</v>
      </c>
      <c r="R170" s="9" t="n">
        <v>11600</v>
      </c>
    </row>
    <row collapsed="false" customFormat="false" customHeight="false" hidden="false" ht="15" outlineLevel="0" r="171">
      <c r="A171" s="7" t="n">
        <v>101</v>
      </c>
      <c r="B171" s="0" t="s">
        <v>196</v>
      </c>
      <c r="C171" s="8" t="n">
        <f aca="false">VLOOKUP(A171,справочник!$A$2:$C$322,3,0)</f>
        <v>106</v>
      </c>
      <c r="D171" s="0" t="str">
        <f aca="false">IFERROR(VLOOKUP(B171,справочник!$AF$2:$AF$15,1,0),"")</f>
        <v/>
      </c>
      <c r="F171" s="0" t="s">
        <v>49</v>
      </c>
      <c r="G171" s="9" t="n">
        <v>2800</v>
      </c>
      <c r="H171" s="9" t="n">
        <v>3600</v>
      </c>
      <c r="I171" s="9" t="n">
        <v>4400</v>
      </c>
      <c r="J171" s="9" t="n">
        <v>5200</v>
      </c>
      <c r="K171" s="9" t="n">
        <v>6000</v>
      </c>
      <c r="L171" s="9" t="n">
        <v>6800</v>
      </c>
      <c r="M171" s="9" t="n">
        <v>7600</v>
      </c>
      <c r="N171" s="9" t="n">
        <v>8400</v>
      </c>
      <c r="O171" s="9" t="n">
        <v>9200</v>
      </c>
      <c r="P171" s="9" t="n">
        <v>10000</v>
      </c>
      <c r="Q171" s="9" t="n">
        <v>10800</v>
      </c>
      <c r="R171" s="9" t="n">
        <v>11600</v>
      </c>
    </row>
    <row collapsed="false" customFormat="false" customHeight="false" hidden="false" ht="15" outlineLevel="0" r="172">
      <c r="A172" s="7" t="n">
        <v>44</v>
      </c>
      <c r="B172" s="0" t="s">
        <v>197</v>
      </c>
      <c r="C172" s="8" t="n">
        <f aca="false">VLOOKUP(A172,справочник!$A$2:$C$322,3,0)</f>
        <v>44</v>
      </c>
      <c r="D172" s="0" t="str">
        <f aca="false">IFERROR(VLOOKUP(B172,справочник!$AF$2:$AF$15,1,0),"")</f>
        <v/>
      </c>
      <c r="F172" s="0" t="s">
        <v>28</v>
      </c>
      <c r="G172" s="9" t="n">
        <v>2800</v>
      </c>
      <c r="H172" s="9" t="n">
        <v>3600</v>
      </c>
      <c r="I172" s="9" t="n">
        <v>4400</v>
      </c>
      <c r="J172" s="9" t="n">
        <v>5200</v>
      </c>
      <c r="K172" s="9" t="n">
        <v>6000</v>
      </c>
      <c r="L172" s="9" t="n">
        <v>6800</v>
      </c>
      <c r="M172" s="9" t="n">
        <v>7600</v>
      </c>
      <c r="N172" s="9" t="n">
        <v>8400</v>
      </c>
      <c r="O172" s="9" t="n">
        <v>9200</v>
      </c>
      <c r="P172" s="9" t="n">
        <v>10000</v>
      </c>
      <c r="Q172" s="9" t="n">
        <v>10800</v>
      </c>
      <c r="R172" s="9" t="n">
        <v>11600</v>
      </c>
    </row>
    <row collapsed="false" customFormat="false" customHeight="false" hidden="false" ht="15" outlineLevel="0" r="173">
      <c r="A173" s="7" t="n">
        <v>22</v>
      </c>
      <c r="B173" s="0" t="s">
        <v>198</v>
      </c>
      <c r="C173" s="8" t="n">
        <f aca="false">VLOOKUP(A173,справочник!$A$2:$C$322,3,0)</f>
        <v>22</v>
      </c>
      <c r="D173" s="0" t="str">
        <f aca="false">IFERROR(VLOOKUP(B173,справочник!$AF$2:$AF$15,1,0),"")</f>
        <v/>
      </c>
      <c r="F173" s="0" t="s">
        <v>30</v>
      </c>
      <c r="G173" s="9" t="n">
        <v>2800</v>
      </c>
      <c r="H173" s="9" t="n">
        <v>3600</v>
      </c>
      <c r="I173" s="9" t="n">
        <v>4400</v>
      </c>
      <c r="J173" s="9" t="n">
        <v>5200</v>
      </c>
      <c r="K173" s="9" t="n">
        <v>6000</v>
      </c>
      <c r="L173" s="9" t="n">
        <v>6800</v>
      </c>
      <c r="M173" s="9" t="n">
        <v>7600</v>
      </c>
      <c r="N173" s="9" t="n">
        <v>8400</v>
      </c>
      <c r="O173" s="9" t="n">
        <v>9200</v>
      </c>
      <c r="P173" s="9" t="n">
        <v>10000</v>
      </c>
      <c r="Q173" s="9" t="n">
        <v>10800</v>
      </c>
      <c r="R173" s="9" t="n">
        <v>11600</v>
      </c>
    </row>
    <row collapsed="false" customFormat="false" customHeight="false" hidden="false" ht="15" outlineLevel="0" r="174">
      <c r="A174" s="7" t="n">
        <v>21</v>
      </c>
      <c r="B174" s="0" t="s">
        <v>199</v>
      </c>
      <c r="C174" s="8" t="n">
        <f aca="false">VLOOKUP(A174,справочник!$A$2:$C$322,3,0)</f>
        <v>21</v>
      </c>
      <c r="D174" s="0" t="str">
        <f aca="false">IFERROR(VLOOKUP(B174,справочник!$AF$2:$AF$15,1,0),"")</f>
        <v/>
      </c>
      <c r="F174" s="0" t="s">
        <v>30</v>
      </c>
      <c r="G174" s="9" t="n">
        <v>2800</v>
      </c>
      <c r="H174" s="9" t="n">
        <v>3600</v>
      </c>
      <c r="I174" s="9" t="n">
        <v>4400</v>
      </c>
      <c r="J174" s="9" t="n">
        <v>5200</v>
      </c>
      <c r="K174" s="9" t="n">
        <v>6000</v>
      </c>
      <c r="L174" s="9" t="n">
        <v>6800</v>
      </c>
      <c r="M174" s="9" t="n">
        <v>7600</v>
      </c>
      <c r="N174" s="9" t="n">
        <v>8400</v>
      </c>
      <c r="O174" s="9" t="n">
        <v>9200</v>
      </c>
      <c r="P174" s="9" t="n">
        <v>10000</v>
      </c>
      <c r="Q174" s="9" t="n">
        <v>10800</v>
      </c>
      <c r="R174" s="9" t="n">
        <v>11600</v>
      </c>
    </row>
    <row collapsed="false" customFormat="false" customHeight="false" hidden="false" ht="15" outlineLevel="0" r="175">
      <c r="A175" s="7" t="n">
        <v>268</v>
      </c>
      <c r="B175" s="0" t="s">
        <v>200</v>
      </c>
      <c r="C175" s="8" t="n">
        <f aca="false">VLOOKUP(A175,справочник!$A$2:$C$322,3,0)</f>
        <v>281</v>
      </c>
      <c r="D175" s="0" t="str">
        <f aca="false">IFERROR(VLOOKUP(B175,справочник!$AF$2:$AF$15,1,0),"")</f>
        <v/>
      </c>
      <c r="F175" s="0" t="s">
        <v>34</v>
      </c>
      <c r="G175" s="9" t="n">
        <v>7800</v>
      </c>
      <c r="H175" s="9" t="n">
        <v>8600</v>
      </c>
      <c r="I175" s="9" t="n">
        <v>9400</v>
      </c>
      <c r="J175" s="9" t="n">
        <v>7200</v>
      </c>
      <c r="K175" s="9" t="n">
        <v>8000</v>
      </c>
      <c r="L175" s="9" t="n">
        <v>5800</v>
      </c>
      <c r="M175" s="9" t="n">
        <v>6600</v>
      </c>
      <c r="N175" s="9" t="n">
        <v>7400</v>
      </c>
      <c r="O175" s="9" t="n">
        <v>8200</v>
      </c>
      <c r="P175" s="9" t="n">
        <v>9000</v>
      </c>
      <c r="Q175" s="9" t="n">
        <v>9800</v>
      </c>
      <c r="R175" s="9" t="n">
        <v>10600</v>
      </c>
    </row>
    <row collapsed="false" customFormat="false" customHeight="false" hidden="false" ht="15" outlineLevel="0" r="176">
      <c r="A176" s="7" t="n">
        <v>248</v>
      </c>
      <c r="B176" s="0" t="s">
        <v>201</v>
      </c>
      <c r="C176" s="8" t="n">
        <f aca="false">VLOOKUP(A176,справочник!$A$2:$C$322,3,0)</f>
        <v>259</v>
      </c>
      <c r="D176" s="0" t="str">
        <f aca="false">IFERROR(VLOOKUP(B176,справочник!$AF$2:$AF$15,1,0),"")</f>
        <v/>
      </c>
      <c r="F176" s="0" t="s">
        <v>44</v>
      </c>
      <c r="G176" s="9" t="n">
        <v>3500</v>
      </c>
      <c r="H176" s="9" t="n">
        <v>4300</v>
      </c>
      <c r="I176" s="9" t="n">
        <v>5100</v>
      </c>
      <c r="J176" s="9" t="n">
        <v>5900</v>
      </c>
      <c r="K176" s="9" t="n">
        <v>6700</v>
      </c>
      <c r="L176" s="9" t="n">
        <v>5800</v>
      </c>
      <c r="M176" s="9" t="n">
        <v>6600</v>
      </c>
      <c r="N176" s="9" t="n">
        <v>7400</v>
      </c>
      <c r="O176" s="9" t="n">
        <v>8200</v>
      </c>
      <c r="P176" s="9" t="n">
        <v>9000</v>
      </c>
      <c r="Q176" s="9" t="n">
        <v>9800</v>
      </c>
      <c r="R176" s="9" t="n">
        <v>10600</v>
      </c>
    </row>
    <row collapsed="false" customFormat="false" customHeight="false" hidden="false" ht="15" outlineLevel="0" r="177">
      <c r="A177" s="7" t="n">
        <v>122</v>
      </c>
      <c r="B177" s="0" t="s">
        <v>202</v>
      </c>
      <c r="C177" s="8" t="n">
        <f aca="false">VLOOKUP(A177,справочник!$A$2:$C$322,3,0)</f>
        <v>127</v>
      </c>
      <c r="D177" s="0" t="str">
        <f aca="false">IFERROR(VLOOKUP(B177,справочник!$AF$2:$AF$15,1,0),"")</f>
        <v/>
      </c>
      <c r="F177" s="0" t="s">
        <v>49</v>
      </c>
      <c r="G177" s="9" t="n">
        <v>5800</v>
      </c>
      <c r="H177" s="9" t="n">
        <v>4600</v>
      </c>
      <c r="I177" s="9" t="n">
        <v>5400</v>
      </c>
      <c r="J177" s="9" t="n">
        <v>4200</v>
      </c>
      <c r="K177" s="9" t="n">
        <v>5000</v>
      </c>
      <c r="L177" s="9" t="n">
        <v>5800</v>
      </c>
      <c r="M177" s="9" t="n">
        <v>6600</v>
      </c>
      <c r="N177" s="9" t="n">
        <v>7400</v>
      </c>
      <c r="O177" s="9" t="n">
        <v>8200</v>
      </c>
      <c r="P177" s="9" t="n">
        <v>9000</v>
      </c>
      <c r="Q177" s="9" t="n">
        <v>9800</v>
      </c>
      <c r="R177" s="9" t="n">
        <v>10600</v>
      </c>
    </row>
    <row collapsed="false" customFormat="false" customHeight="false" hidden="false" ht="15" outlineLevel="0" r="178">
      <c r="A178" s="7" t="n">
        <v>201</v>
      </c>
      <c r="B178" s="0" t="s">
        <v>203</v>
      </c>
      <c r="C178" s="8" t="n">
        <f aca="false">VLOOKUP(A178,справочник!$A$2:$C$322,3,0)</f>
        <v>209</v>
      </c>
      <c r="D178" s="0" t="str">
        <f aca="false">IFERROR(VLOOKUP(B178,справочник!$AF$2:$AF$15,1,0),"")</f>
        <v/>
      </c>
      <c r="F178" s="0" t="s">
        <v>26</v>
      </c>
      <c r="G178" s="9" t="n">
        <v>4800</v>
      </c>
      <c r="H178" s="9" t="n">
        <v>5600</v>
      </c>
      <c r="I178" s="9" t="n">
        <v>6400</v>
      </c>
      <c r="J178" s="9" t="n">
        <v>7200</v>
      </c>
      <c r="K178" s="9" t="n">
        <v>4800</v>
      </c>
      <c r="L178" s="9" t="n">
        <v>5600</v>
      </c>
      <c r="M178" s="9" t="n">
        <v>6400</v>
      </c>
      <c r="N178" s="9" t="n">
        <v>7200</v>
      </c>
      <c r="O178" s="9" t="n">
        <v>8000</v>
      </c>
      <c r="P178" s="9" t="n">
        <v>8800</v>
      </c>
      <c r="Q178" s="9" t="n">
        <v>9600</v>
      </c>
      <c r="R178" s="9" t="n">
        <v>10400</v>
      </c>
    </row>
    <row collapsed="false" customFormat="false" customHeight="false" hidden="false" ht="15" outlineLevel="0" r="179">
      <c r="A179" s="7" t="n">
        <v>64</v>
      </c>
      <c r="B179" s="0" t="s">
        <v>204</v>
      </c>
      <c r="C179" s="8" t="n">
        <f aca="false">VLOOKUP(A179,справочник!$A$2:$C$322,3,0)</f>
        <v>66</v>
      </c>
      <c r="D179" s="0" t="str">
        <f aca="false">IFERROR(VLOOKUP(B179,справочник!$AF$2:$AF$15,1,0),"")</f>
        <v/>
      </c>
      <c r="F179" s="0" t="s">
        <v>42</v>
      </c>
      <c r="G179" s="9" t="n">
        <v>4800</v>
      </c>
      <c r="H179" s="9" t="n">
        <v>5600</v>
      </c>
      <c r="I179" s="9" t="n">
        <v>4800</v>
      </c>
      <c r="J179" s="9" t="n">
        <v>5600</v>
      </c>
      <c r="K179" s="9" t="n">
        <v>6400</v>
      </c>
      <c r="L179" s="9" t="n">
        <v>5600</v>
      </c>
      <c r="M179" s="9" t="n">
        <v>6400</v>
      </c>
      <c r="N179" s="9" t="n">
        <v>7200</v>
      </c>
      <c r="O179" s="9" t="n">
        <v>8000</v>
      </c>
      <c r="P179" s="9" t="n">
        <v>8800</v>
      </c>
      <c r="Q179" s="9" t="n">
        <v>9600</v>
      </c>
      <c r="R179" s="9" t="n">
        <v>10400</v>
      </c>
    </row>
    <row collapsed="false" customFormat="false" customHeight="false" hidden="false" ht="15" outlineLevel="0" r="180">
      <c r="A180" s="7" t="n">
        <v>317</v>
      </c>
      <c r="B180" s="0" t="s">
        <v>205</v>
      </c>
      <c r="C180" s="0" t="str">
        <f aca="false">VLOOKUP(A180,справочник!$A$2:$C$322,3,0)</f>
        <v>51-52</v>
      </c>
      <c r="D180" s="0" t="str">
        <f aca="false">IFERROR(VLOOKUP(B180,справочник!$AF$2:$AF$15,1,0),"")</f>
        <v/>
      </c>
      <c r="F180" s="8" t="e">
        <f aca="false">{#н/д}</f>
        <v>#N/A</v>
      </c>
      <c r="G180" s="9" t="n">
        <v>800</v>
      </c>
      <c r="H180" s="9" t="n">
        <v>1600</v>
      </c>
      <c r="I180" s="9" t="n">
        <v>2400</v>
      </c>
      <c r="J180" s="9" t="n">
        <v>3200</v>
      </c>
      <c r="K180" s="9" t="n">
        <v>4000</v>
      </c>
      <c r="L180" s="9" t="n">
        <v>4800</v>
      </c>
      <c r="M180" s="9" t="n">
        <v>5600</v>
      </c>
      <c r="N180" s="9" t="n">
        <v>6400</v>
      </c>
      <c r="O180" s="9" t="n">
        <v>7200</v>
      </c>
      <c r="P180" s="9" t="n">
        <v>8000</v>
      </c>
      <c r="Q180" s="9" t="n">
        <v>8800</v>
      </c>
      <c r="R180" s="9" t="n">
        <v>9600</v>
      </c>
    </row>
    <row collapsed="false" customFormat="false" customHeight="false" hidden="false" ht="15" outlineLevel="0" r="181">
      <c r="A181" s="7" t="n">
        <v>314</v>
      </c>
      <c r="B181" s="0" t="s">
        <v>206</v>
      </c>
      <c r="C181" s="8" t="e">
        <f aca="false">VLOOKUP(A181,справочник!$A$2:$C$322,3,0)</f>
        <v>#N/A</v>
      </c>
      <c r="D181" s="0" t="str">
        <f aca="false">IFERROR(VLOOKUP(B181,справочник!$AF$2:$AF$15,1,0),"")</f>
        <v/>
      </c>
      <c r="F181" s="8" t="e">
        <f aca="false">{#н/д}</f>
        <v>#N/A</v>
      </c>
      <c r="G181" s="9" t="n">
        <v>800</v>
      </c>
      <c r="H181" s="9" t="n">
        <v>1600</v>
      </c>
      <c r="I181" s="9" t="n">
        <v>2400</v>
      </c>
      <c r="J181" s="9" t="n">
        <v>3200</v>
      </c>
      <c r="K181" s="9" t="n">
        <v>4000</v>
      </c>
      <c r="L181" s="9" t="n">
        <v>4800</v>
      </c>
      <c r="M181" s="9" t="n">
        <v>5600</v>
      </c>
      <c r="N181" s="9" t="n">
        <v>6400</v>
      </c>
      <c r="O181" s="9" t="n">
        <v>7200</v>
      </c>
      <c r="P181" s="9" t="n">
        <v>8000</v>
      </c>
      <c r="Q181" s="9" t="n">
        <v>8800</v>
      </c>
      <c r="R181" s="9" t="n">
        <v>9600</v>
      </c>
    </row>
    <row collapsed="false" customFormat="false" customHeight="false" hidden="false" ht="15" outlineLevel="0" r="182">
      <c r="A182" s="7" t="n">
        <v>291</v>
      </c>
      <c r="B182" s="0" t="s">
        <v>207</v>
      </c>
      <c r="C182" s="8" t="n">
        <f aca="false">VLOOKUP(A182,справочник!$A$2:$C$322,3,0)</f>
        <v>304</v>
      </c>
      <c r="D182" s="0" t="str">
        <f aca="false">IFERROR(VLOOKUP(B182,справочник!$AF$2:$AF$15,1,0),"")</f>
        <v/>
      </c>
      <c r="F182" s="0" t="s">
        <v>40</v>
      </c>
      <c r="G182" s="9" t="n">
        <v>800</v>
      </c>
      <c r="H182" s="9" t="n">
        <v>1600</v>
      </c>
      <c r="I182" s="9" t="n">
        <v>2400</v>
      </c>
      <c r="J182" s="9" t="n">
        <v>3200</v>
      </c>
      <c r="K182" s="9" t="n">
        <v>4000</v>
      </c>
      <c r="L182" s="9" t="n">
        <v>4800</v>
      </c>
      <c r="M182" s="9" t="n">
        <v>5600</v>
      </c>
      <c r="N182" s="9" t="n">
        <v>6400</v>
      </c>
      <c r="O182" s="9" t="n">
        <v>7200</v>
      </c>
      <c r="P182" s="9" t="n">
        <v>8000</v>
      </c>
      <c r="Q182" s="9" t="n">
        <v>8800</v>
      </c>
      <c r="R182" s="9" t="n">
        <v>9600</v>
      </c>
    </row>
    <row collapsed="false" customFormat="false" customHeight="false" hidden="false" ht="15" outlineLevel="0" r="183">
      <c r="A183" s="7" t="n">
        <v>241</v>
      </c>
      <c r="B183" s="0" t="s">
        <v>208</v>
      </c>
      <c r="C183" s="8" t="n">
        <f aca="false">VLOOKUP(A183,справочник!$A$2:$C$322,3,0)</f>
        <v>252</v>
      </c>
      <c r="D183" s="0" t="str">
        <f aca="false">IFERROR(VLOOKUP(B183,справочник!$AF$2:$AF$15,1,0),"")</f>
        <v/>
      </c>
      <c r="F183" s="0" t="s">
        <v>44</v>
      </c>
      <c r="G183" s="9" t="n">
        <v>4800</v>
      </c>
      <c r="H183" s="9" t="n">
        <v>4800</v>
      </c>
      <c r="I183" s="9" t="n">
        <v>4800</v>
      </c>
      <c r="J183" s="9" t="n">
        <v>5600</v>
      </c>
      <c r="K183" s="9" t="n">
        <v>6400</v>
      </c>
      <c r="L183" s="9" t="n">
        <v>4800</v>
      </c>
      <c r="M183" s="9" t="n">
        <v>5600</v>
      </c>
      <c r="N183" s="9" t="n">
        <v>6400</v>
      </c>
      <c r="O183" s="9" t="n">
        <v>7200</v>
      </c>
      <c r="P183" s="9" t="n">
        <v>8000</v>
      </c>
      <c r="Q183" s="9" t="n">
        <v>8800</v>
      </c>
      <c r="R183" s="9" t="n">
        <v>9600</v>
      </c>
    </row>
    <row collapsed="false" customFormat="false" customHeight="false" hidden="false" ht="15" outlineLevel="0" r="184">
      <c r="A184" s="7" t="n">
        <v>212</v>
      </c>
      <c r="B184" s="0" t="s">
        <v>209</v>
      </c>
      <c r="C184" s="8" t="n">
        <f aca="false">VLOOKUP(A184,справочник!$A$2:$C$322,3,0)</f>
        <v>221</v>
      </c>
      <c r="D184" s="0" t="str">
        <f aca="false">IFERROR(VLOOKUP(B184,справочник!$AF$2:$AF$15,1,0),"")</f>
        <v/>
      </c>
      <c r="F184" s="0" t="s">
        <v>38</v>
      </c>
      <c r="G184" s="9" t="n">
        <v>3200</v>
      </c>
      <c r="H184" s="9" t="n">
        <v>4000</v>
      </c>
      <c r="I184" s="9" t="n">
        <v>3200</v>
      </c>
      <c r="J184" s="9" t="n">
        <v>3200</v>
      </c>
      <c r="K184" s="9" t="n">
        <v>4000</v>
      </c>
      <c r="L184" s="9" t="n">
        <v>4800</v>
      </c>
      <c r="M184" s="9" t="n">
        <v>5600</v>
      </c>
      <c r="N184" s="9" t="n">
        <v>6400</v>
      </c>
      <c r="O184" s="9" t="n">
        <v>7200</v>
      </c>
      <c r="P184" s="9" t="n">
        <v>8000</v>
      </c>
      <c r="Q184" s="9" t="n">
        <v>8800</v>
      </c>
      <c r="R184" s="9" t="n">
        <v>9600</v>
      </c>
    </row>
    <row collapsed="false" customFormat="false" customHeight="false" hidden="false" ht="15" outlineLevel="0" r="185">
      <c r="A185" s="7" t="n">
        <v>207</v>
      </c>
      <c r="B185" s="0" t="s">
        <v>210</v>
      </c>
      <c r="C185" s="8" t="n">
        <f aca="false">VLOOKUP(A185,справочник!$A$2:$C$322,3,0)</f>
        <v>217</v>
      </c>
      <c r="D185" s="0" t="str">
        <f aca="false">IFERROR(VLOOKUP(B185,справочник!$AF$2:$AF$15,1,0),"")</f>
        <v/>
      </c>
      <c r="F185" s="0" t="s">
        <v>26</v>
      </c>
      <c r="G185" s="9" t="n">
        <v>800</v>
      </c>
      <c r="H185" s="9" t="n">
        <v>1600</v>
      </c>
      <c r="I185" s="9" t="n">
        <v>2400</v>
      </c>
      <c r="J185" s="9" t="n">
        <v>3200</v>
      </c>
      <c r="K185" s="9" t="n">
        <v>4000</v>
      </c>
      <c r="L185" s="9" t="n">
        <v>4800</v>
      </c>
      <c r="M185" s="9" t="n">
        <v>5600</v>
      </c>
      <c r="N185" s="9" t="n">
        <v>6400</v>
      </c>
      <c r="O185" s="9" t="n">
        <v>7200</v>
      </c>
      <c r="P185" s="9" t="n">
        <v>8000</v>
      </c>
      <c r="Q185" s="9" t="n">
        <v>8800</v>
      </c>
      <c r="R185" s="9" t="n">
        <v>9600</v>
      </c>
    </row>
    <row collapsed="false" customFormat="false" customHeight="false" hidden="false" ht="15" outlineLevel="0" r="186">
      <c r="A186" s="7" t="n">
        <v>204</v>
      </c>
      <c r="B186" s="0" t="s">
        <v>211</v>
      </c>
      <c r="C186" s="8" t="n">
        <f aca="false">VLOOKUP(A186,справочник!$A$2:$C$322,3,0)</f>
        <v>214</v>
      </c>
      <c r="D186" s="0" t="str">
        <f aca="false">IFERROR(VLOOKUP(B186,справочник!$AF$2:$AF$15,1,0),"")</f>
        <v/>
      </c>
      <c r="F186" s="0" t="s">
        <v>26</v>
      </c>
      <c r="G186" s="9" t="n">
        <v>800</v>
      </c>
      <c r="H186" s="9" t="n">
        <v>1600</v>
      </c>
      <c r="I186" s="9" t="n">
        <v>2400</v>
      </c>
      <c r="J186" s="9" t="n">
        <v>3200</v>
      </c>
      <c r="K186" s="9" t="n">
        <v>4000</v>
      </c>
      <c r="L186" s="9" t="n">
        <v>4800</v>
      </c>
      <c r="M186" s="9" t="n">
        <v>5600</v>
      </c>
      <c r="N186" s="9" t="n">
        <v>6400</v>
      </c>
      <c r="O186" s="9" t="n">
        <v>7200</v>
      </c>
      <c r="P186" s="9" t="n">
        <v>8000</v>
      </c>
      <c r="Q186" s="9" t="n">
        <v>8800</v>
      </c>
      <c r="R186" s="9" t="n">
        <v>9600</v>
      </c>
    </row>
    <row collapsed="false" customFormat="false" customHeight="false" hidden="false" ht="15" outlineLevel="0" r="187">
      <c r="A187" s="7" t="n">
        <v>193</v>
      </c>
      <c r="B187" s="0" t="s">
        <v>212</v>
      </c>
      <c r="C187" s="8" t="n">
        <f aca="false">VLOOKUP(A187,справочник!$A$2:$C$322,3,0)</f>
        <v>201</v>
      </c>
      <c r="D187" s="0" t="str">
        <f aca="false">IFERROR(VLOOKUP(B187,справочник!$AF$2:$AF$15,1,0),"")</f>
        <v/>
      </c>
      <c r="F187" s="0" t="s">
        <v>26</v>
      </c>
      <c r="G187" s="9" t="n">
        <v>800</v>
      </c>
      <c r="H187" s="9" t="n">
        <v>1600</v>
      </c>
      <c r="I187" s="9" t="n">
        <v>2400</v>
      </c>
      <c r="J187" s="9" t="n">
        <v>3200</v>
      </c>
      <c r="K187" s="9" t="n">
        <v>4000</v>
      </c>
      <c r="L187" s="9" t="n">
        <v>4800</v>
      </c>
      <c r="M187" s="9" t="n">
        <v>5600</v>
      </c>
      <c r="N187" s="9" t="n">
        <v>6400</v>
      </c>
      <c r="O187" s="9" t="n">
        <v>7200</v>
      </c>
      <c r="P187" s="9" t="n">
        <v>8000</v>
      </c>
      <c r="Q187" s="9" t="n">
        <v>8800</v>
      </c>
      <c r="R187" s="9" t="n">
        <v>9600</v>
      </c>
    </row>
    <row collapsed="false" customFormat="false" customHeight="false" hidden="false" ht="15" outlineLevel="0" r="188">
      <c r="A188" s="7" t="n">
        <v>191</v>
      </c>
      <c r="B188" s="0" t="s">
        <v>213</v>
      </c>
      <c r="C188" s="8" t="n">
        <f aca="false">VLOOKUP(A188,справочник!$A$2:$C$322,3,0)</f>
        <v>199</v>
      </c>
      <c r="D188" s="0" t="str">
        <f aca="false">IFERROR(VLOOKUP(B188,справочник!$AF$2:$AF$15,1,0),"")</f>
        <v/>
      </c>
      <c r="F188" s="0" t="s">
        <v>32</v>
      </c>
      <c r="G188" s="9" t="n">
        <v>800</v>
      </c>
      <c r="H188" s="9" t="n">
        <v>1600</v>
      </c>
      <c r="I188" s="9" t="n">
        <v>2400</v>
      </c>
      <c r="J188" s="9" t="n">
        <v>3200</v>
      </c>
      <c r="K188" s="9" t="n">
        <v>4000</v>
      </c>
      <c r="L188" s="9" t="n">
        <v>4800</v>
      </c>
      <c r="M188" s="9" t="n">
        <v>5600</v>
      </c>
      <c r="N188" s="9" t="n">
        <v>6400</v>
      </c>
      <c r="O188" s="9" t="n">
        <v>7200</v>
      </c>
      <c r="P188" s="9" t="n">
        <v>8000</v>
      </c>
      <c r="Q188" s="9" t="n">
        <v>8800</v>
      </c>
      <c r="R188" s="9" t="n">
        <v>9600</v>
      </c>
    </row>
    <row collapsed="false" customFormat="false" customHeight="false" hidden="false" ht="15" outlineLevel="0" r="189">
      <c r="A189" s="7" t="n">
        <v>165</v>
      </c>
      <c r="B189" s="0" t="s">
        <v>214</v>
      </c>
      <c r="C189" s="8" t="n">
        <f aca="false">VLOOKUP(A189,справочник!$A$2:$C$322,3,0)</f>
        <v>173</v>
      </c>
      <c r="D189" s="0" t="str">
        <f aca="false">IFERROR(VLOOKUP(B189,справочник!$AF$2:$AF$15,1,0),"")</f>
        <v/>
      </c>
      <c r="F189" s="0" t="s">
        <v>36</v>
      </c>
      <c r="G189" s="9" t="n">
        <v>800</v>
      </c>
      <c r="H189" s="9" t="n">
        <v>1600</v>
      </c>
      <c r="I189" s="9" t="n">
        <v>2400</v>
      </c>
      <c r="J189" s="9" t="n">
        <v>3200</v>
      </c>
      <c r="K189" s="9" t="n">
        <v>4000</v>
      </c>
      <c r="L189" s="9" t="n">
        <v>4800</v>
      </c>
      <c r="M189" s="9" t="n">
        <v>5600</v>
      </c>
      <c r="N189" s="9" t="n">
        <v>6400</v>
      </c>
      <c r="O189" s="9" t="n">
        <v>7200</v>
      </c>
      <c r="P189" s="9" t="n">
        <v>8000</v>
      </c>
      <c r="Q189" s="9" t="n">
        <v>8800</v>
      </c>
      <c r="R189" s="9" t="n">
        <v>9600</v>
      </c>
    </row>
    <row collapsed="false" customFormat="false" customHeight="false" hidden="false" ht="15" outlineLevel="0" r="190">
      <c r="A190" s="7" t="n">
        <v>159</v>
      </c>
      <c r="B190" s="0" t="s">
        <v>215</v>
      </c>
      <c r="C190" s="8" t="n">
        <f aca="false">VLOOKUP(A190,справочник!$A$2:$C$322,3,0)</f>
        <v>167</v>
      </c>
      <c r="D190" s="0" t="str">
        <f aca="false">IFERROR(VLOOKUP(B190,справочник!$AF$2:$AF$15,1,0),"")</f>
        <v/>
      </c>
      <c r="F190" s="0" t="s">
        <v>36</v>
      </c>
      <c r="G190" s="9" t="n">
        <v>12800</v>
      </c>
      <c r="H190" s="9" t="n">
        <v>1600</v>
      </c>
      <c r="I190" s="9" t="n">
        <v>2400</v>
      </c>
      <c r="J190" s="9" t="n">
        <v>3200</v>
      </c>
      <c r="K190" s="9" t="n">
        <v>4000</v>
      </c>
      <c r="L190" s="9" t="n">
        <v>4800</v>
      </c>
      <c r="M190" s="9" t="n">
        <v>5600</v>
      </c>
      <c r="N190" s="9" t="n">
        <v>6400</v>
      </c>
      <c r="O190" s="9" t="n">
        <v>7200</v>
      </c>
      <c r="P190" s="9" t="n">
        <v>8000</v>
      </c>
      <c r="Q190" s="9" t="n">
        <v>8800</v>
      </c>
      <c r="R190" s="9" t="n">
        <v>9600</v>
      </c>
    </row>
    <row collapsed="false" customFormat="false" customHeight="false" hidden="false" ht="15" outlineLevel="0" r="191">
      <c r="A191" s="7" t="n">
        <v>142</v>
      </c>
      <c r="B191" s="0" t="s">
        <v>216</v>
      </c>
      <c r="C191" s="8" t="n">
        <f aca="false">VLOOKUP(A191,справочник!$A$2:$C$322,3,0)</f>
        <v>150</v>
      </c>
      <c r="D191" s="0" t="str">
        <f aca="false">IFERROR(VLOOKUP(B191,справочник!$AF$2:$AF$15,1,0),"")</f>
        <v/>
      </c>
      <c r="F191" s="0" t="s">
        <v>24</v>
      </c>
      <c r="G191" s="9" t="n">
        <v>800</v>
      </c>
      <c r="H191" s="9" t="n">
        <v>1600</v>
      </c>
      <c r="I191" s="9" t="n">
        <v>2400</v>
      </c>
      <c r="J191" s="9" t="n">
        <v>3200</v>
      </c>
      <c r="K191" s="9" t="n">
        <v>4000</v>
      </c>
      <c r="L191" s="9" t="n">
        <v>4800</v>
      </c>
      <c r="M191" s="9" t="n">
        <v>5600</v>
      </c>
      <c r="N191" s="9" t="n">
        <v>6400</v>
      </c>
      <c r="O191" s="9" t="n">
        <v>7200</v>
      </c>
      <c r="P191" s="9" t="n">
        <v>8000</v>
      </c>
      <c r="Q191" s="9" t="n">
        <v>8800</v>
      </c>
      <c r="R191" s="9" t="n">
        <v>9600</v>
      </c>
    </row>
    <row collapsed="false" customFormat="false" customHeight="false" hidden="false" ht="15" outlineLevel="0" r="192">
      <c r="A192" s="7" t="n">
        <v>54</v>
      </c>
      <c r="B192" s="0" t="s">
        <v>205</v>
      </c>
      <c r="C192" s="8" t="n">
        <f aca="false">VLOOKUP(A192,справочник!$A$2:$C$322,3,0)</f>
        <v>56</v>
      </c>
      <c r="D192" s="0" t="str">
        <f aca="false">IFERROR(VLOOKUP(B192,справочник!$AF$2:$AF$15,1,0),"")</f>
        <v/>
      </c>
      <c r="F192" s="0" t="s">
        <v>28</v>
      </c>
      <c r="G192" s="9" t="n">
        <v>800</v>
      </c>
      <c r="H192" s="9" t="n">
        <v>1600</v>
      </c>
      <c r="I192" s="9" t="n">
        <v>2400</v>
      </c>
      <c r="J192" s="9" t="n">
        <v>3200</v>
      </c>
      <c r="K192" s="9" t="n">
        <v>4000</v>
      </c>
      <c r="L192" s="9" t="n">
        <v>4800</v>
      </c>
      <c r="M192" s="9" t="n">
        <v>5600</v>
      </c>
      <c r="N192" s="9" t="n">
        <v>6400</v>
      </c>
      <c r="O192" s="9" t="n">
        <v>7200</v>
      </c>
      <c r="P192" s="9" t="n">
        <v>8000</v>
      </c>
      <c r="Q192" s="9" t="n">
        <v>8800</v>
      </c>
      <c r="R192" s="9" t="n">
        <v>9600</v>
      </c>
    </row>
    <row collapsed="false" customFormat="false" customHeight="false" hidden="false" ht="15" outlineLevel="0" r="193">
      <c r="A193" s="7" t="n">
        <v>53</v>
      </c>
      <c r="B193" s="0" t="s">
        <v>217</v>
      </c>
      <c r="C193" s="8" t="n">
        <f aca="false">VLOOKUP(A193,справочник!$A$2:$C$322,3,0)</f>
        <v>55</v>
      </c>
      <c r="D193" s="0" t="str">
        <f aca="false">IFERROR(VLOOKUP(B193,справочник!$AF$2:$AF$15,1,0),"")</f>
        <v/>
      </c>
      <c r="F193" s="0" t="s">
        <v>28</v>
      </c>
      <c r="G193" s="9" t="n">
        <v>800</v>
      </c>
      <c r="H193" s="9" t="n">
        <v>1600</v>
      </c>
      <c r="I193" s="9" t="n">
        <v>2400</v>
      </c>
      <c r="J193" s="9" t="n">
        <v>3200</v>
      </c>
      <c r="K193" s="9" t="n">
        <v>4000</v>
      </c>
      <c r="L193" s="9" t="n">
        <v>4800</v>
      </c>
      <c r="M193" s="9" t="n">
        <v>5600</v>
      </c>
      <c r="N193" s="9" t="n">
        <v>6400</v>
      </c>
      <c r="O193" s="9" t="n">
        <v>7200</v>
      </c>
      <c r="P193" s="9" t="n">
        <v>8000</v>
      </c>
      <c r="Q193" s="9" t="n">
        <v>8800</v>
      </c>
      <c r="R193" s="9" t="n">
        <v>9600</v>
      </c>
    </row>
    <row collapsed="false" customFormat="false" customHeight="false" hidden="false" ht="15" outlineLevel="0" r="194">
      <c r="A194" s="7" t="n">
        <v>37</v>
      </c>
      <c r="B194" s="0" t="s">
        <v>218</v>
      </c>
      <c r="C194" s="8" t="n">
        <f aca="false">VLOOKUP(A194,справочник!$A$2:$C$322,3,0)</f>
        <v>37</v>
      </c>
      <c r="D194" s="0" t="str">
        <f aca="false">IFERROR(VLOOKUP(B194,справочник!$AF$2:$AF$15,1,0),"")</f>
        <v/>
      </c>
      <c r="F194" s="0" t="s">
        <v>28</v>
      </c>
      <c r="G194" s="9" t="n">
        <v>800</v>
      </c>
      <c r="H194" s="9" t="n">
        <v>1600</v>
      </c>
      <c r="I194" s="9" t="n">
        <v>2400</v>
      </c>
      <c r="J194" s="9" t="n">
        <v>3200</v>
      </c>
      <c r="K194" s="9" t="n">
        <v>4000</v>
      </c>
      <c r="L194" s="9" t="n">
        <v>4800</v>
      </c>
      <c r="M194" s="9" t="n">
        <v>5600</v>
      </c>
      <c r="N194" s="9" t="n">
        <v>6400</v>
      </c>
      <c r="O194" s="9" t="n">
        <v>7200</v>
      </c>
      <c r="P194" s="9" t="n">
        <v>8000</v>
      </c>
      <c r="Q194" s="9" t="n">
        <v>8800</v>
      </c>
      <c r="R194" s="9" t="n">
        <v>9600</v>
      </c>
    </row>
    <row collapsed="false" customFormat="false" customHeight="false" hidden="false" ht="15" outlineLevel="0" r="195">
      <c r="A195" s="7" t="n">
        <v>29</v>
      </c>
      <c r="B195" s="0" t="s">
        <v>219</v>
      </c>
      <c r="C195" s="8" t="n">
        <f aca="false">VLOOKUP(A195,справочник!$A$2:$C$322,3,0)</f>
        <v>29</v>
      </c>
      <c r="D195" s="0" t="str">
        <f aca="false">IFERROR(VLOOKUP(B195,справочник!$AF$2:$AF$15,1,0),"")</f>
        <v/>
      </c>
      <c r="F195" s="0" t="s">
        <v>30</v>
      </c>
      <c r="G195" s="9" t="n">
        <v>800</v>
      </c>
      <c r="H195" s="9" t="n">
        <v>1600</v>
      </c>
      <c r="I195" s="9" t="n">
        <v>2400</v>
      </c>
      <c r="J195" s="9" t="n">
        <v>3200</v>
      </c>
      <c r="K195" s="9" t="n">
        <v>4000</v>
      </c>
      <c r="L195" s="9" t="n">
        <v>4800</v>
      </c>
      <c r="M195" s="9" t="n">
        <v>5600</v>
      </c>
      <c r="N195" s="9" t="n">
        <v>6400</v>
      </c>
      <c r="O195" s="9" t="n">
        <v>7200</v>
      </c>
      <c r="P195" s="9" t="n">
        <v>8000</v>
      </c>
      <c r="Q195" s="9" t="n">
        <v>8800</v>
      </c>
      <c r="R195" s="9" t="n">
        <v>9600</v>
      </c>
    </row>
    <row collapsed="false" customFormat="false" customHeight="false" hidden="false" ht="15" outlineLevel="0" r="196">
      <c r="A196" s="7" t="n">
        <v>18</v>
      </c>
      <c r="B196" s="0" t="s">
        <v>220</v>
      </c>
      <c r="C196" s="8" t="n">
        <f aca="false">VLOOKUP(A196,справочник!$A$2:$C$322,3,0)</f>
        <v>18</v>
      </c>
      <c r="D196" s="0" t="str">
        <f aca="false">IFERROR(VLOOKUP(B196,справочник!$AF$2:$AF$15,1,0),"")</f>
        <v/>
      </c>
      <c r="F196" s="0" t="s">
        <v>30</v>
      </c>
      <c r="G196" s="9" t="n">
        <v>800</v>
      </c>
      <c r="H196" s="9" t="n">
        <v>1600</v>
      </c>
      <c r="I196" s="9" t="n">
        <v>2400</v>
      </c>
      <c r="J196" s="9" t="n">
        <v>3200</v>
      </c>
      <c r="K196" s="9" t="n">
        <v>4000</v>
      </c>
      <c r="L196" s="9" t="n">
        <v>4800</v>
      </c>
      <c r="M196" s="9" t="n">
        <v>5600</v>
      </c>
      <c r="N196" s="9" t="n">
        <v>6400</v>
      </c>
      <c r="O196" s="9" t="n">
        <v>7200</v>
      </c>
      <c r="P196" s="9" t="n">
        <v>8000</v>
      </c>
      <c r="Q196" s="9" t="n">
        <v>8800</v>
      </c>
      <c r="R196" s="9" t="n">
        <v>9600</v>
      </c>
    </row>
    <row collapsed="false" customFormat="false" customHeight="false" hidden="false" ht="15" outlineLevel="0" r="197">
      <c r="A197" s="7" t="n">
        <v>10</v>
      </c>
      <c r="B197" s="0" t="s">
        <v>221</v>
      </c>
      <c r="C197" s="8" t="n">
        <f aca="false">VLOOKUP(A197,справочник!$A$2:$C$322,3,0)</f>
        <v>10</v>
      </c>
      <c r="D197" s="0" t="str">
        <f aca="false">IFERROR(VLOOKUP(B197,справочник!$AF$2:$AF$15,1,0),"")</f>
        <v/>
      </c>
      <c r="F197" s="0" t="s">
        <v>30</v>
      </c>
      <c r="G197" s="9" t="n">
        <v>800</v>
      </c>
      <c r="H197" s="9" t="n">
        <v>1600</v>
      </c>
      <c r="I197" s="9" t="n">
        <v>2400</v>
      </c>
      <c r="J197" s="9" t="n">
        <v>3200</v>
      </c>
      <c r="K197" s="9" t="n">
        <v>4000</v>
      </c>
      <c r="L197" s="9" t="n">
        <v>4800</v>
      </c>
      <c r="M197" s="9" t="n">
        <v>5600</v>
      </c>
      <c r="N197" s="9" t="n">
        <v>6400</v>
      </c>
      <c r="O197" s="9" t="n">
        <v>7200</v>
      </c>
      <c r="P197" s="9" t="n">
        <v>8000</v>
      </c>
      <c r="Q197" s="9" t="n">
        <v>8800</v>
      </c>
      <c r="R197" s="9" t="n">
        <v>9600</v>
      </c>
    </row>
    <row collapsed="false" customFormat="false" customHeight="false" hidden="false" ht="15" outlineLevel="0" r="198">
      <c r="A198" s="7" t="n">
        <v>121</v>
      </c>
      <c r="B198" s="0" t="s">
        <v>222</v>
      </c>
      <c r="C198" s="8" t="n">
        <f aca="false">VLOOKUP(A198,справочник!$A$2:$C$322,3,0)</f>
        <v>126</v>
      </c>
      <c r="D198" s="0" t="str">
        <f aca="false">IFERROR(VLOOKUP(B198,справочник!$AF$2:$AF$15,1,0),"")</f>
        <v/>
      </c>
      <c r="F198" s="0" t="s">
        <v>49</v>
      </c>
      <c r="G198" s="9" t="n">
        <v>3800</v>
      </c>
      <c r="H198" s="9" t="n">
        <v>4600</v>
      </c>
      <c r="I198" s="9" t="n">
        <v>5400</v>
      </c>
      <c r="J198" s="9" t="n">
        <v>3000</v>
      </c>
      <c r="K198" s="9" t="n">
        <v>3800</v>
      </c>
      <c r="L198" s="9" t="n">
        <v>4600</v>
      </c>
      <c r="M198" s="9" t="n">
        <v>5400</v>
      </c>
      <c r="N198" s="9" t="n">
        <v>6200</v>
      </c>
      <c r="O198" s="9" t="n">
        <v>7000</v>
      </c>
      <c r="P198" s="9" t="n">
        <v>7800</v>
      </c>
      <c r="Q198" s="9" t="n">
        <v>8600</v>
      </c>
      <c r="R198" s="9" t="n">
        <v>9400</v>
      </c>
    </row>
    <row collapsed="false" customFormat="false" customHeight="false" hidden="false" ht="15" outlineLevel="0" r="199">
      <c r="A199" s="7" t="n">
        <v>263</v>
      </c>
      <c r="B199" s="0" t="s">
        <v>223</v>
      </c>
      <c r="C199" s="8" t="n">
        <f aca="false">VLOOKUP(A199,справочник!$A$2:$C$322,3,0)</f>
        <v>276</v>
      </c>
      <c r="D199" s="0" t="str">
        <f aca="false">IFERROR(VLOOKUP(B199,справочник!$AF$2:$AF$15,1,0),"")</f>
        <v/>
      </c>
      <c r="F199" s="0" t="s">
        <v>70</v>
      </c>
      <c r="G199" s="9" t="n">
        <v>3800</v>
      </c>
      <c r="H199" s="9" t="n">
        <v>2000</v>
      </c>
      <c r="I199" s="9" t="n">
        <v>2000</v>
      </c>
      <c r="J199" s="9" t="n">
        <v>2800</v>
      </c>
      <c r="K199" s="9" t="n">
        <v>3600</v>
      </c>
      <c r="L199" s="9" t="n">
        <v>4400</v>
      </c>
      <c r="M199" s="9" t="n">
        <v>5200</v>
      </c>
      <c r="N199" s="9" t="n">
        <v>6000</v>
      </c>
      <c r="O199" s="9" t="n">
        <v>6800</v>
      </c>
      <c r="P199" s="9" t="n">
        <v>7600</v>
      </c>
      <c r="Q199" s="9" t="n">
        <v>8400</v>
      </c>
      <c r="R199" s="9" t="n">
        <v>9200</v>
      </c>
    </row>
    <row collapsed="false" customFormat="false" customHeight="false" hidden="false" ht="15" outlineLevel="0" r="200">
      <c r="A200" s="7" t="n">
        <v>154</v>
      </c>
      <c r="B200" s="0" t="s">
        <v>224</v>
      </c>
      <c r="C200" s="8" t="n">
        <f aca="false">VLOOKUP(A200,справочник!$A$2:$C$322,3,0)</f>
        <v>162</v>
      </c>
      <c r="D200" s="0" t="str">
        <f aca="false">IFERROR(VLOOKUP(B200,справочник!$AF$2:$AF$15,1,0),"")</f>
        <v/>
      </c>
      <c r="F200" s="0" t="s">
        <v>36</v>
      </c>
      <c r="G200" s="9" t="n">
        <v>4800</v>
      </c>
      <c r="H200" s="9" t="n">
        <v>5600</v>
      </c>
      <c r="I200" s="9" t="n">
        <v>6400</v>
      </c>
      <c r="J200" s="9" t="n">
        <v>4800</v>
      </c>
      <c r="K200" s="9" t="n">
        <v>4800</v>
      </c>
      <c r="L200" s="9" t="n">
        <v>4000</v>
      </c>
      <c r="M200" s="9" t="n">
        <v>4800</v>
      </c>
      <c r="N200" s="9" t="n">
        <v>5600</v>
      </c>
      <c r="O200" s="9" t="n">
        <v>6400</v>
      </c>
      <c r="P200" s="9" t="n">
        <v>7200</v>
      </c>
      <c r="Q200" s="9" t="n">
        <v>8000</v>
      </c>
      <c r="R200" s="9" t="n">
        <v>8800</v>
      </c>
    </row>
    <row collapsed="false" customFormat="false" customHeight="false" hidden="false" ht="15" outlineLevel="0" r="201">
      <c r="A201" s="7" t="n">
        <v>240</v>
      </c>
      <c r="B201" s="0" t="s">
        <v>225</v>
      </c>
      <c r="C201" s="8" t="n">
        <f aca="false">VLOOKUP(A201,справочник!$A$2:$C$322,3,0)</f>
        <v>251</v>
      </c>
      <c r="D201" s="0" t="str">
        <f aca="false">IFERROR(VLOOKUP(B201,справочник!$AF$2:$AF$15,1,0),"")</f>
        <v/>
      </c>
      <c r="F201" s="0" t="s">
        <v>44</v>
      </c>
      <c r="G201" s="9" t="n">
        <v>-200</v>
      </c>
      <c r="H201" s="9" t="n">
        <v>600</v>
      </c>
      <c r="I201" s="9" t="n">
        <v>1400</v>
      </c>
      <c r="J201" s="9" t="n">
        <v>2200</v>
      </c>
      <c r="K201" s="9" t="n">
        <v>3000</v>
      </c>
      <c r="L201" s="9" t="n">
        <v>3800</v>
      </c>
      <c r="M201" s="9" t="n">
        <v>4600</v>
      </c>
      <c r="N201" s="9" t="n">
        <v>5400</v>
      </c>
      <c r="O201" s="9" t="n">
        <v>6200</v>
      </c>
      <c r="P201" s="9" t="n">
        <v>7000</v>
      </c>
      <c r="Q201" s="9" t="n">
        <v>7800</v>
      </c>
      <c r="R201" s="9" t="n">
        <v>8600</v>
      </c>
    </row>
    <row collapsed="false" customFormat="false" customHeight="false" hidden="false" ht="15" outlineLevel="0" r="202">
      <c r="A202" s="7" t="n">
        <v>231</v>
      </c>
      <c r="B202" s="0" t="s">
        <v>226</v>
      </c>
      <c r="C202" s="8" t="n">
        <f aca="false">VLOOKUP(A202,справочник!$A$2:$C$322,3,0)</f>
        <v>240</v>
      </c>
      <c r="D202" s="0" t="str">
        <f aca="false">IFERROR(VLOOKUP(B202,справочник!$AF$2:$AF$15,1,0),"")</f>
        <v/>
      </c>
      <c r="F202" s="0" t="s">
        <v>38</v>
      </c>
      <c r="G202" s="9" t="n">
        <v>5800</v>
      </c>
      <c r="H202" s="9" t="n">
        <v>1600</v>
      </c>
      <c r="I202" s="9" t="n">
        <v>2400</v>
      </c>
      <c r="J202" s="9" t="n">
        <v>2200</v>
      </c>
      <c r="K202" s="9" t="n">
        <v>3000</v>
      </c>
      <c r="L202" s="9" t="n">
        <v>3800</v>
      </c>
      <c r="M202" s="9" t="n">
        <v>4600</v>
      </c>
      <c r="N202" s="9" t="n">
        <v>5400</v>
      </c>
      <c r="O202" s="9" t="n">
        <v>6200</v>
      </c>
      <c r="P202" s="9" t="n">
        <v>7000</v>
      </c>
      <c r="Q202" s="9" t="n">
        <v>7800</v>
      </c>
      <c r="R202" s="9" t="n">
        <v>8600</v>
      </c>
    </row>
    <row collapsed="false" customFormat="false" customHeight="false" hidden="false" ht="15" outlineLevel="0" r="203">
      <c r="A203" s="7" t="n">
        <v>194</v>
      </c>
      <c r="B203" s="0" t="s">
        <v>227</v>
      </c>
      <c r="C203" s="8" t="n">
        <f aca="false">VLOOKUP(A203,справочник!$A$2:$C$322,3,0)</f>
        <v>202</v>
      </c>
      <c r="D203" s="0" t="str">
        <f aca="false">IFERROR(VLOOKUP(B203,справочник!$AF$2:$AF$15,1,0),"")</f>
        <v/>
      </c>
      <c r="F203" s="0" t="s">
        <v>26</v>
      </c>
      <c r="G203" s="9" t="n">
        <v>4800</v>
      </c>
      <c r="H203" s="9" t="n">
        <v>600</v>
      </c>
      <c r="I203" s="9" t="n">
        <v>1400</v>
      </c>
      <c r="J203" s="9" t="n">
        <v>2200</v>
      </c>
      <c r="K203" s="9" t="n">
        <v>3000</v>
      </c>
      <c r="L203" s="9" t="n">
        <v>3800</v>
      </c>
      <c r="M203" s="9" t="n">
        <v>4600</v>
      </c>
      <c r="N203" s="9" t="n">
        <v>5400</v>
      </c>
      <c r="O203" s="9" t="n">
        <v>6200</v>
      </c>
      <c r="P203" s="9" t="n">
        <v>7000</v>
      </c>
      <c r="Q203" s="9" t="n">
        <v>7800</v>
      </c>
      <c r="R203" s="9" t="n">
        <v>8600</v>
      </c>
    </row>
    <row collapsed="false" customFormat="false" customHeight="false" hidden="false" ht="15" outlineLevel="0" r="204">
      <c r="A204" s="7" t="n">
        <v>186</v>
      </c>
      <c r="B204" s="0" t="s">
        <v>228</v>
      </c>
      <c r="C204" s="8" t="n">
        <f aca="false">VLOOKUP(A204,справочник!$A$2:$C$322,3,0)</f>
        <v>194</v>
      </c>
      <c r="D204" s="0" t="str">
        <f aca="false">IFERROR(VLOOKUP(B204,справочник!$AF$2:$AF$15,1,0),"")</f>
        <v/>
      </c>
      <c r="F204" s="0" t="s">
        <v>32</v>
      </c>
      <c r="G204" s="9" t="n">
        <v>4800</v>
      </c>
      <c r="H204" s="9" t="n">
        <v>5600</v>
      </c>
      <c r="I204" s="9" t="n">
        <v>6400</v>
      </c>
      <c r="J204" s="9" t="n">
        <v>2200</v>
      </c>
      <c r="K204" s="9" t="n">
        <v>3000</v>
      </c>
      <c r="L204" s="9" t="n">
        <v>3800</v>
      </c>
      <c r="M204" s="9" t="n">
        <v>4600</v>
      </c>
      <c r="N204" s="9" t="n">
        <v>5400</v>
      </c>
      <c r="O204" s="9" t="n">
        <v>6200</v>
      </c>
      <c r="P204" s="9" t="n">
        <v>7000</v>
      </c>
      <c r="Q204" s="9" t="n">
        <v>7800</v>
      </c>
      <c r="R204" s="9" t="n">
        <v>8600</v>
      </c>
    </row>
    <row collapsed="false" customFormat="false" customHeight="false" hidden="false" ht="15" outlineLevel="0" r="205">
      <c r="A205" s="7" t="n">
        <v>82</v>
      </c>
      <c r="B205" s="0" t="s">
        <v>229</v>
      </c>
      <c r="C205" s="8" t="n">
        <f aca="false">VLOOKUP(A205,справочник!$A$2:$C$322,3,0)</f>
        <v>87</v>
      </c>
      <c r="D205" s="0" t="str">
        <f aca="false">IFERROR(VLOOKUP(B205,справочник!$AF$2:$AF$15,1,0),"")</f>
        <v/>
      </c>
      <c r="F205" s="0" t="s">
        <v>55</v>
      </c>
      <c r="G205" s="9" t="n">
        <v>2800</v>
      </c>
      <c r="H205" s="9" t="n">
        <v>3600</v>
      </c>
      <c r="I205" s="9" t="n">
        <v>1400</v>
      </c>
      <c r="J205" s="9" t="n">
        <v>2200</v>
      </c>
      <c r="K205" s="9" t="n">
        <v>3000</v>
      </c>
      <c r="L205" s="9" t="n">
        <v>3800</v>
      </c>
      <c r="M205" s="9" t="n">
        <v>4600</v>
      </c>
      <c r="N205" s="9" t="n">
        <v>5400</v>
      </c>
      <c r="O205" s="9" t="n">
        <v>6200</v>
      </c>
      <c r="P205" s="9" t="n">
        <v>7000</v>
      </c>
      <c r="Q205" s="9" t="n">
        <v>7800</v>
      </c>
      <c r="R205" s="9" t="n">
        <v>8600</v>
      </c>
    </row>
    <row collapsed="false" customFormat="false" customHeight="false" hidden="false" ht="15" outlineLevel="0" r="206">
      <c r="A206" s="7" t="n">
        <v>1</v>
      </c>
      <c r="B206" s="11" t="s">
        <v>230</v>
      </c>
      <c r="C206" s="8" t="n">
        <f aca="false">VLOOKUP(A206,справочник!$A$2:$C$322,3,0)</f>
        <v>1</v>
      </c>
      <c r="D206" s="0" t="str">
        <f aca="false">IFERROR(VLOOKUP(B206,справочник!$AF$2:$AF$15,1,0),"")</f>
        <v/>
      </c>
      <c r="F206" s="0" t="s">
        <v>30</v>
      </c>
      <c r="G206" s="12" t="n">
        <v>3800</v>
      </c>
      <c r="H206" s="12" t="n">
        <v>400</v>
      </c>
      <c r="I206" s="12" t="n">
        <v>1200</v>
      </c>
      <c r="J206" s="12" t="n">
        <v>2000</v>
      </c>
      <c r="K206" s="12" t="n">
        <v>2800</v>
      </c>
      <c r="L206" s="12" t="n">
        <v>3600</v>
      </c>
      <c r="M206" s="12" t="n">
        <v>4400</v>
      </c>
      <c r="N206" s="12" t="n">
        <v>5200</v>
      </c>
      <c r="O206" s="12" t="n">
        <v>6000</v>
      </c>
      <c r="P206" s="12" t="n">
        <v>6800</v>
      </c>
      <c r="Q206" s="12" t="n">
        <v>7600</v>
      </c>
      <c r="R206" s="12" t="n">
        <v>8400</v>
      </c>
    </row>
    <row collapsed="false" customFormat="false" customHeight="false" hidden="false" ht="15" outlineLevel="0" r="207">
      <c r="A207" s="7" t="n">
        <v>83</v>
      </c>
      <c r="B207" s="0" t="s">
        <v>231</v>
      </c>
      <c r="C207" s="8" t="n">
        <f aca="false">VLOOKUP(A207,справочник!$A$2:$C$322,3,0)</f>
        <v>88</v>
      </c>
      <c r="D207" s="0" t="str">
        <f aca="false">IFERROR(VLOOKUP(B207,справочник!$AF$2:$AF$15,1,0),"")</f>
        <v/>
      </c>
      <c r="F207" s="0" t="s">
        <v>55</v>
      </c>
      <c r="G207" s="9" t="n">
        <v>3000</v>
      </c>
      <c r="H207" s="9" t="n">
        <v>3000</v>
      </c>
      <c r="I207" s="9" t="n">
        <v>3000</v>
      </c>
      <c r="J207" s="9" t="n">
        <v>3000</v>
      </c>
      <c r="K207" s="9" t="n">
        <v>3000</v>
      </c>
      <c r="L207" s="9" t="n">
        <v>3000</v>
      </c>
      <c r="M207" s="9" t="n">
        <v>3800</v>
      </c>
      <c r="N207" s="9" t="n">
        <v>4600</v>
      </c>
      <c r="O207" s="9" t="n">
        <v>5400</v>
      </c>
      <c r="P207" s="9" t="n">
        <v>6200</v>
      </c>
      <c r="Q207" s="9" t="n">
        <v>7000</v>
      </c>
      <c r="R207" s="9" t="n">
        <v>7800</v>
      </c>
    </row>
    <row collapsed="false" customFormat="false" customHeight="false" hidden="false" ht="15" outlineLevel="0" r="208">
      <c r="A208" s="7" t="n">
        <v>277</v>
      </c>
      <c r="B208" s="0" t="s">
        <v>232</v>
      </c>
      <c r="C208" s="8" t="n">
        <f aca="false">VLOOKUP(A208,справочник!$A$2:$C$322,3,0)</f>
        <v>290</v>
      </c>
      <c r="D208" s="0" t="str">
        <f aca="false">IFERROR(VLOOKUP(B208,справочник!$AF$2:$AF$15,1,0),"")</f>
        <v/>
      </c>
      <c r="F208" s="0" t="s">
        <v>34</v>
      </c>
      <c r="G208" s="9" t="n">
        <v>-1200</v>
      </c>
      <c r="H208" s="9" t="n">
        <v>-400</v>
      </c>
      <c r="I208" s="9" t="n">
        <v>400</v>
      </c>
      <c r="J208" s="9" t="n">
        <v>1200</v>
      </c>
      <c r="K208" s="9" t="n">
        <v>2000</v>
      </c>
      <c r="L208" s="9" t="n">
        <v>2800</v>
      </c>
      <c r="M208" s="9" t="n">
        <v>3600</v>
      </c>
      <c r="N208" s="9" t="n">
        <v>4400</v>
      </c>
      <c r="O208" s="9" t="n">
        <v>5200</v>
      </c>
      <c r="P208" s="9" t="n">
        <v>6000</v>
      </c>
      <c r="Q208" s="9" t="n">
        <v>6800</v>
      </c>
      <c r="R208" s="9" t="n">
        <v>7600</v>
      </c>
    </row>
    <row collapsed="false" customFormat="false" customHeight="false" hidden="false" ht="15" outlineLevel="0" r="209">
      <c r="A209" s="7" t="n">
        <v>264</v>
      </c>
      <c r="B209" s="0" t="s">
        <v>233</v>
      </c>
      <c r="C209" s="8" t="n">
        <f aca="false">VLOOKUP(A209,справочник!$A$2:$C$322,3,0)</f>
        <v>277</v>
      </c>
      <c r="D209" s="0" t="str">
        <f aca="false">IFERROR(VLOOKUP(B209,справочник!$AF$2:$AF$15,1,0),"")</f>
        <v/>
      </c>
      <c r="F209" s="0" t="s">
        <v>70</v>
      </c>
      <c r="G209" s="9" t="n">
        <v>800</v>
      </c>
      <c r="H209" s="9" t="n">
        <v>1600</v>
      </c>
      <c r="I209" s="9" t="n">
        <v>400</v>
      </c>
      <c r="J209" s="9" t="n">
        <v>1200</v>
      </c>
      <c r="K209" s="9" t="n">
        <v>2000</v>
      </c>
      <c r="L209" s="9" t="n">
        <v>2800</v>
      </c>
      <c r="M209" s="9" t="n">
        <v>3600</v>
      </c>
      <c r="N209" s="9" t="n">
        <v>4400</v>
      </c>
      <c r="O209" s="9" t="n">
        <v>5200</v>
      </c>
      <c r="P209" s="9" t="n">
        <v>6000</v>
      </c>
      <c r="Q209" s="9" t="n">
        <v>6800</v>
      </c>
      <c r="R209" s="9" t="n">
        <v>7600</v>
      </c>
    </row>
    <row collapsed="false" customFormat="false" customHeight="false" hidden="false" ht="15" outlineLevel="0" r="210">
      <c r="A210" s="7" t="n">
        <v>256</v>
      </c>
      <c r="B210" s="0" t="s">
        <v>234</v>
      </c>
      <c r="C210" s="8" t="n">
        <f aca="false">VLOOKUP(A210,справочник!$A$2:$C$322,3,0)</f>
        <v>269</v>
      </c>
      <c r="D210" s="0" t="str">
        <f aca="false">IFERROR(VLOOKUP(B210,справочник!$AF$2:$AF$15,1,0),"")</f>
        <v/>
      </c>
      <c r="F210" s="0" t="s">
        <v>70</v>
      </c>
      <c r="G210" s="9" t="n">
        <v>-1200</v>
      </c>
      <c r="H210" s="9" t="n">
        <v>-400</v>
      </c>
      <c r="I210" s="9" t="n">
        <v>400</v>
      </c>
      <c r="J210" s="9" t="n">
        <v>1200</v>
      </c>
      <c r="K210" s="9" t="n">
        <v>2000</v>
      </c>
      <c r="L210" s="9" t="n">
        <v>2800</v>
      </c>
      <c r="M210" s="9" t="n">
        <v>3600</v>
      </c>
      <c r="N210" s="9" t="n">
        <v>4400</v>
      </c>
      <c r="O210" s="9" t="n">
        <v>5200</v>
      </c>
      <c r="P210" s="9" t="n">
        <v>6000</v>
      </c>
      <c r="Q210" s="9" t="n">
        <v>6800</v>
      </c>
      <c r="R210" s="9" t="n">
        <v>7600</v>
      </c>
    </row>
    <row collapsed="false" customFormat="false" customHeight="false" hidden="false" ht="15" outlineLevel="0" r="211">
      <c r="A211" s="7" t="n">
        <v>237</v>
      </c>
      <c r="B211" s="0" t="s">
        <v>235</v>
      </c>
      <c r="C211" s="8" t="n">
        <f aca="false">VLOOKUP(A211,справочник!$A$2:$C$322,3,0)</f>
        <v>248</v>
      </c>
      <c r="D211" s="0" t="str">
        <f aca="false">IFERROR(VLOOKUP(B211,справочник!$AF$2:$AF$15,1,0),"")</f>
        <v/>
      </c>
      <c r="F211" s="0" t="s">
        <v>44</v>
      </c>
      <c r="G211" s="9" t="n">
        <v>800</v>
      </c>
      <c r="H211" s="9" t="n">
        <v>1600</v>
      </c>
      <c r="I211" s="9" t="n">
        <v>400</v>
      </c>
      <c r="J211" s="9" t="n">
        <v>1200</v>
      </c>
      <c r="K211" s="9" t="n">
        <v>2000</v>
      </c>
      <c r="L211" s="9" t="n">
        <v>2800</v>
      </c>
      <c r="M211" s="9" t="n">
        <v>3600</v>
      </c>
      <c r="N211" s="9" t="n">
        <v>4400</v>
      </c>
      <c r="O211" s="9" t="n">
        <v>5200</v>
      </c>
      <c r="P211" s="9" t="n">
        <v>6000</v>
      </c>
      <c r="Q211" s="9" t="n">
        <v>6800</v>
      </c>
      <c r="R211" s="9" t="n">
        <v>7600</v>
      </c>
    </row>
    <row collapsed="false" customFormat="false" customHeight="false" hidden="false" ht="15" outlineLevel="0" r="212">
      <c r="A212" s="7" t="n">
        <v>211</v>
      </c>
      <c r="B212" s="0" t="s">
        <v>236</v>
      </c>
      <c r="C212" s="8" t="n">
        <f aca="false">VLOOKUP(A212,справочник!$A$2:$C$322,3,0)</f>
        <v>220</v>
      </c>
      <c r="D212" s="0" t="str">
        <f aca="false">IFERROR(VLOOKUP(B212,справочник!$AF$2:$AF$15,1,0),"")</f>
        <v/>
      </c>
      <c r="F212" s="0" t="s">
        <v>26</v>
      </c>
      <c r="G212" s="9" t="n">
        <v>-1200</v>
      </c>
      <c r="H212" s="9" t="n">
        <v>-400</v>
      </c>
      <c r="I212" s="9" t="n">
        <v>400</v>
      </c>
      <c r="J212" s="9" t="n">
        <v>1200</v>
      </c>
      <c r="K212" s="9" t="n">
        <v>2000</v>
      </c>
      <c r="L212" s="9" t="n">
        <v>2800</v>
      </c>
      <c r="M212" s="9" t="n">
        <v>3600</v>
      </c>
      <c r="N212" s="9" t="n">
        <v>4400</v>
      </c>
      <c r="O212" s="9" t="n">
        <v>5200</v>
      </c>
      <c r="P212" s="9" t="n">
        <v>6000</v>
      </c>
      <c r="Q212" s="9" t="n">
        <v>6800</v>
      </c>
      <c r="R212" s="9" t="n">
        <v>7600</v>
      </c>
    </row>
    <row collapsed="false" customFormat="false" customHeight="false" hidden="false" ht="15" outlineLevel="0" r="213">
      <c r="A213" s="7" t="n">
        <v>116</v>
      </c>
      <c r="B213" s="0" t="s">
        <v>237</v>
      </c>
      <c r="C213" s="8" t="n">
        <f aca="false">VLOOKUP(A213,справочник!$A$2:$C$322,3,0)</f>
        <v>121</v>
      </c>
      <c r="D213" s="0" t="str">
        <f aca="false">IFERROR(VLOOKUP(B213,справочник!$AF$2:$AF$15,1,0),"")</f>
        <v/>
      </c>
      <c r="F213" s="0" t="s">
        <v>49</v>
      </c>
      <c r="G213" s="9" t="n">
        <v>8800</v>
      </c>
      <c r="H213" s="9" t="n">
        <v>9600</v>
      </c>
      <c r="I213" s="9" t="n">
        <v>400</v>
      </c>
      <c r="J213" s="9" t="n">
        <v>1200</v>
      </c>
      <c r="K213" s="9" t="n">
        <v>2000</v>
      </c>
      <c r="L213" s="9" t="n">
        <v>2800</v>
      </c>
      <c r="M213" s="9" t="n">
        <v>3600</v>
      </c>
      <c r="N213" s="9" t="n">
        <v>4400</v>
      </c>
      <c r="O213" s="9" t="n">
        <v>5200</v>
      </c>
      <c r="P213" s="9" t="n">
        <v>6000</v>
      </c>
      <c r="Q213" s="9" t="n">
        <v>6800</v>
      </c>
      <c r="R213" s="9" t="n">
        <v>7600</v>
      </c>
    </row>
    <row collapsed="false" customFormat="false" customHeight="false" hidden="false" ht="15" outlineLevel="0" r="214">
      <c r="A214" s="7" t="n">
        <v>50</v>
      </c>
      <c r="B214" s="0" t="s">
        <v>238</v>
      </c>
      <c r="C214" s="8" t="n">
        <f aca="false">VLOOKUP(A214,справочник!$A$2:$C$322,3,0)</f>
        <v>50</v>
      </c>
      <c r="D214" s="0" t="str">
        <f aca="false">IFERROR(VLOOKUP(B214,справочник!$AF$2:$AF$15,1,0),"")</f>
        <v/>
      </c>
      <c r="F214" s="0" t="s">
        <v>28</v>
      </c>
      <c r="G214" s="9" t="n">
        <v>10800</v>
      </c>
      <c r="H214" s="9" t="n">
        <v>11600</v>
      </c>
      <c r="I214" s="9" t="n">
        <v>400</v>
      </c>
      <c r="J214" s="9" t="n">
        <v>1200</v>
      </c>
      <c r="K214" s="9" t="n">
        <v>2000</v>
      </c>
      <c r="L214" s="9" t="n">
        <v>2800</v>
      </c>
      <c r="M214" s="9" t="n">
        <v>3600</v>
      </c>
      <c r="N214" s="9" t="n">
        <v>4400</v>
      </c>
      <c r="O214" s="9" t="n">
        <v>5200</v>
      </c>
      <c r="P214" s="9" t="n">
        <v>6000</v>
      </c>
      <c r="Q214" s="9" t="n">
        <v>6800</v>
      </c>
      <c r="R214" s="9" t="n">
        <v>7600</v>
      </c>
    </row>
    <row collapsed="false" customFormat="false" customHeight="false" hidden="false" ht="15" outlineLevel="0" r="215">
      <c r="A215" s="7" t="n">
        <v>17</v>
      </c>
      <c r="B215" s="0" t="s">
        <v>239</v>
      </c>
      <c r="C215" s="8" t="n">
        <f aca="false">VLOOKUP(A215,справочник!$A$2:$C$322,3,0)</f>
        <v>17</v>
      </c>
      <c r="D215" s="0" t="str">
        <f aca="false">IFERROR(VLOOKUP(B215,справочник!$AF$2:$AF$15,1,0),"")</f>
        <v/>
      </c>
      <c r="F215" s="0" t="s">
        <v>30</v>
      </c>
      <c r="G215" s="9" t="n">
        <v>2800</v>
      </c>
      <c r="H215" s="9" t="n">
        <v>3600</v>
      </c>
      <c r="I215" s="9" t="n">
        <v>2400</v>
      </c>
      <c r="J215" s="9" t="n">
        <v>3200</v>
      </c>
      <c r="K215" s="9" t="n">
        <v>4000</v>
      </c>
      <c r="L215" s="9" t="n">
        <v>2800</v>
      </c>
      <c r="M215" s="9" t="n">
        <v>3600</v>
      </c>
      <c r="N215" s="9" t="n">
        <v>4400</v>
      </c>
      <c r="O215" s="9" t="n">
        <v>5200</v>
      </c>
      <c r="P215" s="9" t="n">
        <v>6000</v>
      </c>
      <c r="Q215" s="9" t="n">
        <v>6800</v>
      </c>
      <c r="R215" s="9" t="n">
        <v>7600</v>
      </c>
    </row>
    <row collapsed="false" customFormat="false" customHeight="false" hidden="false" ht="15" outlineLevel="0" r="216">
      <c r="A216" s="7" t="n">
        <v>8</v>
      </c>
      <c r="B216" s="0" t="s">
        <v>240</v>
      </c>
      <c r="C216" s="8" t="n">
        <f aca="false">VLOOKUP(A216,справочник!$A$2:$C$322,3,0)</f>
        <v>8</v>
      </c>
      <c r="D216" s="0" t="str">
        <f aca="false">IFERROR(VLOOKUP(B216,справочник!$AF$2:$AF$15,1,0),"")</f>
        <v/>
      </c>
      <c r="F216" s="0" t="s">
        <v>30</v>
      </c>
      <c r="G216" s="9" t="n">
        <v>2800</v>
      </c>
      <c r="H216" s="9" t="n">
        <v>3600</v>
      </c>
      <c r="I216" s="9" t="n">
        <v>4400</v>
      </c>
      <c r="J216" s="9" t="n">
        <v>5200</v>
      </c>
      <c r="K216" s="9" t="n">
        <v>6000</v>
      </c>
      <c r="L216" s="9" t="n">
        <v>2800</v>
      </c>
      <c r="M216" s="9" t="n">
        <v>3600</v>
      </c>
      <c r="N216" s="9" t="n">
        <v>4400</v>
      </c>
      <c r="O216" s="9" t="n">
        <v>5200</v>
      </c>
      <c r="P216" s="9" t="n">
        <v>6000</v>
      </c>
      <c r="Q216" s="9" t="n">
        <v>6800</v>
      </c>
      <c r="R216" s="9" t="n">
        <v>7600</v>
      </c>
    </row>
    <row collapsed="false" customFormat="false" customHeight="false" hidden="false" ht="15" outlineLevel="0" r="217">
      <c r="A217" s="7" t="n">
        <v>4</v>
      </c>
      <c r="B217" s="0" t="s">
        <v>241</v>
      </c>
      <c r="C217" s="8" t="n">
        <f aca="false">VLOOKUP(A217,справочник!$A$2:$C$322,3,0)</f>
        <v>4</v>
      </c>
      <c r="D217" s="0" t="str">
        <f aca="false">IFERROR(VLOOKUP(B217,справочник!$AF$2:$AF$15,1,0),"")</f>
        <v/>
      </c>
      <c r="F217" s="0" t="s">
        <v>30</v>
      </c>
      <c r="G217" s="9" t="n">
        <v>3800</v>
      </c>
      <c r="H217" s="9" t="n">
        <v>4600</v>
      </c>
      <c r="I217" s="9" t="n">
        <v>5400</v>
      </c>
      <c r="J217" s="9" t="n">
        <v>6200</v>
      </c>
      <c r="K217" s="9" t="n">
        <v>2000</v>
      </c>
      <c r="L217" s="9" t="n">
        <v>2800</v>
      </c>
      <c r="M217" s="9" t="n">
        <v>3600</v>
      </c>
      <c r="N217" s="9" t="n">
        <v>4400</v>
      </c>
      <c r="O217" s="9" t="n">
        <v>5200</v>
      </c>
      <c r="P217" s="9" t="n">
        <v>6000</v>
      </c>
      <c r="Q217" s="9" t="n">
        <v>6800</v>
      </c>
      <c r="R217" s="9" t="n">
        <v>7600</v>
      </c>
    </row>
    <row collapsed="false" customFormat="false" customHeight="false" hidden="false" ht="15" outlineLevel="0" r="218">
      <c r="A218" s="7" t="n">
        <v>137</v>
      </c>
      <c r="B218" s="0" t="s">
        <v>242</v>
      </c>
      <c r="C218" s="8" t="n">
        <f aca="false">VLOOKUP(A218,справочник!$A$2:$C$322,3,0)</f>
        <v>145</v>
      </c>
      <c r="D218" s="0" t="str">
        <f aca="false">IFERROR(VLOOKUP(B218,справочник!$AF$2:$AF$15,1,0),"")</f>
        <v/>
      </c>
      <c r="F218" s="0" t="s">
        <v>24</v>
      </c>
      <c r="G218" s="9" t="n">
        <v>800</v>
      </c>
      <c r="H218" s="9" t="n">
        <v>0</v>
      </c>
      <c r="I218" s="9" t="n">
        <v>800</v>
      </c>
      <c r="J218" s="9" t="n">
        <v>1600</v>
      </c>
      <c r="K218" s="9" t="n">
        <v>2400</v>
      </c>
      <c r="L218" s="9" t="n">
        <v>2400</v>
      </c>
      <c r="M218" s="9" t="n">
        <v>3200</v>
      </c>
      <c r="N218" s="9" t="n">
        <v>4000</v>
      </c>
      <c r="O218" s="9" t="n">
        <v>4800</v>
      </c>
      <c r="P218" s="9" t="n">
        <v>5600</v>
      </c>
      <c r="Q218" s="9" t="n">
        <v>6400</v>
      </c>
      <c r="R218" s="9" t="n">
        <v>7200</v>
      </c>
    </row>
    <row collapsed="false" customFormat="false" customHeight="false" hidden="false" ht="15" outlineLevel="0" r="219">
      <c r="A219" s="7" t="n">
        <v>131</v>
      </c>
      <c r="B219" s="0" t="s">
        <v>243</v>
      </c>
      <c r="C219" s="8" t="n">
        <f aca="false">VLOOKUP(A219,справочник!$A$2:$C$322,3,0)</f>
        <v>138</v>
      </c>
      <c r="D219" s="0" t="str">
        <f aca="false">IFERROR(VLOOKUP(B219,справочник!$AF$2:$AF$15,1,0),"")</f>
        <v/>
      </c>
      <c r="F219" s="0" t="s">
        <v>24</v>
      </c>
      <c r="G219" s="9" t="n">
        <v>12800</v>
      </c>
      <c r="H219" s="9" t="n">
        <v>13600</v>
      </c>
      <c r="I219" s="9" t="n">
        <v>14400</v>
      </c>
      <c r="J219" s="9" t="n">
        <v>800</v>
      </c>
      <c r="K219" s="9" t="n">
        <v>1600</v>
      </c>
      <c r="L219" s="9" t="n">
        <v>2400</v>
      </c>
      <c r="M219" s="9" t="n">
        <v>3200</v>
      </c>
      <c r="N219" s="9" t="n">
        <v>4000</v>
      </c>
      <c r="O219" s="9" t="n">
        <v>4800</v>
      </c>
      <c r="P219" s="9" t="n">
        <v>5600</v>
      </c>
      <c r="Q219" s="9" t="n">
        <v>6400</v>
      </c>
      <c r="R219" s="9" t="n">
        <v>7200</v>
      </c>
    </row>
    <row collapsed="false" customFormat="false" customHeight="false" hidden="false" ht="15" outlineLevel="0" r="220">
      <c r="A220" s="7" t="n">
        <v>126</v>
      </c>
      <c r="B220" s="0" t="s">
        <v>244</v>
      </c>
      <c r="C220" s="8" t="n">
        <f aca="false">VLOOKUP(A220,справочник!$A$2:$C$322,3,0)</f>
        <v>131</v>
      </c>
      <c r="D220" s="0" t="str">
        <f aca="false">IFERROR(VLOOKUP(B220,справочник!$AF$2:$AF$15,1,0),"")</f>
        <v/>
      </c>
      <c r="F220" s="0" t="s">
        <v>24</v>
      </c>
      <c r="G220" s="9" t="n">
        <v>800</v>
      </c>
      <c r="H220" s="9" t="n">
        <v>1600</v>
      </c>
      <c r="I220" s="9" t="n">
        <v>0</v>
      </c>
      <c r="J220" s="9" t="n">
        <v>800</v>
      </c>
      <c r="K220" s="9" t="n">
        <v>1600</v>
      </c>
      <c r="L220" s="9" t="n">
        <v>2400</v>
      </c>
      <c r="M220" s="9" t="n">
        <v>3200</v>
      </c>
      <c r="N220" s="9" t="n">
        <v>4000</v>
      </c>
      <c r="O220" s="9" t="n">
        <v>4800</v>
      </c>
      <c r="P220" s="9" t="n">
        <v>5600</v>
      </c>
      <c r="Q220" s="9" t="n">
        <v>6400</v>
      </c>
      <c r="R220" s="9" t="n">
        <v>7200</v>
      </c>
    </row>
    <row collapsed="false" customFormat="false" customHeight="false" hidden="false" ht="15" outlineLevel="0" r="221">
      <c r="A221" s="7" t="n">
        <v>79</v>
      </c>
      <c r="B221" s="0" t="s">
        <v>55</v>
      </c>
      <c r="C221" s="8" t="n">
        <f aca="false">VLOOKUP(A221,справочник!$A$2:$C$322,3,0)</f>
        <v>84</v>
      </c>
      <c r="D221" s="0" t="str">
        <f aca="false">IFERROR(VLOOKUP(B221,справочник!$AF$2:$AF$15,1,0),"")</f>
        <v>Абу Махади Мохаммед Ибрагим</v>
      </c>
      <c r="F221" s="0" t="s">
        <v>55</v>
      </c>
      <c r="G221" s="9" t="n">
        <v>4800</v>
      </c>
      <c r="H221" s="9" t="n">
        <v>1600</v>
      </c>
      <c r="I221" s="9" t="n">
        <v>2400</v>
      </c>
      <c r="J221" s="9" t="n">
        <v>800</v>
      </c>
      <c r="K221" s="9" t="n">
        <v>1600</v>
      </c>
      <c r="L221" s="9" t="n">
        <v>2400</v>
      </c>
      <c r="M221" s="9" t="n">
        <v>3200</v>
      </c>
      <c r="N221" s="9" t="n">
        <v>4000</v>
      </c>
      <c r="O221" s="9" t="n">
        <v>4800</v>
      </c>
      <c r="P221" s="9" t="n">
        <v>5600</v>
      </c>
      <c r="Q221" s="9" t="n">
        <v>6400</v>
      </c>
      <c r="R221" s="9" t="n">
        <v>7200</v>
      </c>
    </row>
    <row collapsed="false" customFormat="false" customHeight="false" hidden="false" ht="15" outlineLevel="0" r="222">
      <c r="A222" s="7" t="n">
        <v>74</v>
      </c>
      <c r="B222" s="0" t="s">
        <v>245</v>
      </c>
      <c r="C222" s="8" t="n">
        <f aca="false">VLOOKUP(A222,справочник!$A$2:$C$322,3,0)</f>
        <v>81</v>
      </c>
      <c r="D222" s="0" t="str">
        <f aca="false">IFERROR(VLOOKUP(B222,справочник!$AF$2:$AF$15,1,0),"")</f>
        <v/>
      </c>
      <c r="F222" s="0" t="s">
        <v>55</v>
      </c>
      <c r="G222" s="9" t="n">
        <v>800</v>
      </c>
      <c r="H222" s="9" t="n">
        <v>1600</v>
      </c>
      <c r="I222" s="9" t="n">
        <v>2400</v>
      </c>
      <c r="J222" s="9" t="n">
        <v>3200</v>
      </c>
      <c r="K222" s="9" t="n">
        <v>1600</v>
      </c>
      <c r="L222" s="9" t="n">
        <v>2400</v>
      </c>
      <c r="M222" s="9" t="n">
        <v>3200</v>
      </c>
      <c r="N222" s="9" t="n">
        <v>4000</v>
      </c>
      <c r="O222" s="9" t="n">
        <v>4800</v>
      </c>
      <c r="P222" s="9" t="n">
        <v>5600</v>
      </c>
      <c r="Q222" s="9" t="n">
        <v>6400</v>
      </c>
      <c r="R222" s="9" t="n">
        <v>7200</v>
      </c>
    </row>
    <row collapsed="false" customFormat="false" customHeight="false" hidden="false" ht="15" outlineLevel="0" r="223">
      <c r="A223" s="7" t="n">
        <v>59</v>
      </c>
      <c r="B223" s="0" t="s">
        <v>246</v>
      </c>
      <c r="C223" s="8" t="n">
        <f aca="false">VLOOKUP(A223,справочник!$A$2:$C$322,3,0)</f>
        <v>61</v>
      </c>
      <c r="D223" s="0" t="str">
        <f aca="false">IFERROR(VLOOKUP(B223,справочник!$AF$2:$AF$15,1,0),"")</f>
        <v/>
      </c>
      <c r="F223" s="0" t="s">
        <v>42</v>
      </c>
      <c r="G223" s="9" t="n">
        <v>-1600</v>
      </c>
      <c r="H223" s="9" t="n">
        <v>-800</v>
      </c>
      <c r="I223" s="9" t="n">
        <v>0</v>
      </c>
      <c r="J223" s="9" t="n">
        <v>800</v>
      </c>
      <c r="K223" s="9" t="n">
        <v>1600</v>
      </c>
      <c r="L223" s="9" t="n">
        <v>2400</v>
      </c>
      <c r="M223" s="9" t="n">
        <v>3200</v>
      </c>
      <c r="N223" s="9" t="n">
        <v>4000</v>
      </c>
      <c r="O223" s="9" t="n">
        <v>4800</v>
      </c>
      <c r="P223" s="9" t="n">
        <v>5600</v>
      </c>
      <c r="Q223" s="9" t="n">
        <v>6400</v>
      </c>
      <c r="R223" s="9" t="n">
        <v>7200</v>
      </c>
    </row>
    <row collapsed="false" customFormat="false" customHeight="false" hidden="false" ht="15" outlineLevel="0" r="224">
      <c r="A224" s="7" t="n">
        <v>52</v>
      </c>
      <c r="B224" s="0" t="s">
        <v>247</v>
      </c>
      <c r="C224" s="8" t="n">
        <f aca="false">VLOOKUP(A224,справочник!$A$2:$C$322,3,0)</f>
        <v>54</v>
      </c>
      <c r="D224" s="0" t="str">
        <f aca="false">IFERROR(VLOOKUP(B224,справочник!$AF$2:$AF$15,1,0),"")</f>
        <v/>
      </c>
      <c r="F224" s="0" t="s">
        <v>28</v>
      </c>
      <c r="G224" s="9" t="n">
        <v>2800</v>
      </c>
      <c r="H224" s="9" t="n">
        <v>1600</v>
      </c>
      <c r="I224" s="9" t="n">
        <v>1600</v>
      </c>
      <c r="J224" s="9" t="n">
        <v>2400</v>
      </c>
      <c r="K224" s="9" t="n">
        <v>1600</v>
      </c>
      <c r="L224" s="9" t="n">
        <v>2400</v>
      </c>
      <c r="M224" s="9" t="n">
        <v>3200</v>
      </c>
      <c r="N224" s="9" t="n">
        <v>4000</v>
      </c>
      <c r="O224" s="9" t="n">
        <v>4800</v>
      </c>
      <c r="P224" s="9" t="n">
        <v>5600</v>
      </c>
      <c r="Q224" s="9" t="n">
        <v>6400</v>
      </c>
      <c r="R224" s="9" t="n">
        <v>7200</v>
      </c>
    </row>
    <row collapsed="false" customFormat="false" customHeight="false" hidden="false" ht="15" outlineLevel="0" r="225">
      <c r="A225" s="7" t="n">
        <v>51</v>
      </c>
      <c r="B225" s="0" t="s">
        <v>248</v>
      </c>
      <c r="C225" s="8" t="n">
        <f aca="false">VLOOKUP(A225,справочник!$A$2:$C$322,3,0)</f>
        <v>53</v>
      </c>
      <c r="D225" s="0" t="str">
        <f aca="false">IFERROR(VLOOKUP(B225,справочник!$AF$2:$AF$15,1,0),"")</f>
        <v/>
      </c>
      <c r="F225" s="0" t="s">
        <v>28</v>
      </c>
      <c r="G225" s="9" t="n">
        <v>2800</v>
      </c>
      <c r="H225" s="9" t="n">
        <v>1600</v>
      </c>
      <c r="I225" s="9" t="n">
        <v>1600</v>
      </c>
      <c r="J225" s="9" t="n">
        <v>2400</v>
      </c>
      <c r="K225" s="9" t="n">
        <v>1600</v>
      </c>
      <c r="L225" s="9" t="n">
        <v>2400</v>
      </c>
      <c r="M225" s="9" t="n">
        <v>3200</v>
      </c>
      <c r="N225" s="9" t="n">
        <v>4000</v>
      </c>
      <c r="O225" s="9" t="n">
        <v>4800</v>
      </c>
      <c r="P225" s="9" t="n">
        <v>5600</v>
      </c>
      <c r="Q225" s="9" t="n">
        <v>6400</v>
      </c>
      <c r="R225" s="9" t="n">
        <v>7200</v>
      </c>
    </row>
    <row collapsed="false" customFormat="false" customHeight="false" hidden="false" ht="15" outlineLevel="0" r="226">
      <c r="A226" s="7" t="n">
        <v>34</v>
      </c>
      <c r="B226" s="0" t="s">
        <v>249</v>
      </c>
      <c r="C226" s="8" t="n">
        <f aca="false">VLOOKUP(A226,справочник!$A$2:$C$322,3,0)</f>
        <v>34</v>
      </c>
      <c r="D226" s="0" t="str">
        <f aca="false">IFERROR(VLOOKUP(B226,справочник!$AF$2:$AF$15,1,0),"")</f>
        <v/>
      </c>
      <c r="F226" s="0" t="s">
        <v>28</v>
      </c>
      <c r="G226" s="9" t="n">
        <v>-2200</v>
      </c>
      <c r="H226" s="9" t="n">
        <v>-1400</v>
      </c>
      <c r="I226" s="9" t="n">
        <v>-600</v>
      </c>
      <c r="J226" s="9" t="n">
        <v>200</v>
      </c>
      <c r="K226" s="9" t="n">
        <v>1000</v>
      </c>
      <c r="L226" s="9" t="n">
        <v>1800</v>
      </c>
      <c r="M226" s="9" t="n">
        <v>2600</v>
      </c>
      <c r="N226" s="9" t="n">
        <v>3400</v>
      </c>
      <c r="O226" s="9" t="n">
        <v>4200</v>
      </c>
      <c r="P226" s="9" t="n">
        <v>5000</v>
      </c>
      <c r="Q226" s="9" t="n">
        <v>5800</v>
      </c>
      <c r="R226" s="9" t="n">
        <v>6600</v>
      </c>
    </row>
    <row collapsed="false" customFormat="false" customHeight="false" hidden="false" ht="15" outlineLevel="0" r="227">
      <c r="A227" s="7" t="n">
        <v>33</v>
      </c>
      <c r="B227" s="0" t="s">
        <v>250</v>
      </c>
      <c r="C227" s="8" t="n">
        <f aca="false">VLOOKUP(A227,справочник!$A$2:$C$322,3,0)</f>
        <v>33</v>
      </c>
      <c r="D227" s="0" t="str">
        <f aca="false">IFERROR(VLOOKUP(B227,справочник!$AF$2:$AF$15,1,0),"")</f>
        <v/>
      </c>
      <c r="F227" s="0" t="s">
        <v>28</v>
      </c>
      <c r="G227" s="9" t="n">
        <v>7800</v>
      </c>
      <c r="H227" s="9" t="n">
        <v>8600</v>
      </c>
      <c r="I227" s="9" t="n">
        <v>9400</v>
      </c>
      <c r="J227" s="9" t="n">
        <v>10200</v>
      </c>
      <c r="K227" s="9" t="n">
        <v>950</v>
      </c>
      <c r="L227" s="9" t="n">
        <v>1750</v>
      </c>
      <c r="M227" s="9" t="n">
        <v>2550</v>
      </c>
      <c r="N227" s="9" t="n">
        <v>3350</v>
      </c>
      <c r="O227" s="9" t="n">
        <v>4150</v>
      </c>
      <c r="P227" s="9" t="n">
        <v>4950</v>
      </c>
      <c r="Q227" s="9" t="n">
        <v>5750</v>
      </c>
      <c r="R227" s="9" t="n">
        <v>6550</v>
      </c>
    </row>
    <row collapsed="false" customFormat="false" customHeight="false" hidden="false" ht="15" outlineLevel="0" r="228">
      <c r="A228" s="7" t="n">
        <v>182</v>
      </c>
      <c r="B228" s="0" t="s">
        <v>251</v>
      </c>
      <c r="C228" s="8" t="n">
        <f aca="false">VLOOKUP(A228,справочник!$A$2:$C$322,3,0)</f>
        <v>190</v>
      </c>
      <c r="D228" s="0" t="str">
        <f aca="false">IFERROR(VLOOKUP(B228,справочник!$AF$2:$AF$15,1,0),"")</f>
        <v/>
      </c>
      <c r="F228" s="0" t="s">
        <v>32</v>
      </c>
      <c r="G228" s="9" t="n">
        <v>6800</v>
      </c>
      <c r="H228" s="9" t="n">
        <v>7600</v>
      </c>
      <c r="I228" s="9" t="n">
        <v>8400</v>
      </c>
      <c r="J228" s="9" t="n">
        <v>9200</v>
      </c>
      <c r="K228" s="9" t="n">
        <v>800</v>
      </c>
      <c r="L228" s="9" t="n">
        <v>1600</v>
      </c>
      <c r="M228" s="9" t="n">
        <v>2400</v>
      </c>
      <c r="N228" s="9" t="n">
        <v>3200</v>
      </c>
      <c r="O228" s="9" t="n">
        <v>4000</v>
      </c>
      <c r="P228" s="9" t="n">
        <v>4800</v>
      </c>
      <c r="Q228" s="9" t="n">
        <v>5600</v>
      </c>
      <c r="R228" s="9" t="n">
        <v>6400</v>
      </c>
    </row>
    <row collapsed="false" customFormat="false" customHeight="false" hidden="false" ht="15" outlineLevel="0" r="229">
      <c r="A229" s="7" t="n">
        <v>153</v>
      </c>
      <c r="B229" s="0" t="s">
        <v>252</v>
      </c>
      <c r="C229" s="8" t="n">
        <f aca="false">VLOOKUP(A229,справочник!$A$2:$C$322,3,0)</f>
        <v>161</v>
      </c>
      <c r="D229" s="0" t="str">
        <f aca="false">IFERROR(VLOOKUP(B229,справочник!$AF$2:$AF$15,1,0),"")</f>
        <v/>
      </c>
      <c r="F229" s="0" t="s">
        <v>36</v>
      </c>
      <c r="G229" s="9" t="n">
        <v>4800</v>
      </c>
      <c r="H229" s="9" t="n">
        <v>5600</v>
      </c>
      <c r="I229" s="9" t="n">
        <v>6400</v>
      </c>
      <c r="J229" s="9" t="n">
        <v>0</v>
      </c>
      <c r="K229" s="9" t="n">
        <v>800</v>
      </c>
      <c r="L229" s="9" t="n">
        <v>1600</v>
      </c>
      <c r="M229" s="9" t="n">
        <v>2400</v>
      </c>
      <c r="N229" s="9" t="n">
        <v>3200</v>
      </c>
      <c r="O229" s="9" t="n">
        <v>4000</v>
      </c>
      <c r="P229" s="9" t="n">
        <v>4800</v>
      </c>
      <c r="Q229" s="9" t="n">
        <v>5600</v>
      </c>
      <c r="R229" s="9" t="n">
        <v>6400</v>
      </c>
    </row>
    <row collapsed="false" customFormat="false" customHeight="false" hidden="false" ht="15" outlineLevel="0" r="230">
      <c r="A230" s="7" t="n">
        <v>130</v>
      </c>
      <c r="B230" s="0" t="s">
        <v>36</v>
      </c>
      <c r="C230" s="8" t="n">
        <f aca="false">VLOOKUP(A230,справочник!$A$2:$C$322,3,0)</f>
        <v>137</v>
      </c>
      <c r="D230" s="0" t="str">
        <f aca="false">IFERROR(VLOOKUP(B230,справочник!$AF$2:$AF$15,1,0),"")</f>
        <v>Анциферов Алексей Сергеевич</v>
      </c>
      <c r="F230" s="0" t="s">
        <v>24</v>
      </c>
      <c r="G230" s="9" t="n">
        <v>800</v>
      </c>
      <c r="H230" s="9" t="n">
        <v>800</v>
      </c>
      <c r="I230" s="9" t="n">
        <v>1600</v>
      </c>
      <c r="J230" s="9" t="n">
        <v>2400</v>
      </c>
      <c r="K230" s="9" t="n">
        <v>3200</v>
      </c>
      <c r="L230" s="9" t="n">
        <v>1600</v>
      </c>
      <c r="M230" s="9" t="n">
        <v>2400</v>
      </c>
      <c r="N230" s="9" t="n">
        <v>3200</v>
      </c>
      <c r="O230" s="9" t="n">
        <v>4000</v>
      </c>
      <c r="P230" s="9" t="n">
        <v>4800</v>
      </c>
      <c r="Q230" s="9" t="n">
        <v>5600</v>
      </c>
      <c r="R230" s="9" t="n">
        <v>6400</v>
      </c>
    </row>
    <row collapsed="false" customFormat="false" customHeight="false" hidden="false" ht="15" outlineLevel="0" r="231">
      <c r="A231" s="7" t="n">
        <v>81</v>
      </c>
      <c r="B231" s="0" t="s">
        <v>42</v>
      </c>
      <c r="C231" s="8" t="n">
        <f aca="false">VLOOKUP(A231,справочник!$A$2:$C$322,3,0)</f>
        <v>86</v>
      </c>
      <c r="D231" s="0" t="str">
        <f aca="false">IFERROR(VLOOKUP(B231,справочник!$AF$2:$AF$15,1,0),"")</f>
        <v>Нелюбов Сергей Владимирович</v>
      </c>
      <c r="F231" s="0" t="s">
        <v>55</v>
      </c>
      <c r="G231" s="9" t="n">
        <v>800</v>
      </c>
      <c r="H231" s="9" t="n">
        <v>1600</v>
      </c>
      <c r="I231" s="9" t="n">
        <v>-800</v>
      </c>
      <c r="J231" s="9" t="n">
        <v>0</v>
      </c>
      <c r="K231" s="9" t="n">
        <v>800</v>
      </c>
      <c r="L231" s="9" t="n">
        <v>1600</v>
      </c>
      <c r="M231" s="9" t="n">
        <v>2400</v>
      </c>
      <c r="N231" s="9" t="n">
        <v>3200</v>
      </c>
      <c r="O231" s="9" t="n">
        <v>4000</v>
      </c>
      <c r="P231" s="9" t="n">
        <v>4800</v>
      </c>
      <c r="Q231" s="9" t="n">
        <v>5600</v>
      </c>
      <c r="R231" s="9" t="n">
        <v>6400</v>
      </c>
    </row>
    <row collapsed="false" customFormat="false" customHeight="false" hidden="false" ht="15" outlineLevel="0" r="232">
      <c r="A232" s="7" t="n">
        <v>62</v>
      </c>
      <c r="B232" s="0" t="s">
        <v>253</v>
      </c>
      <c r="C232" s="8" t="n">
        <f aca="false">VLOOKUP(A232,справочник!$A$2:$C$322,3,0)</f>
        <v>64</v>
      </c>
      <c r="D232" s="0" t="str">
        <f aca="false">IFERROR(VLOOKUP(B232,справочник!$AF$2:$AF$15,1,0),"")</f>
        <v/>
      </c>
      <c r="F232" s="0" t="s">
        <v>42</v>
      </c>
      <c r="G232" s="9" t="n">
        <v>800</v>
      </c>
      <c r="H232" s="9" t="n">
        <v>1600</v>
      </c>
      <c r="I232" s="9" t="n">
        <v>-800</v>
      </c>
      <c r="J232" s="9" t="n">
        <v>0</v>
      </c>
      <c r="K232" s="9" t="n">
        <v>800</v>
      </c>
      <c r="L232" s="9" t="n">
        <v>1600</v>
      </c>
      <c r="M232" s="9" t="n">
        <v>2400</v>
      </c>
      <c r="N232" s="9" t="n">
        <v>3200</v>
      </c>
      <c r="O232" s="9" t="n">
        <v>4000</v>
      </c>
      <c r="P232" s="9" t="n">
        <v>4800</v>
      </c>
      <c r="Q232" s="9" t="n">
        <v>5600</v>
      </c>
      <c r="R232" s="9" t="n">
        <v>6400</v>
      </c>
    </row>
    <row collapsed="false" customFormat="false" customHeight="false" hidden="false" ht="15" outlineLevel="0" r="233">
      <c r="A233" s="7" t="n">
        <v>28</v>
      </c>
      <c r="B233" s="0" t="s">
        <v>254</v>
      </c>
      <c r="C233" s="8" t="n">
        <f aca="false">VLOOKUP(A233,справочник!$A$2:$C$322,3,0)</f>
        <v>28</v>
      </c>
      <c r="D233" s="0" t="str">
        <f aca="false">IFERROR(VLOOKUP(B233,справочник!$AF$2:$AF$15,1,0),"")</f>
        <v/>
      </c>
      <c r="F233" s="0" t="s">
        <v>30</v>
      </c>
      <c r="G233" s="9" t="n">
        <v>3800</v>
      </c>
      <c r="H233" s="9" t="n">
        <v>600</v>
      </c>
      <c r="I233" s="9" t="n">
        <v>1400</v>
      </c>
      <c r="J233" s="9" t="n">
        <v>-200</v>
      </c>
      <c r="K233" s="9" t="n">
        <v>600</v>
      </c>
      <c r="L233" s="9" t="n">
        <v>1400</v>
      </c>
      <c r="M233" s="9" t="n">
        <v>2200</v>
      </c>
      <c r="N233" s="9" t="n">
        <v>3000</v>
      </c>
      <c r="O233" s="9" t="n">
        <v>3800</v>
      </c>
      <c r="P233" s="9" t="n">
        <v>4600</v>
      </c>
      <c r="Q233" s="9" t="n">
        <v>5400</v>
      </c>
      <c r="R233" s="9" t="n">
        <v>6200</v>
      </c>
    </row>
    <row collapsed="false" customFormat="false" customHeight="false" hidden="false" ht="15" outlineLevel="0" r="234">
      <c r="A234" s="7" t="n">
        <v>169</v>
      </c>
      <c r="B234" s="0" t="s">
        <v>255</v>
      </c>
      <c r="C234" s="8" t="n">
        <f aca="false">VLOOKUP(A234,справочник!$A$2:$C$322,3,0)</f>
        <v>177</v>
      </c>
      <c r="D234" s="0" t="str">
        <f aca="false">IFERROR(VLOOKUP(B234,справочник!$AF$2:$AF$15,1,0),"")</f>
        <v/>
      </c>
      <c r="F234" s="0" t="s">
        <v>36</v>
      </c>
      <c r="G234" s="9" t="n">
        <v>4800</v>
      </c>
      <c r="H234" s="9" t="n">
        <v>5600</v>
      </c>
      <c r="I234" s="9" t="n">
        <v>1000</v>
      </c>
      <c r="J234" s="9" t="n">
        <v>1800</v>
      </c>
      <c r="K234" s="9" t="n">
        <v>200</v>
      </c>
      <c r="L234" s="9" t="n">
        <v>1000</v>
      </c>
      <c r="M234" s="9" t="n">
        <v>1800</v>
      </c>
      <c r="N234" s="9" t="n">
        <v>2600</v>
      </c>
      <c r="O234" s="9" t="n">
        <v>3400</v>
      </c>
      <c r="P234" s="9" t="n">
        <v>4200</v>
      </c>
      <c r="Q234" s="9" t="n">
        <v>5000</v>
      </c>
      <c r="R234" s="9" t="n">
        <v>5800</v>
      </c>
    </row>
    <row collapsed="false" customFormat="false" customHeight="false" hidden="false" ht="15" outlineLevel="0" r="235">
      <c r="A235" s="7" t="n">
        <v>275</v>
      </c>
      <c r="B235" s="0" t="s">
        <v>256</v>
      </c>
      <c r="C235" s="8" t="n">
        <f aca="false">VLOOKUP(A235,справочник!$A$2:$C$322,3,0)</f>
        <v>288</v>
      </c>
      <c r="D235" s="0" t="str">
        <f aca="false">IFERROR(VLOOKUP(B235,справочник!$AF$2:$AF$15,1,0),"")</f>
        <v/>
      </c>
      <c r="F235" s="0" t="s">
        <v>34</v>
      </c>
      <c r="G235" s="9" t="n">
        <v>12800</v>
      </c>
      <c r="H235" s="9" t="n">
        <v>13600</v>
      </c>
      <c r="I235" s="9" t="n">
        <v>14400</v>
      </c>
      <c r="J235" s="9" t="n">
        <v>15200</v>
      </c>
      <c r="K235" s="9" t="n">
        <v>16000</v>
      </c>
      <c r="L235" s="9" t="n">
        <v>800</v>
      </c>
      <c r="M235" s="9" t="n">
        <v>1600</v>
      </c>
      <c r="N235" s="9" t="n">
        <v>2400</v>
      </c>
      <c r="O235" s="9" t="n">
        <v>3200</v>
      </c>
      <c r="P235" s="9" t="n">
        <v>4000</v>
      </c>
      <c r="Q235" s="9" t="n">
        <v>4800</v>
      </c>
      <c r="R235" s="9" t="n">
        <v>5600</v>
      </c>
    </row>
    <row collapsed="false" customFormat="false" customHeight="false" hidden="false" ht="15" outlineLevel="0" r="236">
      <c r="A236" s="7" t="n">
        <v>273</v>
      </c>
      <c r="B236" s="0" t="s">
        <v>257</v>
      </c>
      <c r="C236" s="8" t="n">
        <f aca="false">VLOOKUP(A236,справочник!$A$2:$C$322,3,0)</f>
        <v>286</v>
      </c>
      <c r="D236" s="0" t="str">
        <f aca="false">IFERROR(VLOOKUP(B236,справочник!$AF$2:$AF$15,1,0),"")</f>
        <v/>
      </c>
      <c r="F236" s="0" t="s">
        <v>34</v>
      </c>
      <c r="G236" s="9" t="n">
        <v>4800</v>
      </c>
      <c r="H236" s="9" t="n">
        <v>5600</v>
      </c>
      <c r="I236" s="9" t="n">
        <v>6400</v>
      </c>
      <c r="J236" s="9" t="n">
        <v>7200</v>
      </c>
      <c r="K236" s="9" t="n">
        <v>8000</v>
      </c>
      <c r="L236" s="9" t="n">
        <v>800</v>
      </c>
      <c r="M236" s="9" t="n">
        <v>1600</v>
      </c>
      <c r="N236" s="9" t="n">
        <v>2400</v>
      </c>
      <c r="O236" s="9" t="n">
        <v>3200</v>
      </c>
      <c r="P236" s="9" t="n">
        <v>4000</v>
      </c>
      <c r="Q236" s="9" t="n">
        <v>4800</v>
      </c>
      <c r="R236" s="9" t="n">
        <v>5600</v>
      </c>
    </row>
    <row collapsed="false" customFormat="false" customHeight="false" hidden="false" ht="15" outlineLevel="0" r="237">
      <c r="A237" s="7" t="n">
        <v>267</v>
      </c>
      <c r="B237" s="0" t="s">
        <v>258</v>
      </c>
      <c r="C237" s="8" t="n">
        <f aca="false">VLOOKUP(A237,справочник!$A$2:$C$322,3,0)</f>
        <v>280</v>
      </c>
      <c r="D237" s="0" t="str">
        <f aca="false">IFERROR(VLOOKUP(B237,справочник!$AF$2:$AF$15,1,0),"")</f>
        <v/>
      </c>
      <c r="F237" s="0" t="s">
        <v>70</v>
      </c>
      <c r="G237" s="9" t="n">
        <v>4800</v>
      </c>
      <c r="H237" s="9" t="n">
        <v>1600</v>
      </c>
      <c r="I237" s="9" t="n">
        <v>400</v>
      </c>
      <c r="J237" s="9" t="n">
        <v>-800</v>
      </c>
      <c r="K237" s="9" t="n">
        <v>0</v>
      </c>
      <c r="L237" s="9" t="n">
        <v>800</v>
      </c>
      <c r="M237" s="9" t="n">
        <v>1600</v>
      </c>
      <c r="N237" s="9" t="n">
        <v>2400</v>
      </c>
      <c r="O237" s="9" t="n">
        <v>3200</v>
      </c>
      <c r="P237" s="9" t="n">
        <v>4000</v>
      </c>
      <c r="Q237" s="9" t="n">
        <v>4800</v>
      </c>
      <c r="R237" s="9" t="n">
        <v>5600</v>
      </c>
    </row>
    <row collapsed="false" customFormat="false" customHeight="false" hidden="false" ht="15" outlineLevel="0" r="238">
      <c r="A238" s="7" t="n">
        <v>245</v>
      </c>
      <c r="B238" s="0" t="s">
        <v>259</v>
      </c>
      <c r="C238" s="8" t="n">
        <f aca="false">VLOOKUP(A238,справочник!$A$2:$C$322,3,0)</f>
        <v>256</v>
      </c>
      <c r="D238" s="0" t="str">
        <f aca="false">IFERROR(VLOOKUP(B238,справочник!$AF$2:$AF$15,1,0),"")</f>
        <v/>
      </c>
      <c r="F238" s="0" t="s">
        <v>44</v>
      </c>
      <c r="G238" s="9" t="n">
        <v>5800</v>
      </c>
      <c r="H238" s="9" t="n">
        <v>6600</v>
      </c>
      <c r="I238" s="9" t="n">
        <v>7400</v>
      </c>
      <c r="J238" s="9" t="n">
        <v>8200</v>
      </c>
      <c r="K238" s="9" t="n">
        <v>9000</v>
      </c>
      <c r="L238" s="9" t="n">
        <v>800</v>
      </c>
      <c r="M238" s="9" t="n">
        <v>1600</v>
      </c>
      <c r="N238" s="9" t="n">
        <v>2400</v>
      </c>
      <c r="O238" s="9" t="n">
        <v>3200</v>
      </c>
      <c r="P238" s="9" t="n">
        <v>4000</v>
      </c>
      <c r="Q238" s="9" t="n">
        <v>4800</v>
      </c>
      <c r="R238" s="9" t="n">
        <v>5600</v>
      </c>
    </row>
    <row collapsed="false" customFormat="false" customHeight="false" hidden="false" ht="15" outlineLevel="0" r="239">
      <c r="A239" s="7" t="n">
        <v>233</v>
      </c>
      <c r="B239" s="0" t="s">
        <v>260</v>
      </c>
      <c r="C239" s="8" t="n">
        <f aca="false">VLOOKUP(A239,справочник!$A$2:$C$322,3,0)</f>
        <v>242</v>
      </c>
      <c r="D239" s="0" t="str">
        <f aca="false">IFERROR(VLOOKUP(B239,справочник!$AF$2:$AF$15,1,0),"")</f>
        <v/>
      </c>
      <c r="F239" s="0" t="s">
        <v>44</v>
      </c>
      <c r="G239" s="9" t="n">
        <v>3800</v>
      </c>
      <c r="H239" s="9" t="n">
        <v>4600</v>
      </c>
      <c r="I239" s="9" t="n">
        <v>5400</v>
      </c>
      <c r="J239" s="9" t="n">
        <v>6200</v>
      </c>
      <c r="K239" s="9" t="n">
        <v>7000</v>
      </c>
      <c r="L239" s="9" t="n">
        <v>800</v>
      </c>
      <c r="M239" s="9" t="n">
        <v>1600</v>
      </c>
      <c r="N239" s="9" t="n">
        <v>2400</v>
      </c>
      <c r="O239" s="9" t="n">
        <v>3200</v>
      </c>
      <c r="P239" s="9" t="n">
        <v>4000</v>
      </c>
      <c r="Q239" s="9" t="n">
        <v>4800</v>
      </c>
      <c r="R239" s="9" t="n">
        <v>5600</v>
      </c>
    </row>
    <row collapsed="false" customFormat="false" customHeight="false" hidden="false" ht="15" outlineLevel="0" r="240">
      <c r="A240" s="7" t="n">
        <v>215</v>
      </c>
      <c r="B240" s="0" t="s">
        <v>261</v>
      </c>
      <c r="C240" s="8" t="n">
        <f aca="false">VLOOKUP(A240,справочник!$A$2:$C$322,3,0)</f>
        <v>224</v>
      </c>
      <c r="D240" s="0" t="str">
        <f aca="false">IFERROR(VLOOKUP(B240,справочник!$AF$2:$AF$15,1,0),"")</f>
        <v/>
      </c>
      <c r="F240" s="0" t="s">
        <v>38</v>
      </c>
      <c r="G240" s="9" t="n">
        <v>3800</v>
      </c>
      <c r="H240" s="9" t="n">
        <v>-2400</v>
      </c>
      <c r="I240" s="9" t="n">
        <v>-1600</v>
      </c>
      <c r="J240" s="9" t="n">
        <v>-800</v>
      </c>
      <c r="K240" s="9" t="n">
        <v>0</v>
      </c>
      <c r="L240" s="9" t="n">
        <v>800</v>
      </c>
      <c r="M240" s="9" t="n">
        <v>1600</v>
      </c>
      <c r="N240" s="9" t="n">
        <v>2400</v>
      </c>
      <c r="O240" s="9" t="n">
        <v>3200</v>
      </c>
      <c r="P240" s="9" t="n">
        <v>4000</v>
      </c>
      <c r="Q240" s="9" t="n">
        <v>4800</v>
      </c>
      <c r="R240" s="9" t="n">
        <v>5600</v>
      </c>
    </row>
    <row collapsed="false" customFormat="false" customHeight="false" hidden="false" ht="15" outlineLevel="0" r="241">
      <c r="A241" s="7" t="n">
        <v>198</v>
      </c>
      <c r="B241" s="0" t="s">
        <v>262</v>
      </c>
      <c r="C241" s="8" t="n">
        <f aca="false">VLOOKUP(A241,справочник!$A$2:$C$322,3,0)</f>
        <v>206</v>
      </c>
      <c r="D241" s="0" t="str">
        <f aca="false">IFERROR(VLOOKUP(B241,справочник!$AF$2:$AF$15,1,0),"")</f>
        <v/>
      </c>
      <c r="F241" s="0" t="s">
        <v>26</v>
      </c>
      <c r="G241" s="9" t="n">
        <v>800</v>
      </c>
      <c r="H241" s="9" t="n">
        <v>1600</v>
      </c>
      <c r="I241" s="9" t="n">
        <v>-800</v>
      </c>
      <c r="J241" s="9" t="n">
        <v>0</v>
      </c>
      <c r="K241" s="9" t="n">
        <v>0</v>
      </c>
      <c r="L241" s="9" t="n">
        <v>800</v>
      </c>
      <c r="M241" s="9" t="n">
        <v>1600</v>
      </c>
      <c r="N241" s="9" t="n">
        <v>2400</v>
      </c>
      <c r="O241" s="9" t="n">
        <v>3200</v>
      </c>
      <c r="P241" s="9" t="n">
        <v>4000</v>
      </c>
      <c r="Q241" s="9" t="n">
        <v>4800</v>
      </c>
      <c r="R241" s="9" t="n">
        <v>5600</v>
      </c>
    </row>
    <row collapsed="false" customFormat="false" customHeight="false" hidden="false" ht="15" outlineLevel="0" r="242">
      <c r="A242" s="7" t="n">
        <v>181</v>
      </c>
      <c r="B242" s="0" t="s">
        <v>263</v>
      </c>
      <c r="C242" s="8" t="n">
        <f aca="false">VLOOKUP(A242,справочник!$A$2:$C$322,3,0)</f>
        <v>189</v>
      </c>
      <c r="D242" s="0" t="str">
        <f aca="false">IFERROR(VLOOKUP(B242,справочник!$AF$2:$AF$15,1,0),"")</f>
        <v/>
      </c>
      <c r="F242" s="0" t="s">
        <v>32</v>
      </c>
      <c r="G242" s="9" t="n">
        <v>3800</v>
      </c>
      <c r="H242" s="9" t="n">
        <v>4600</v>
      </c>
      <c r="I242" s="9" t="n">
        <v>5400</v>
      </c>
      <c r="J242" s="9" t="n">
        <v>6200</v>
      </c>
      <c r="K242" s="9" t="n">
        <v>0</v>
      </c>
      <c r="L242" s="9" t="n">
        <v>800</v>
      </c>
      <c r="M242" s="9" t="n">
        <v>1600</v>
      </c>
      <c r="N242" s="9" t="n">
        <v>2400</v>
      </c>
      <c r="O242" s="9" t="n">
        <v>3200</v>
      </c>
      <c r="P242" s="9" t="n">
        <v>4000</v>
      </c>
      <c r="Q242" s="9" t="n">
        <v>4800</v>
      </c>
      <c r="R242" s="9" t="n">
        <v>5600</v>
      </c>
    </row>
    <row collapsed="false" customFormat="false" customHeight="false" hidden="false" ht="15" outlineLevel="0" r="243">
      <c r="A243" s="7" t="n">
        <v>174</v>
      </c>
      <c r="B243" s="0" t="s">
        <v>264</v>
      </c>
      <c r="C243" s="8" t="n">
        <f aca="false">VLOOKUP(A243,справочник!$A$2:$C$322,3,0)</f>
        <v>182</v>
      </c>
      <c r="D243" s="0" t="str">
        <f aca="false">IFERROR(VLOOKUP(B243,справочник!$AF$2:$AF$15,1,0),"")</f>
        <v/>
      </c>
      <c r="F243" s="0" t="s">
        <v>32</v>
      </c>
      <c r="G243" s="9" t="n">
        <v>-200</v>
      </c>
      <c r="H243" s="9" t="n">
        <v>600</v>
      </c>
      <c r="I243" s="9" t="n">
        <v>1400</v>
      </c>
      <c r="J243" s="9" t="n">
        <v>2200</v>
      </c>
      <c r="K243" s="9" t="n">
        <v>0</v>
      </c>
      <c r="L243" s="9" t="n">
        <v>800</v>
      </c>
      <c r="M243" s="9" t="n">
        <v>1600</v>
      </c>
      <c r="N243" s="9" t="n">
        <v>2400</v>
      </c>
      <c r="O243" s="9" t="n">
        <v>3200</v>
      </c>
      <c r="P243" s="9" t="n">
        <v>4000</v>
      </c>
      <c r="Q243" s="9" t="n">
        <v>4800</v>
      </c>
      <c r="R243" s="9" t="n">
        <v>5600</v>
      </c>
    </row>
    <row collapsed="false" customFormat="false" customHeight="false" hidden="false" ht="15" outlineLevel="0" r="244">
      <c r="A244" s="7" t="n">
        <v>146</v>
      </c>
      <c r="B244" s="0" t="s">
        <v>265</v>
      </c>
      <c r="C244" s="8" t="n">
        <f aca="false">VLOOKUP(A244,справочник!$A$2:$C$322,3,0)</f>
        <v>154</v>
      </c>
      <c r="D244" s="0" t="str">
        <f aca="false">IFERROR(VLOOKUP(B244,справочник!$AF$2:$AF$15,1,0),"")</f>
        <v/>
      </c>
      <c r="F244" s="0" t="s">
        <v>24</v>
      </c>
      <c r="G244" s="9" t="n">
        <v>22800</v>
      </c>
      <c r="H244" s="9" t="n">
        <v>23600</v>
      </c>
      <c r="I244" s="9" t="n">
        <v>24400</v>
      </c>
      <c r="J244" s="9" t="n">
        <v>25200</v>
      </c>
      <c r="K244" s="9" t="n">
        <v>26000</v>
      </c>
      <c r="L244" s="9" t="n">
        <v>800</v>
      </c>
      <c r="M244" s="9" t="n">
        <v>1600</v>
      </c>
      <c r="N244" s="9" t="n">
        <v>2400</v>
      </c>
      <c r="O244" s="9" t="n">
        <v>3200</v>
      </c>
      <c r="P244" s="9" t="n">
        <v>4000</v>
      </c>
      <c r="Q244" s="9" t="n">
        <v>4800</v>
      </c>
      <c r="R244" s="9" t="n">
        <v>5600</v>
      </c>
    </row>
    <row collapsed="false" customFormat="false" customHeight="false" hidden="false" ht="15" outlineLevel="0" r="245">
      <c r="A245" s="7" t="n">
        <v>129</v>
      </c>
      <c r="B245" s="0" t="s">
        <v>266</v>
      </c>
      <c r="C245" s="8" t="n">
        <f aca="false">VLOOKUP(A245,справочник!$A$2:$C$322,3,0)</f>
        <v>136</v>
      </c>
      <c r="D245" s="0" t="str">
        <f aca="false">IFERROR(VLOOKUP(B245,справочник!$AF$2:$AF$15,1,0),"")</f>
        <v/>
      </c>
      <c r="F245" s="0" t="s">
        <v>24</v>
      </c>
      <c r="G245" s="9" t="n">
        <v>2800</v>
      </c>
      <c r="H245" s="9" t="n">
        <v>600</v>
      </c>
      <c r="I245" s="9" t="n">
        <v>1400</v>
      </c>
      <c r="J245" s="9" t="n">
        <v>-800</v>
      </c>
      <c r="K245" s="9" t="n">
        <v>0</v>
      </c>
      <c r="L245" s="9" t="n">
        <v>800</v>
      </c>
      <c r="M245" s="9" t="n">
        <v>1600</v>
      </c>
      <c r="N245" s="9" t="n">
        <v>2400</v>
      </c>
      <c r="O245" s="9" t="n">
        <v>3200</v>
      </c>
      <c r="P245" s="9" t="n">
        <v>4000</v>
      </c>
      <c r="Q245" s="9" t="n">
        <v>4800</v>
      </c>
      <c r="R245" s="9" t="n">
        <v>5600</v>
      </c>
    </row>
    <row collapsed="false" customFormat="false" customHeight="false" hidden="false" ht="15" outlineLevel="0" r="246">
      <c r="A246" s="7" t="n">
        <v>107</v>
      </c>
      <c r="B246" s="0" t="s">
        <v>267</v>
      </c>
      <c r="C246" s="8" t="n">
        <f aca="false">VLOOKUP(A246,справочник!$A$2:$C$322,3,0)</f>
        <v>112</v>
      </c>
      <c r="D246" s="0" t="str">
        <f aca="false">IFERROR(VLOOKUP(B246,справочник!$AF$2:$AF$15,1,0),"")</f>
        <v/>
      </c>
      <c r="F246" s="0" t="s">
        <v>49</v>
      </c>
      <c r="G246" s="9" t="n">
        <v>4800</v>
      </c>
      <c r="H246" s="9" t="n">
        <v>3600</v>
      </c>
      <c r="I246" s="9" t="n">
        <v>800</v>
      </c>
      <c r="J246" s="9" t="n">
        <v>0</v>
      </c>
      <c r="K246" s="9" t="n">
        <v>800</v>
      </c>
      <c r="L246" s="9" t="n">
        <v>800</v>
      </c>
      <c r="M246" s="9" t="n">
        <v>1600</v>
      </c>
      <c r="N246" s="9" t="n">
        <v>2400</v>
      </c>
      <c r="O246" s="9" t="n">
        <v>3200</v>
      </c>
      <c r="P246" s="9" t="n">
        <v>4000</v>
      </c>
      <c r="Q246" s="9" t="n">
        <v>4800</v>
      </c>
      <c r="R246" s="9" t="n">
        <v>5600</v>
      </c>
    </row>
    <row collapsed="false" customFormat="false" customHeight="false" hidden="false" ht="15" outlineLevel="0" r="247">
      <c r="A247" s="7" t="n">
        <v>102</v>
      </c>
      <c r="B247" s="0" t="s">
        <v>268</v>
      </c>
      <c r="C247" s="8" t="n">
        <f aca="false">VLOOKUP(A247,справочник!$A$2:$C$322,3,0)</f>
        <v>107</v>
      </c>
      <c r="D247" s="0" t="str">
        <f aca="false">IFERROR(VLOOKUP(B247,справочник!$AF$2:$AF$15,1,0),"")</f>
        <v/>
      </c>
      <c r="F247" s="0" t="s">
        <v>49</v>
      </c>
      <c r="G247" s="9" t="n">
        <v>0</v>
      </c>
      <c r="H247" s="9" t="n">
        <v>0</v>
      </c>
      <c r="I247" s="9" t="n">
        <v>0</v>
      </c>
      <c r="J247" s="9" t="n">
        <v>0</v>
      </c>
      <c r="K247" s="9" t="n">
        <v>800</v>
      </c>
      <c r="L247" s="9" t="n">
        <v>800</v>
      </c>
      <c r="M247" s="9" t="n">
        <v>1600</v>
      </c>
      <c r="N247" s="9" t="n">
        <v>2400</v>
      </c>
      <c r="O247" s="9" t="n">
        <v>3200</v>
      </c>
      <c r="P247" s="9" t="n">
        <v>4000</v>
      </c>
      <c r="Q247" s="9" t="n">
        <v>4800</v>
      </c>
      <c r="R247" s="9" t="n">
        <v>5600</v>
      </c>
    </row>
    <row collapsed="false" customFormat="false" customHeight="false" hidden="false" ht="15" outlineLevel="0" r="248">
      <c r="A248" s="7" t="n">
        <v>95</v>
      </c>
      <c r="B248" s="0" t="s">
        <v>269</v>
      </c>
      <c r="C248" s="8" t="n">
        <f aca="false">VLOOKUP(A248,справочник!$A$2:$C$322,3,0)</f>
        <v>100</v>
      </c>
      <c r="D248" s="0" t="str">
        <f aca="false">IFERROR(VLOOKUP(B248,справочник!$AF$2:$AF$15,1,0),"")</f>
        <v/>
      </c>
      <c r="F248" s="0" t="s">
        <v>55</v>
      </c>
      <c r="G248" s="9" t="n">
        <v>5800</v>
      </c>
      <c r="H248" s="9" t="n">
        <v>6600</v>
      </c>
      <c r="I248" s="9" t="n">
        <v>7400</v>
      </c>
      <c r="J248" s="9" t="n">
        <v>8200</v>
      </c>
      <c r="K248" s="9" t="n">
        <v>9000</v>
      </c>
      <c r="L248" s="9" t="n">
        <v>800</v>
      </c>
      <c r="M248" s="9" t="n">
        <v>1600</v>
      </c>
      <c r="N248" s="9" t="n">
        <v>2400</v>
      </c>
      <c r="O248" s="9" t="n">
        <v>3200</v>
      </c>
      <c r="P248" s="9" t="n">
        <v>4000</v>
      </c>
      <c r="Q248" s="9" t="n">
        <v>4800</v>
      </c>
      <c r="R248" s="9" t="n">
        <v>5600</v>
      </c>
    </row>
    <row collapsed="false" customFormat="false" customHeight="false" hidden="false" ht="15" outlineLevel="0" r="249">
      <c r="A249" s="7" t="n">
        <v>88</v>
      </c>
      <c r="B249" s="0" t="s">
        <v>270</v>
      </c>
      <c r="C249" s="0" t="str">
        <f aca="false">VLOOKUP(A249,справочник!$A$2:$C$322,3,0)</f>
        <v>97+93</v>
      </c>
      <c r="D249" s="0" t="str">
        <f aca="false">IFERROR(VLOOKUP(B249,справочник!$AF$2:$AF$15,1,0),"")</f>
        <v/>
      </c>
      <c r="F249" s="0" t="s">
        <v>55</v>
      </c>
      <c r="G249" s="9" t="n">
        <v>-3200</v>
      </c>
      <c r="H249" s="9" t="n">
        <v>-2400</v>
      </c>
      <c r="I249" s="9" t="n">
        <v>-1600</v>
      </c>
      <c r="J249" s="9" t="n">
        <v>-800</v>
      </c>
      <c r="K249" s="9" t="n">
        <v>0</v>
      </c>
      <c r="L249" s="9" t="n">
        <v>800</v>
      </c>
      <c r="M249" s="9" t="n">
        <v>1600</v>
      </c>
      <c r="N249" s="9" t="n">
        <v>2400</v>
      </c>
      <c r="O249" s="9" t="n">
        <v>3200</v>
      </c>
      <c r="P249" s="9" t="n">
        <v>4000</v>
      </c>
      <c r="Q249" s="9" t="n">
        <v>4800</v>
      </c>
      <c r="R249" s="9" t="n">
        <v>5600</v>
      </c>
    </row>
    <row collapsed="false" customFormat="false" customHeight="false" hidden="false" ht="15" outlineLevel="0" r="250">
      <c r="A250" s="7" t="n">
        <v>80</v>
      </c>
      <c r="B250" s="0" t="s">
        <v>271</v>
      </c>
      <c r="C250" s="8" t="n">
        <f aca="false">VLOOKUP(A250,справочник!$A$2:$C$322,3,0)</f>
        <v>85</v>
      </c>
      <c r="D250" s="0" t="str">
        <f aca="false">IFERROR(VLOOKUP(B250,справочник!$AF$2:$AF$15,1,0),"")</f>
        <v/>
      </c>
      <c r="F250" s="0" t="s">
        <v>55</v>
      </c>
      <c r="G250" s="9" t="n">
        <v>800</v>
      </c>
      <c r="H250" s="9" t="n">
        <v>1600</v>
      </c>
      <c r="I250" s="9" t="n">
        <v>2400</v>
      </c>
      <c r="J250" s="9" t="n">
        <v>3200</v>
      </c>
      <c r="K250" s="9" t="n">
        <v>4000</v>
      </c>
      <c r="L250" s="9" t="n">
        <v>800</v>
      </c>
      <c r="M250" s="9" t="n">
        <v>1600</v>
      </c>
      <c r="N250" s="9" t="n">
        <v>2400</v>
      </c>
      <c r="O250" s="9" t="n">
        <v>3200</v>
      </c>
      <c r="P250" s="9" t="n">
        <v>4000</v>
      </c>
      <c r="Q250" s="9" t="n">
        <v>4800</v>
      </c>
      <c r="R250" s="9" t="n">
        <v>5600</v>
      </c>
    </row>
    <row collapsed="false" customFormat="false" customHeight="false" hidden="false" ht="15" outlineLevel="0" r="251">
      <c r="A251" s="7" t="n">
        <v>68</v>
      </c>
      <c r="B251" s="0" t="s">
        <v>272</v>
      </c>
      <c r="C251" s="8" t="n">
        <f aca="false">VLOOKUP(A251,справочник!$A$2:$C$322,3,0)</f>
        <v>70</v>
      </c>
      <c r="D251" s="0" t="str">
        <f aca="false">IFERROR(VLOOKUP(B251,справочник!$AF$2:$AF$15,1,0),"")</f>
        <v/>
      </c>
      <c r="F251" s="0" t="s">
        <v>42</v>
      </c>
      <c r="G251" s="9" t="n">
        <v>800</v>
      </c>
      <c r="H251" s="9" t="n">
        <v>0</v>
      </c>
      <c r="I251" s="9" t="n">
        <v>0</v>
      </c>
      <c r="J251" s="9" t="n">
        <v>800</v>
      </c>
      <c r="K251" s="9" t="n">
        <v>800</v>
      </c>
      <c r="L251" s="9" t="n">
        <v>800</v>
      </c>
      <c r="M251" s="9" t="n">
        <v>1600</v>
      </c>
      <c r="N251" s="9" t="n">
        <v>2400</v>
      </c>
      <c r="O251" s="9" t="n">
        <v>3200</v>
      </c>
      <c r="P251" s="9" t="n">
        <v>4000</v>
      </c>
      <c r="Q251" s="9" t="n">
        <v>4800</v>
      </c>
      <c r="R251" s="9" t="n">
        <v>5600</v>
      </c>
    </row>
    <row collapsed="false" customFormat="false" customHeight="false" hidden="false" ht="15" outlineLevel="0" r="252">
      <c r="A252" s="7" t="n">
        <v>58</v>
      </c>
      <c r="B252" s="0" t="s">
        <v>273</v>
      </c>
      <c r="C252" s="8" t="n">
        <f aca="false">VLOOKUP(A252,справочник!$A$2:$C$322,3,0)</f>
        <v>60</v>
      </c>
      <c r="D252" s="0" t="str">
        <f aca="false">IFERROR(VLOOKUP(B252,справочник!$AF$2:$AF$15,1,0),"")</f>
        <v/>
      </c>
      <c r="F252" s="0" t="s">
        <v>28</v>
      </c>
      <c r="G252" s="9" t="n">
        <v>4800</v>
      </c>
      <c r="H252" s="9" t="n">
        <v>5600</v>
      </c>
      <c r="I252" s="9" t="n">
        <v>4000</v>
      </c>
      <c r="J252" s="9" t="n">
        <v>4800</v>
      </c>
      <c r="K252" s="9" t="n">
        <v>5600</v>
      </c>
      <c r="L252" s="9" t="n">
        <v>800</v>
      </c>
      <c r="M252" s="9" t="n">
        <v>1600</v>
      </c>
      <c r="N252" s="9" t="n">
        <v>2400</v>
      </c>
      <c r="O252" s="9" t="n">
        <v>3200</v>
      </c>
      <c r="P252" s="9" t="n">
        <v>4000</v>
      </c>
      <c r="Q252" s="9" t="n">
        <v>4800</v>
      </c>
      <c r="R252" s="9" t="n">
        <v>5600</v>
      </c>
    </row>
    <row collapsed="false" customFormat="false" customHeight="false" hidden="false" ht="15" outlineLevel="0" r="253">
      <c r="A253" s="7" t="n">
        <v>49</v>
      </c>
      <c r="B253" s="0" t="s">
        <v>274</v>
      </c>
      <c r="C253" s="8" t="n">
        <f aca="false">VLOOKUP(A253,справочник!$A$2:$C$322,3,0)</f>
        <v>49</v>
      </c>
      <c r="D253" s="0" t="str">
        <f aca="false">IFERROR(VLOOKUP(B253,справочник!$AF$2:$AF$15,1,0),"")</f>
        <v/>
      </c>
      <c r="F253" s="0" t="s">
        <v>28</v>
      </c>
      <c r="G253" s="9" t="n">
        <v>11800</v>
      </c>
      <c r="H253" s="9" t="n">
        <v>12600</v>
      </c>
      <c r="I253" s="9" t="n">
        <v>13400</v>
      </c>
      <c r="J253" s="9" t="n">
        <v>14200</v>
      </c>
      <c r="K253" s="9" t="n">
        <v>10200</v>
      </c>
      <c r="L253" s="9" t="n">
        <v>800</v>
      </c>
      <c r="M253" s="9" t="n">
        <v>1600</v>
      </c>
      <c r="N253" s="9" t="n">
        <v>2400</v>
      </c>
      <c r="O253" s="9" t="n">
        <v>3200</v>
      </c>
      <c r="P253" s="9" t="n">
        <v>4000</v>
      </c>
      <c r="Q253" s="9" t="n">
        <v>4800</v>
      </c>
      <c r="R253" s="9" t="n">
        <v>5600</v>
      </c>
    </row>
    <row collapsed="false" customFormat="false" customHeight="false" hidden="false" ht="15" outlineLevel="0" r="254">
      <c r="A254" s="7" t="n">
        <v>29</v>
      </c>
      <c r="B254" s="0" t="s">
        <v>275</v>
      </c>
      <c r="C254" s="8" t="n">
        <f aca="false">VLOOKUP(A254,справочник!$A$2:$C$322,3,0)</f>
        <v>29</v>
      </c>
      <c r="D254" s="0" t="str">
        <f aca="false">IFERROR(VLOOKUP(B254,справочник!$AF$2:$AF$15,1,0),"")</f>
        <v/>
      </c>
      <c r="F254" s="0" t="s">
        <v>30</v>
      </c>
      <c r="G254" s="9" t="n">
        <v>800</v>
      </c>
      <c r="H254" s="9" t="n">
        <v>0</v>
      </c>
      <c r="I254" s="9" t="n">
        <v>0</v>
      </c>
      <c r="J254" s="9" t="n">
        <v>-800</v>
      </c>
      <c r="K254" s="9" t="n">
        <v>0</v>
      </c>
      <c r="L254" s="9" t="n">
        <v>800</v>
      </c>
      <c r="M254" s="9" t="n">
        <v>1600</v>
      </c>
      <c r="N254" s="9" t="n">
        <v>2400</v>
      </c>
      <c r="O254" s="9" t="n">
        <v>3200</v>
      </c>
      <c r="P254" s="9" t="n">
        <v>4000</v>
      </c>
      <c r="Q254" s="9" t="n">
        <v>4800</v>
      </c>
      <c r="R254" s="9" t="n">
        <v>5600</v>
      </c>
    </row>
    <row collapsed="false" customFormat="false" customHeight="false" hidden="false" ht="15" outlineLevel="0" r="255">
      <c r="A255" s="7" t="n">
        <v>19</v>
      </c>
      <c r="B255" s="0" t="s">
        <v>276</v>
      </c>
      <c r="C255" s="8" t="n">
        <f aca="false">VLOOKUP(A255,справочник!$A$2:$C$322,3,0)</f>
        <v>19</v>
      </c>
      <c r="D255" s="0" t="str">
        <f aca="false">IFERROR(VLOOKUP(B255,справочник!$AF$2:$AF$15,1,0),"")</f>
        <v/>
      </c>
      <c r="F255" s="0" t="s">
        <v>30</v>
      </c>
      <c r="G255" s="9" t="n">
        <v>800</v>
      </c>
      <c r="H255" s="9" t="n">
        <v>1600</v>
      </c>
      <c r="I255" s="9" t="n">
        <v>2400</v>
      </c>
      <c r="J255" s="9" t="n">
        <v>3200</v>
      </c>
      <c r="K255" s="9" t="n">
        <v>4000</v>
      </c>
      <c r="L255" s="9" t="n">
        <v>800</v>
      </c>
      <c r="M255" s="9" t="n">
        <v>1600</v>
      </c>
      <c r="N255" s="9" t="n">
        <v>2400</v>
      </c>
      <c r="O255" s="9" t="n">
        <v>3200</v>
      </c>
      <c r="P255" s="9" t="n">
        <v>4000</v>
      </c>
      <c r="Q255" s="9" t="n">
        <v>4800</v>
      </c>
      <c r="R255" s="9" t="n">
        <v>5600</v>
      </c>
    </row>
    <row collapsed="false" customFormat="false" customHeight="false" hidden="false" ht="15" outlineLevel="0" r="256">
      <c r="A256" s="7" t="n">
        <v>86</v>
      </c>
      <c r="B256" s="0" t="s">
        <v>277</v>
      </c>
      <c r="C256" s="8" t="n">
        <f aca="false">VLOOKUP(A256,справочник!$A$2:$C$322,3,0)</f>
        <v>91</v>
      </c>
      <c r="D256" s="0" t="str">
        <f aca="false">IFERROR(VLOOKUP(B256,справочник!$AF$2:$AF$15,1,0),"")</f>
        <v/>
      </c>
      <c r="F256" s="0" t="s">
        <v>55</v>
      </c>
      <c r="G256" s="9" t="n">
        <v>800</v>
      </c>
      <c r="H256" s="9" t="n">
        <v>-400</v>
      </c>
      <c r="I256" s="9" t="n">
        <v>400</v>
      </c>
      <c r="J256" s="9" t="n">
        <v>200</v>
      </c>
      <c r="K256" s="9" t="n">
        <v>1000</v>
      </c>
      <c r="L256" s="9" t="n">
        <v>200</v>
      </c>
      <c r="M256" s="9" t="n">
        <v>1000</v>
      </c>
      <c r="N256" s="9" t="n">
        <v>1800</v>
      </c>
      <c r="O256" s="9" t="n">
        <v>2600</v>
      </c>
      <c r="P256" s="9" t="n">
        <v>3400</v>
      </c>
      <c r="Q256" s="9" t="n">
        <v>4200</v>
      </c>
      <c r="R256" s="9" t="n">
        <v>5000</v>
      </c>
    </row>
    <row collapsed="false" customFormat="false" customHeight="false" hidden="false" ht="15" outlineLevel="0" r="257">
      <c r="A257" s="7" t="n">
        <v>298</v>
      </c>
      <c r="B257" s="0" t="s">
        <v>278</v>
      </c>
      <c r="C257" s="8" t="n">
        <f aca="false">VLOOKUP(A257,справочник!$A$2:$C$322,3,0)</f>
        <v>313</v>
      </c>
      <c r="D257" s="0" t="str">
        <f aca="false">IFERROR(VLOOKUP(B257,справочник!$AF$2:$AF$15,1,0),"")</f>
        <v/>
      </c>
      <c r="F257" s="0" t="s">
        <v>40</v>
      </c>
      <c r="G257" s="9" t="n">
        <v>800</v>
      </c>
      <c r="H257" s="9" t="n">
        <v>-3200</v>
      </c>
      <c r="I257" s="9" t="n">
        <v>-2400</v>
      </c>
      <c r="J257" s="9" t="n">
        <v>-1600</v>
      </c>
      <c r="K257" s="9" t="n">
        <v>-800</v>
      </c>
      <c r="L257" s="9" t="n">
        <v>0</v>
      </c>
      <c r="M257" s="9" t="n">
        <v>800</v>
      </c>
      <c r="N257" s="9" t="n">
        <v>1600</v>
      </c>
      <c r="O257" s="9" t="n">
        <v>2400</v>
      </c>
      <c r="P257" s="9" t="n">
        <v>3200</v>
      </c>
      <c r="Q257" s="9" t="n">
        <v>4000</v>
      </c>
      <c r="R257" s="9" t="n">
        <v>4800</v>
      </c>
    </row>
    <row collapsed="false" customFormat="false" customHeight="false" hidden="false" ht="15" outlineLevel="0" r="258">
      <c r="A258" s="7" t="n">
        <v>258</v>
      </c>
      <c r="B258" s="0" t="s">
        <v>279</v>
      </c>
      <c r="C258" s="8" t="n">
        <f aca="false">VLOOKUP(A258,справочник!$A$2:$C$322,3,0)</f>
        <v>271</v>
      </c>
      <c r="D258" s="0" t="str">
        <f aca="false">IFERROR(VLOOKUP(B258,справочник!$AF$2:$AF$15,1,0),"")</f>
        <v/>
      </c>
      <c r="F258" s="0" t="s">
        <v>70</v>
      </c>
      <c r="G258" s="9" t="n">
        <v>800</v>
      </c>
      <c r="H258" s="9" t="n">
        <v>1600</v>
      </c>
      <c r="I258" s="9" t="n">
        <v>2400</v>
      </c>
      <c r="J258" s="9" t="n">
        <v>3200</v>
      </c>
      <c r="K258" s="9" t="n">
        <v>4000</v>
      </c>
      <c r="L258" s="9" t="n">
        <v>0</v>
      </c>
      <c r="M258" s="9" t="n">
        <v>800</v>
      </c>
      <c r="N258" s="9" t="n">
        <v>1600</v>
      </c>
      <c r="O258" s="9" t="n">
        <v>2400</v>
      </c>
      <c r="P258" s="9" t="n">
        <v>3200</v>
      </c>
      <c r="Q258" s="9" t="n">
        <v>4000</v>
      </c>
      <c r="R258" s="9" t="n">
        <v>4800</v>
      </c>
    </row>
    <row collapsed="false" customFormat="false" customHeight="false" hidden="false" ht="15" outlineLevel="0" r="259">
      <c r="A259" s="7" t="n">
        <v>234</v>
      </c>
      <c r="B259" s="0" t="s">
        <v>280</v>
      </c>
      <c r="C259" s="0" t="str">
        <f aca="false">VLOOKUP(A259,справочник!$A$2:$C$322,3,0)</f>
        <v>243-244</v>
      </c>
      <c r="D259" s="0" t="str">
        <f aca="false">IFERROR(VLOOKUP(B259,справочник!$AF$2:$AF$15,1,0),"")</f>
        <v/>
      </c>
      <c r="F259" s="8" t="e">
        <f aca="false">{#н/д}</f>
        <v>#N/A</v>
      </c>
      <c r="G259" s="9" t="n">
        <v>800</v>
      </c>
      <c r="H259" s="9" t="n">
        <v>-3200</v>
      </c>
      <c r="I259" s="9" t="n">
        <v>-2400</v>
      </c>
      <c r="J259" s="9" t="n">
        <v>-1600</v>
      </c>
      <c r="K259" s="9" t="n">
        <v>-800</v>
      </c>
      <c r="L259" s="9" t="n">
        <v>0</v>
      </c>
      <c r="M259" s="9" t="n">
        <v>800</v>
      </c>
      <c r="N259" s="9" t="n">
        <v>1600</v>
      </c>
      <c r="O259" s="9" t="n">
        <v>2400</v>
      </c>
      <c r="P259" s="9" t="n">
        <v>3200</v>
      </c>
      <c r="Q259" s="9" t="n">
        <v>4000</v>
      </c>
      <c r="R259" s="9" t="n">
        <v>4800</v>
      </c>
    </row>
    <row collapsed="false" customFormat="false" customHeight="false" hidden="false" ht="15" outlineLevel="0" r="260">
      <c r="A260" s="7" t="n">
        <v>196</v>
      </c>
      <c r="B260" s="0" t="s">
        <v>281</v>
      </c>
      <c r="C260" s="8" t="n">
        <f aca="false">VLOOKUP(A260,справочник!$A$2:$C$322,3,0)</f>
        <v>204</v>
      </c>
      <c r="D260" s="0" t="str">
        <f aca="false">IFERROR(VLOOKUP(B260,справочник!$AF$2:$AF$15,1,0),"")</f>
        <v/>
      </c>
      <c r="F260" s="0" t="s">
        <v>26</v>
      </c>
      <c r="G260" s="9" t="n">
        <v>800</v>
      </c>
      <c r="H260" s="9" t="n">
        <v>1600</v>
      </c>
      <c r="I260" s="9" t="n">
        <v>-2400</v>
      </c>
      <c r="J260" s="9" t="n">
        <v>-1600</v>
      </c>
      <c r="K260" s="9" t="n">
        <v>-800</v>
      </c>
      <c r="L260" s="9" t="n">
        <v>0</v>
      </c>
      <c r="M260" s="9" t="n">
        <v>800</v>
      </c>
      <c r="N260" s="9" t="n">
        <v>1600</v>
      </c>
      <c r="O260" s="9" t="n">
        <v>2400</v>
      </c>
      <c r="P260" s="9" t="n">
        <v>3200</v>
      </c>
      <c r="Q260" s="9" t="n">
        <v>4000</v>
      </c>
      <c r="R260" s="9" t="n">
        <v>4800</v>
      </c>
    </row>
    <row collapsed="false" customFormat="false" customHeight="false" hidden="false" ht="15" outlineLevel="0" r="261">
      <c r="A261" s="7" t="n">
        <v>180</v>
      </c>
      <c r="B261" s="0" t="s">
        <v>282</v>
      </c>
      <c r="C261" s="8" t="n">
        <f aca="false">VLOOKUP(A261,справочник!$A$2:$C$322,3,0)</f>
        <v>188</v>
      </c>
      <c r="D261" s="0" t="str">
        <f aca="false">IFERROR(VLOOKUP(B261,справочник!$AF$2:$AF$15,1,0),"")</f>
        <v/>
      </c>
      <c r="F261" s="0" t="s">
        <v>32</v>
      </c>
      <c r="G261" s="9" t="n">
        <v>800</v>
      </c>
      <c r="H261" s="9" t="n">
        <v>1600</v>
      </c>
      <c r="I261" s="9" t="n">
        <v>2400</v>
      </c>
      <c r="J261" s="9" t="n">
        <v>3200</v>
      </c>
      <c r="K261" s="9" t="n">
        <v>-800</v>
      </c>
      <c r="L261" s="9" t="n">
        <v>0</v>
      </c>
      <c r="M261" s="9" t="n">
        <v>800</v>
      </c>
      <c r="N261" s="9" t="n">
        <v>1600</v>
      </c>
      <c r="O261" s="9" t="n">
        <v>2400</v>
      </c>
      <c r="P261" s="9" t="n">
        <v>3200</v>
      </c>
      <c r="Q261" s="9" t="n">
        <v>4000</v>
      </c>
      <c r="R261" s="9" t="n">
        <v>4800</v>
      </c>
    </row>
    <row collapsed="false" customFormat="false" customHeight="false" hidden="false" ht="15" outlineLevel="0" r="262">
      <c r="A262" s="7" t="n">
        <v>134</v>
      </c>
      <c r="B262" s="0" t="s">
        <v>283</v>
      </c>
      <c r="C262" s="8" t="n">
        <f aca="false">VLOOKUP(A262,справочник!$A$2:$C$322,3,0)</f>
        <v>141</v>
      </c>
      <c r="D262" s="0" t="str">
        <f aca="false">IFERROR(VLOOKUP(B262,справочник!$AF$2:$AF$15,1,0),"")</f>
        <v/>
      </c>
      <c r="F262" s="0" t="s">
        <v>24</v>
      </c>
      <c r="G262" s="9" t="n">
        <v>800</v>
      </c>
      <c r="H262" s="9" t="n">
        <v>-3200</v>
      </c>
      <c r="I262" s="9" t="n">
        <v>-2400</v>
      </c>
      <c r="J262" s="9" t="n">
        <v>-1600</v>
      </c>
      <c r="K262" s="9" t="n">
        <v>-800</v>
      </c>
      <c r="L262" s="9" t="n">
        <v>0</v>
      </c>
      <c r="M262" s="9" t="n">
        <v>800</v>
      </c>
      <c r="N262" s="9" t="n">
        <v>1600</v>
      </c>
      <c r="O262" s="9" t="n">
        <v>2400</v>
      </c>
      <c r="P262" s="9" t="n">
        <v>3200</v>
      </c>
      <c r="Q262" s="9" t="n">
        <v>4000</v>
      </c>
      <c r="R262" s="9" t="n">
        <v>4800</v>
      </c>
    </row>
    <row collapsed="false" customFormat="false" customHeight="false" hidden="false" ht="15" outlineLevel="0" r="263">
      <c r="A263" s="7" t="n">
        <v>120</v>
      </c>
      <c r="B263" s="0" t="s">
        <v>284</v>
      </c>
      <c r="C263" s="8" t="n">
        <f aca="false">VLOOKUP(A263,справочник!$A$2:$C$322,3,0)</f>
        <v>125</v>
      </c>
      <c r="D263" s="0" t="str">
        <f aca="false">IFERROR(VLOOKUP(B263,справочник!$AF$2:$AF$15,1,0),"")</f>
        <v/>
      </c>
      <c r="F263" s="0" t="s">
        <v>49</v>
      </c>
      <c r="G263" s="9" t="n">
        <v>5800</v>
      </c>
      <c r="H263" s="9" t="n">
        <v>0</v>
      </c>
      <c r="I263" s="9" t="n">
        <v>-1200</v>
      </c>
      <c r="J263" s="9" t="n">
        <v>-400</v>
      </c>
      <c r="K263" s="9" t="n">
        <v>400</v>
      </c>
      <c r="L263" s="9" t="n">
        <v>0</v>
      </c>
      <c r="M263" s="9" t="n">
        <v>800</v>
      </c>
      <c r="N263" s="9" t="n">
        <v>1600</v>
      </c>
      <c r="O263" s="9" t="n">
        <v>2400</v>
      </c>
      <c r="P263" s="9" t="n">
        <v>3200</v>
      </c>
      <c r="Q263" s="9" t="n">
        <v>4000</v>
      </c>
      <c r="R263" s="9" t="n">
        <v>4800</v>
      </c>
    </row>
    <row collapsed="false" customFormat="false" customHeight="false" hidden="false" ht="15" outlineLevel="0" r="264">
      <c r="A264" s="7" t="n">
        <v>108</v>
      </c>
      <c r="B264" s="0" t="s">
        <v>285</v>
      </c>
      <c r="C264" s="8" t="n">
        <f aca="false">VLOOKUP(A264,справочник!$A$2:$C$322,3,0)</f>
        <v>113</v>
      </c>
      <c r="D264" s="0" t="str">
        <f aca="false">IFERROR(VLOOKUP(B264,справочник!$AF$2:$AF$15,1,0),"")</f>
        <v/>
      </c>
      <c r="F264" s="0" t="s">
        <v>49</v>
      </c>
      <c r="G264" s="9" t="n">
        <v>4800</v>
      </c>
      <c r="H264" s="9" t="n">
        <v>1600</v>
      </c>
      <c r="I264" s="9" t="n">
        <v>0</v>
      </c>
      <c r="J264" s="9" t="n">
        <v>800</v>
      </c>
      <c r="K264" s="9" t="n">
        <v>1600</v>
      </c>
      <c r="L264" s="9" t="n">
        <v>0</v>
      </c>
      <c r="M264" s="9" t="n">
        <v>800</v>
      </c>
      <c r="N264" s="9" t="n">
        <v>1600</v>
      </c>
      <c r="O264" s="9" t="n">
        <v>2400</v>
      </c>
      <c r="P264" s="9" t="n">
        <v>3200</v>
      </c>
      <c r="Q264" s="9" t="n">
        <v>4000</v>
      </c>
      <c r="R264" s="9" t="n">
        <v>4800</v>
      </c>
    </row>
    <row collapsed="false" customFormat="false" customHeight="false" hidden="false" ht="15" outlineLevel="0" r="265">
      <c r="A265" s="7" t="n">
        <v>90</v>
      </c>
      <c r="B265" s="0" t="s">
        <v>286</v>
      </c>
      <c r="C265" s="8" t="n">
        <f aca="false">VLOOKUP(A265,справочник!$A$2:$C$322,3,0)</f>
        <v>95</v>
      </c>
      <c r="D265" s="0" t="str">
        <f aca="false">IFERROR(VLOOKUP(B265,справочник!$AF$2:$AF$15,1,0),"")</f>
        <v/>
      </c>
      <c r="F265" s="0" t="s">
        <v>55</v>
      </c>
      <c r="G265" s="9" t="n">
        <v>800</v>
      </c>
      <c r="H265" s="9" t="n">
        <v>1600</v>
      </c>
      <c r="I265" s="9" t="n">
        <v>2400</v>
      </c>
      <c r="J265" s="9" t="n">
        <v>-1600</v>
      </c>
      <c r="K265" s="9" t="n">
        <v>-800</v>
      </c>
      <c r="L265" s="9" t="n">
        <v>0</v>
      </c>
      <c r="M265" s="9" t="n">
        <v>800</v>
      </c>
      <c r="N265" s="9" t="n">
        <v>1600</v>
      </c>
      <c r="O265" s="9" t="n">
        <v>2400</v>
      </c>
      <c r="P265" s="9" t="n">
        <v>3200</v>
      </c>
      <c r="Q265" s="9" t="n">
        <v>4000</v>
      </c>
      <c r="R265" s="9" t="n">
        <v>4800</v>
      </c>
    </row>
    <row collapsed="false" customFormat="false" customHeight="false" hidden="false" ht="15" outlineLevel="0" r="266">
      <c r="A266" s="7" t="n">
        <v>85</v>
      </c>
      <c r="B266" s="0" t="s">
        <v>287</v>
      </c>
      <c r="C266" s="8" t="n">
        <f aca="false">VLOOKUP(A266,справочник!$A$2:$C$322,3,0)</f>
        <v>90</v>
      </c>
      <c r="D266" s="0" t="str">
        <f aca="false">IFERROR(VLOOKUP(B266,справочник!$AF$2:$AF$15,1,0),"")</f>
        <v/>
      </c>
      <c r="F266" s="0" t="s">
        <v>55</v>
      </c>
      <c r="G266" s="9" t="n">
        <v>800</v>
      </c>
      <c r="H266" s="9" t="n">
        <v>1600</v>
      </c>
      <c r="I266" s="9" t="n">
        <v>2400</v>
      </c>
      <c r="J266" s="9" t="n">
        <v>-1600</v>
      </c>
      <c r="K266" s="9" t="n">
        <v>-800</v>
      </c>
      <c r="L266" s="9" t="n">
        <v>0</v>
      </c>
      <c r="M266" s="9" t="n">
        <v>800</v>
      </c>
      <c r="N266" s="9" t="n">
        <v>1600</v>
      </c>
      <c r="O266" s="9" t="n">
        <v>2400</v>
      </c>
      <c r="P266" s="9" t="n">
        <v>3200</v>
      </c>
      <c r="Q266" s="9" t="n">
        <v>4000</v>
      </c>
      <c r="R266" s="9" t="n">
        <v>4800</v>
      </c>
    </row>
    <row collapsed="false" customFormat="false" customHeight="false" hidden="false" ht="15" outlineLevel="0" r="267">
      <c r="A267" s="7" t="n">
        <v>84</v>
      </c>
      <c r="B267" s="0" t="s">
        <v>288</v>
      </c>
      <c r="C267" s="8" t="n">
        <f aca="false">VLOOKUP(A267,справочник!$A$2:$C$322,3,0)</f>
        <v>89</v>
      </c>
      <c r="D267" s="0" t="str">
        <f aca="false">IFERROR(VLOOKUP(B267,справочник!$AF$2:$AF$15,1,0),"")</f>
        <v/>
      </c>
      <c r="F267" s="0" t="s">
        <v>55</v>
      </c>
      <c r="G267" s="9" t="n">
        <v>800</v>
      </c>
      <c r="H267" s="9" t="n">
        <v>1600</v>
      </c>
      <c r="I267" s="9" t="n">
        <v>2400</v>
      </c>
      <c r="J267" s="9" t="n">
        <v>3200</v>
      </c>
      <c r="K267" s="9" t="n">
        <v>4000</v>
      </c>
      <c r="L267" s="9" t="n">
        <v>0</v>
      </c>
      <c r="M267" s="9" t="n">
        <v>800</v>
      </c>
      <c r="N267" s="9" t="n">
        <v>1600</v>
      </c>
      <c r="O267" s="9" t="n">
        <v>2400</v>
      </c>
      <c r="P267" s="9" t="n">
        <v>3200</v>
      </c>
      <c r="Q267" s="9" t="n">
        <v>4000</v>
      </c>
      <c r="R267" s="9" t="n">
        <v>4800</v>
      </c>
    </row>
    <row collapsed="false" customFormat="false" customHeight="false" hidden="false" ht="15" outlineLevel="0" r="268">
      <c r="A268" s="7" t="n">
        <v>45</v>
      </c>
      <c r="B268" s="0" t="s">
        <v>289</v>
      </c>
      <c r="C268" s="8" t="n">
        <f aca="false">VLOOKUP(A268,справочник!$A$2:$C$322,3,0)</f>
        <v>45</v>
      </c>
      <c r="D268" s="0" t="str">
        <f aca="false">IFERROR(VLOOKUP(B268,справочник!$AF$2:$AF$15,1,0),"")</f>
        <v/>
      </c>
      <c r="F268" s="0" t="s">
        <v>28</v>
      </c>
      <c r="G268" s="9" t="n">
        <v>0</v>
      </c>
      <c r="H268" s="9" t="n">
        <v>0</v>
      </c>
      <c r="I268" s="9" t="n">
        <v>0</v>
      </c>
      <c r="J268" s="9" t="n">
        <v>0</v>
      </c>
      <c r="K268" s="9" t="n">
        <v>0</v>
      </c>
      <c r="L268" s="9" t="n">
        <v>0</v>
      </c>
      <c r="M268" s="9" t="n">
        <v>800</v>
      </c>
      <c r="N268" s="9" t="n">
        <v>1600</v>
      </c>
      <c r="O268" s="9" t="n">
        <v>2400</v>
      </c>
      <c r="P268" s="9" t="n">
        <v>3200</v>
      </c>
      <c r="Q268" s="9" t="n">
        <v>4000</v>
      </c>
      <c r="R268" s="9" t="n">
        <v>4800</v>
      </c>
    </row>
    <row collapsed="false" customFormat="false" customHeight="false" hidden="false" ht="15" outlineLevel="0" r="269">
      <c r="A269" s="7" t="n">
        <v>32</v>
      </c>
      <c r="B269" s="0" t="s">
        <v>290</v>
      </c>
      <c r="C269" s="8" t="n">
        <f aca="false">VLOOKUP(A269,справочник!$A$2:$C$322,3,0)</f>
        <v>32</v>
      </c>
      <c r="D269" s="0" t="str">
        <f aca="false">IFERROR(VLOOKUP(B269,справочник!$AF$2:$AF$15,1,0),"")</f>
        <v/>
      </c>
      <c r="F269" s="0" t="s">
        <v>28</v>
      </c>
      <c r="G269" s="9" t="n">
        <v>-1600</v>
      </c>
      <c r="H269" s="9" t="n">
        <v>-800</v>
      </c>
      <c r="I269" s="9" t="n">
        <v>0</v>
      </c>
      <c r="J269" s="9" t="n">
        <v>800</v>
      </c>
      <c r="K269" s="9" t="n">
        <v>1600</v>
      </c>
      <c r="L269" s="9" t="n">
        <v>0</v>
      </c>
      <c r="M269" s="9" t="n">
        <v>800</v>
      </c>
      <c r="N269" s="9" t="n">
        <v>1600</v>
      </c>
      <c r="O269" s="9" t="n">
        <v>2400</v>
      </c>
      <c r="P269" s="9" t="n">
        <v>3200</v>
      </c>
      <c r="Q269" s="9" t="n">
        <v>4000</v>
      </c>
      <c r="R269" s="9" t="n">
        <v>4800</v>
      </c>
    </row>
    <row collapsed="false" customFormat="false" customHeight="false" hidden="false" ht="15" outlineLevel="0" r="270">
      <c r="A270" s="7" t="n">
        <v>31</v>
      </c>
      <c r="B270" s="0" t="s">
        <v>291</v>
      </c>
      <c r="C270" s="8" t="n">
        <f aca="false">VLOOKUP(A270,справочник!$A$2:$C$322,3,0)</f>
        <v>31</v>
      </c>
      <c r="D270" s="0" t="str">
        <f aca="false">IFERROR(VLOOKUP(B270,справочник!$AF$2:$AF$15,1,0),"")</f>
        <v/>
      </c>
      <c r="F270" s="0" t="s">
        <v>28</v>
      </c>
      <c r="G270" s="9" t="n">
        <v>800</v>
      </c>
      <c r="H270" s="9" t="n">
        <v>1600</v>
      </c>
      <c r="I270" s="9" t="n">
        <v>2400</v>
      </c>
      <c r="J270" s="9" t="n">
        <v>800</v>
      </c>
      <c r="K270" s="9" t="n">
        <v>-800</v>
      </c>
      <c r="L270" s="9" t="n">
        <v>0</v>
      </c>
      <c r="M270" s="9" t="n">
        <v>800</v>
      </c>
      <c r="N270" s="9" t="n">
        <v>1600</v>
      </c>
      <c r="O270" s="9" t="n">
        <v>2400</v>
      </c>
      <c r="P270" s="9" t="n">
        <v>3200</v>
      </c>
      <c r="Q270" s="9" t="n">
        <v>4000</v>
      </c>
      <c r="R270" s="9" t="n">
        <v>4800</v>
      </c>
    </row>
    <row collapsed="false" customFormat="false" customHeight="false" hidden="false" ht="15" outlineLevel="0" r="271">
      <c r="A271" s="7" t="n">
        <v>15</v>
      </c>
      <c r="B271" s="0" t="s">
        <v>292</v>
      </c>
      <c r="C271" s="8" t="n">
        <f aca="false">VLOOKUP(A271,справочник!$A$2:$C$322,3,0)</f>
        <v>15</v>
      </c>
      <c r="D271" s="0" t="str">
        <f aca="false">IFERROR(VLOOKUP(B271,справочник!$AF$2:$AF$15,1,0),"")</f>
        <v/>
      </c>
      <c r="F271" s="0" t="s">
        <v>30</v>
      </c>
      <c r="G271" s="9" t="n">
        <v>4800</v>
      </c>
      <c r="H271" s="9" t="n">
        <v>1600</v>
      </c>
      <c r="I271" s="9" t="n">
        <v>2400</v>
      </c>
      <c r="J271" s="9" t="n">
        <v>3200</v>
      </c>
      <c r="K271" s="9" t="n">
        <v>4000</v>
      </c>
      <c r="L271" s="9" t="n">
        <v>0</v>
      </c>
      <c r="M271" s="9" t="n">
        <v>800</v>
      </c>
      <c r="N271" s="9" t="n">
        <v>1600</v>
      </c>
      <c r="O271" s="9" t="n">
        <v>2400</v>
      </c>
      <c r="P271" s="9" t="n">
        <v>3200</v>
      </c>
      <c r="Q271" s="9" t="n">
        <v>4000</v>
      </c>
      <c r="R271" s="9" t="n">
        <v>4800</v>
      </c>
    </row>
    <row collapsed="false" customFormat="false" customHeight="false" hidden="false" ht="15" outlineLevel="0" r="272">
      <c r="A272" s="7" t="n">
        <v>290</v>
      </c>
      <c r="B272" s="0" t="s">
        <v>293</v>
      </c>
      <c r="C272" s="8" t="n">
        <f aca="false">VLOOKUP(A272,справочник!$A$2:$C$322,3,0)</f>
        <v>303</v>
      </c>
      <c r="D272" s="0" t="str">
        <f aca="false">IFERROR(VLOOKUP(B272,справочник!$AF$2:$AF$15,1,0),"")</f>
        <v/>
      </c>
      <c r="F272" s="0" t="s">
        <v>40</v>
      </c>
      <c r="G272" s="9" t="n">
        <v>800</v>
      </c>
      <c r="H272" s="9" t="n">
        <v>1600</v>
      </c>
      <c r="I272" s="9" t="n">
        <v>2400</v>
      </c>
      <c r="J272" s="9" t="n">
        <v>3200</v>
      </c>
      <c r="K272" s="9" t="n">
        <v>-1000</v>
      </c>
      <c r="L272" s="9" t="n">
        <v>-200</v>
      </c>
      <c r="M272" s="9" t="n">
        <v>600</v>
      </c>
      <c r="N272" s="9" t="n">
        <v>1400</v>
      </c>
      <c r="O272" s="9" t="n">
        <v>2200</v>
      </c>
      <c r="P272" s="9" t="n">
        <v>3000</v>
      </c>
      <c r="Q272" s="9" t="n">
        <v>3800</v>
      </c>
      <c r="R272" s="9" t="n">
        <v>4600</v>
      </c>
    </row>
    <row collapsed="false" customFormat="false" customHeight="false" hidden="false" ht="15" outlineLevel="0" r="273">
      <c r="A273" s="7" t="n">
        <v>271</v>
      </c>
      <c r="B273" s="0" t="s">
        <v>294</v>
      </c>
      <c r="C273" s="8" t="n">
        <f aca="false">VLOOKUP(A273,справочник!$A$2:$C$322,3,0)</f>
        <v>284</v>
      </c>
      <c r="D273" s="0" t="str">
        <f aca="false">IFERROR(VLOOKUP(B273,справочник!$AF$2:$AF$15,1,0),"")</f>
        <v/>
      </c>
      <c r="F273" s="0" t="s">
        <v>34</v>
      </c>
      <c r="G273" s="9" t="n">
        <v>800</v>
      </c>
      <c r="H273" s="9" t="n">
        <v>1600</v>
      </c>
      <c r="I273" s="9" t="n">
        <v>2400</v>
      </c>
      <c r="J273" s="9" t="n">
        <v>3200</v>
      </c>
      <c r="K273" s="9" t="n">
        <v>4000</v>
      </c>
      <c r="L273" s="9" t="n">
        <v>-200</v>
      </c>
      <c r="M273" s="9" t="n">
        <v>600</v>
      </c>
      <c r="N273" s="9" t="n">
        <v>1400</v>
      </c>
      <c r="O273" s="9" t="n">
        <v>2200</v>
      </c>
      <c r="P273" s="9" t="n">
        <v>3000</v>
      </c>
      <c r="Q273" s="9" t="n">
        <v>3800</v>
      </c>
      <c r="R273" s="9" t="n">
        <v>4600</v>
      </c>
    </row>
    <row collapsed="false" customFormat="false" customHeight="false" hidden="false" ht="15" outlineLevel="0" r="274">
      <c r="A274" s="7" t="n">
        <v>214</v>
      </c>
      <c r="B274" s="0" t="s">
        <v>295</v>
      </c>
      <c r="C274" s="8" t="n">
        <f aca="false">VLOOKUP(A274,справочник!$A$2:$C$322,3,0)</f>
        <v>223</v>
      </c>
      <c r="D274" s="0" t="str">
        <f aca="false">IFERROR(VLOOKUP(B274,справочник!$AF$2:$AF$15,1,0),"")</f>
        <v/>
      </c>
      <c r="F274" s="0" t="s">
        <v>38</v>
      </c>
      <c r="G274" s="9" t="n">
        <v>800</v>
      </c>
      <c r="H274" s="9" t="n">
        <v>-1400</v>
      </c>
      <c r="I274" s="9" t="n">
        <v>-600</v>
      </c>
      <c r="J274" s="9" t="n">
        <v>200</v>
      </c>
      <c r="K274" s="9" t="n">
        <v>1000</v>
      </c>
      <c r="L274" s="9" t="n">
        <v>-200</v>
      </c>
      <c r="M274" s="9" t="n">
        <v>600</v>
      </c>
      <c r="N274" s="9" t="n">
        <v>1400</v>
      </c>
      <c r="O274" s="9" t="n">
        <v>2200</v>
      </c>
      <c r="P274" s="9" t="n">
        <v>3000</v>
      </c>
      <c r="Q274" s="9" t="n">
        <v>3800</v>
      </c>
      <c r="R274" s="9" t="n">
        <v>4600</v>
      </c>
    </row>
    <row collapsed="false" customFormat="false" customHeight="false" hidden="false" ht="15" outlineLevel="0" r="275">
      <c r="A275" s="7" t="n">
        <v>133</v>
      </c>
      <c r="B275" s="0" t="s">
        <v>296</v>
      </c>
      <c r="C275" s="8" t="n">
        <f aca="false">VLOOKUP(A275,справочник!$A$2:$C$322,3,0)</f>
        <v>140</v>
      </c>
      <c r="D275" s="0" t="str">
        <f aca="false">IFERROR(VLOOKUP(B275,справочник!$AF$2:$AF$15,1,0),"")</f>
        <v/>
      </c>
      <c r="F275" s="0" t="s">
        <v>24</v>
      </c>
      <c r="G275" s="9" t="n">
        <v>800</v>
      </c>
      <c r="H275" s="9" t="n">
        <v>600</v>
      </c>
      <c r="I275" s="9" t="n">
        <v>400</v>
      </c>
      <c r="J275" s="9" t="n">
        <v>200</v>
      </c>
      <c r="K275" s="9" t="n">
        <v>0</v>
      </c>
      <c r="L275" s="9" t="n">
        <v>-200</v>
      </c>
      <c r="M275" s="9" t="n">
        <v>600</v>
      </c>
      <c r="N275" s="9" t="n">
        <v>1400</v>
      </c>
      <c r="O275" s="9" t="n">
        <v>2200</v>
      </c>
      <c r="P275" s="9" t="n">
        <v>3000</v>
      </c>
      <c r="Q275" s="9" t="n">
        <v>3800</v>
      </c>
      <c r="R275" s="9" t="n">
        <v>4600</v>
      </c>
    </row>
    <row collapsed="false" customFormat="false" customHeight="false" hidden="false" ht="15" outlineLevel="0" r="276">
      <c r="A276" s="7" t="n">
        <v>103</v>
      </c>
      <c r="B276" s="0" t="s">
        <v>297</v>
      </c>
      <c r="C276" s="8" t="n">
        <f aca="false">VLOOKUP(A276,справочник!$A$2:$C$322,3,0)</f>
        <v>108</v>
      </c>
      <c r="D276" s="0" t="str">
        <f aca="false">IFERROR(VLOOKUP(B276,справочник!$AF$2:$AF$15,1,0),"")</f>
        <v/>
      </c>
      <c r="F276" s="0" t="s">
        <v>49</v>
      </c>
      <c r="G276" s="9" t="n">
        <v>1800</v>
      </c>
      <c r="H276" s="9" t="n">
        <v>2600</v>
      </c>
      <c r="I276" s="9" t="n">
        <v>-2600</v>
      </c>
      <c r="J276" s="9" t="n">
        <v>-1800</v>
      </c>
      <c r="K276" s="9" t="n">
        <v>-1000</v>
      </c>
      <c r="L276" s="9" t="n">
        <v>-200</v>
      </c>
      <c r="M276" s="9" t="n">
        <v>600</v>
      </c>
      <c r="N276" s="9" t="n">
        <v>1400</v>
      </c>
      <c r="O276" s="9" t="n">
        <v>2200</v>
      </c>
      <c r="P276" s="9" t="n">
        <v>3000</v>
      </c>
      <c r="Q276" s="9" t="n">
        <v>3800</v>
      </c>
      <c r="R276" s="9" t="n">
        <v>4600</v>
      </c>
    </row>
    <row collapsed="false" customFormat="false" customHeight="false" hidden="false" ht="15" outlineLevel="0" r="277">
      <c r="A277" s="7" t="n">
        <v>216</v>
      </c>
      <c r="B277" s="0" t="s">
        <v>298</v>
      </c>
      <c r="C277" s="8" t="n">
        <f aca="false">VLOOKUP(A277,справочник!$A$2:$C$322,3,0)</f>
        <v>226</v>
      </c>
      <c r="D277" s="0" t="str">
        <f aca="false">IFERROR(VLOOKUP(B277,справочник!$AF$2:$AF$15,1,0),"")</f>
        <v/>
      </c>
      <c r="F277" s="0" t="s">
        <v>38</v>
      </c>
      <c r="G277" s="9" t="n">
        <v>800</v>
      </c>
      <c r="H277" s="9" t="n">
        <v>-3600</v>
      </c>
      <c r="I277" s="9" t="n">
        <v>-2800</v>
      </c>
      <c r="J277" s="9" t="n">
        <v>-2000</v>
      </c>
      <c r="K277" s="9" t="n">
        <v>-1200</v>
      </c>
      <c r="L277" s="9" t="n">
        <v>-400</v>
      </c>
      <c r="M277" s="9" t="n">
        <v>400</v>
      </c>
      <c r="N277" s="9" t="n">
        <v>1200</v>
      </c>
      <c r="O277" s="9" t="n">
        <v>2000</v>
      </c>
      <c r="P277" s="9" t="n">
        <v>2800</v>
      </c>
      <c r="Q277" s="9" t="n">
        <v>3600</v>
      </c>
      <c r="R277" s="9" t="n">
        <v>4400</v>
      </c>
    </row>
    <row collapsed="false" customFormat="false" customHeight="false" hidden="false" ht="15" outlineLevel="0" r="278">
      <c r="A278" s="7" t="n">
        <v>42</v>
      </c>
      <c r="B278" s="0" t="s">
        <v>299</v>
      </c>
      <c r="C278" s="8" t="n">
        <f aca="false">VLOOKUP(A278,справочник!$A$2:$C$322,3,0)</f>
        <v>42</v>
      </c>
      <c r="D278" s="0" t="str">
        <f aca="false">IFERROR(VLOOKUP(B278,справочник!$AF$2:$AF$15,1,0),"")</f>
        <v/>
      </c>
      <c r="F278" s="0" t="s">
        <v>28</v>
      </c>
      <c r="G278" s="9" t="n">
        <v>-200</v>
      </c>
      <c r="H278" s="9" t="n">
        <v>-800</v>
      </c>
      <c r="I278" s="9" t="n">
        <v>0</v>
      </c>
      <c r="J278" s="9" t="n">
        <v>-800</v>
      </c>
      <c r="K278" s="9" t="n">
        <v>0</v>
      </c>
      <c r="L278" s="9" t="n">
        <v>-800</v>
      </c>
      <c r="M278" s="9" t="n">
        <v>0</v>
      </c>
      <c r="N278" s="9" t="n">
        <v>800</v>
      </c>
      <c r="O278" s="9" t="n">
        <v>1600</v>
      </c>
      <c r="P278" s="9" t="n">
        <v>2400</v>
      </c>
      <c r="Q278" s="9" t="n">
        <v>3200</v>
      </c>
      <c r="R278" s="9" t="n">
        <v>4000</v>
      </c>
    </row>
    <row collapsed="false" customFormat="false" customHeight="false" hidden="false" ht="15" outlineLevel="0" r="279">
      <c r="A279" s="7" t="n">
        <v>203</v>
      </c>
      <c r="B279" s="0" t="s">
        <v>300</v>
      </c>
      <c r="C279" s="8" t="n">
        <f aca="false">VLOOKUP(A279,справочник!$A$2:$C$322,3,0)</f>
        <v>213</v>
      </c>
      <c r="D279" s="0" t="str">
        <f aca="false">IFERROR(VLOOKUP(B279,справочник!$AF$2:$AF$15,1,0),"")</f>
        <v/>
      </c>
      <c r="F279" s="0" t="s">
        <v>26</v>
      </c>
      <c r="G279" s="9" t="n">
        <v>-800</v>
      </c>
      <c r="H279" s="9" t="n">
        <v>0</v>
      </c>
      <c r="I279" s="9" t="n">
        <v>800</v>
      </c>
      <c r="J279" s="9" t="n">
        <v>1600</v>
      </c>
      <c r="K279" s="9" t="n">
        <v>-1800</v>
      </c>
      <c r="L279" s="9" t="n">
        <v>-1000</v>
      </c>
      <c r="M279" s="9" t="n">
        <v>-200</v>
      </c>
      <c r="N279" s="9" t="n">
        <v>600</v>
      </c>
      <c r="O279" s="9" t="n">
        <v>1400</v>
      </c>
      <c r="P279" s="9" t="n">
        <v>2200</v>
      </c>
      <c r="Q279" s="9" t="n">
        <v>3000</v>
      </c>
      <c r="R279" s="9" t="n">
        <v>3800</v>
      </c>
    </row>
    <row collapsed="false" customFormat="false" customHeight="false" hidden="false" ht="15" outlineLevel="0" r="280">
      <c r="A280" s="7" t="n">
        <v>155</v>
      </c>
      <c r="B280" s="0" t="s">
        <v>301</v>
      </c>
      <c r="C280" s="8" t="n">
        <f aca="false">VLOOKUP(A280,справочник!$A$2:$C$322,3,0)</f>
        <v>163</v>
      </c>
      <c r="D280" s="0" t="str">
        <f aca="false">IFERROR(VLOOKUP(B280,справочник!$AF$2:$AF$15,1,0),"")</f>
        <v/>
      </c>
      <c r="F280" s="0" t="s">
        <v>36</v>
      </c>
      <c r="G280" s="9" t="n">
        <v>-1200</v>
      </c>
      <c r="H280" s="9" t="n">
        <v>-1000</v>
      </c>
      <c r="I280" s="9" t="n">
        <v>-1800</v>
      </c>
      <c r="J280" s="9" t="n">
        <v>-1000</v>
      </c>
      <c r="K280" s="9" t="n">
        <v>-1800</v>
      </c>
      <c r="L280" s="9" t="n">
        <v>-1000</v>
      </c>
      <c r="M280" s="9" t="n">
        <v>-200</v>
      </c>
      <c r="N280" s="9" t="n">
        <v>600</v>
      </c>
      <c r="O280" s="9" t="n">
        <v>1400</v>
      </c>
      <c r="P280" s="9" t="n">
        <v>2200</v>
      </c>
      <c r="Q280" s="9" t="n">
        <v>3000</v>
      </c>
      <c r="R280" s="9" t="n">
        <v>3800</v>
      </c>
    </row>
    <row collapsed="false" customFormat="false" customHeight="false" hidden="false" ht="15" outlineLevel="0" r="281">
      <c r="A281" s="7" t="n">
        <v>138</v>
      </c>
      <c r="B281" s="0" t="s">
        <v>302</v>
      </c>
      <c r="C281" s="8" t="n">
        <f aca="false">VLOOKUP(A281,справочник!$A$2:$C$322,3,0)</f>
        <v>146</v>
      </c>
      <c r="D281" s="0" t="str">
        <f aca="false">IFERROR(VLOOKUP(B281,справочник!$AF$2:$AF$15,1,0),"")</f>
        <v/>
      </c>
      <c r="F281" s="0" t="s">
        <v>24</v>
      </c>
      <c r="G281" s="9" t="n">
        <v>800</v>
      </c>
      <c r="H281" s="9" t="n">
        <v>-1400</v>
      </c>
      <c r="I281" s="9" t="n">
        <v>-600</v>
      </c>
      <c r="J281" s="9" t="n">
        <v>200</v>
      </c>
      <c r="K281" s="9" t="n">
        <v>1000</v>
      </c>
      <c r="L281" s="9" t="n">
        <v>-1100</v>
      </c>
      <c r="M281" s="9" t="n">
        <v>-300</v>
      </c>
      <c r="N281" s="9" t="n">
        <v>500</v>
      </c>
      <c r="O281" s="9" t="n">
        <v>1300</v>
      </c>
      <c r="P281" s="9" t="n">
        <v>2100</v>
      </c>
      <c r="Q281" s="9" t="n">
        <v>2900</v>
      </c>
      <c r="R281" s="9" t="n">
        <v>3700</v>
      </c>
    </row>
    <row collapsed="false" customFormat="false" customHeight="false" hidden="false" ht="15" outlineLevel="0" r="282">
      <c r="A282" s="7" t="n">
        <v>312</v>
      </c>
      <c r="B282" s="0" t="s">
        <v>303</v>
      </c>
      <c r="C282" s="0" t="n">
        <v>210</v>
      </c>
      <c r="D282" s="0" t="str">
        <f aca="false">IFERROR(VLOOKUP(B282,справочник!$AF$2:$AF$15,1,0),"")</f>
        <v/>
      </c>
      <c r="F282" s="0" t="s">
        <v>26</v>
      </c>
      <c r="G282" s="9" t="n">
        <v>-1200</v>
      </c>
      <c r="H282" s="9" t="n">
        <v>-400</v>
      </c>
      <c r="I282" s="9" t="n">
        <v>400</v>
      </c>
      <c r="J282" s="9" t="n">
        <v>-800</v>
      </c>
      <c r="K282" s="9" t="n">
        <v>0</v>
      </c>
      <c r="L282" s="9" t="n">
        <v>-1200</v>
      </c>
      <c r="M282" s="9" t="n">
        <v>-400</v>
      </c>
      <c r="N282" s="9" t="n">
        <v>400</v>
      </c>
      <c r="O282" s="9" t="n">
        <v>1200</v>
      </c>
      <c r="P282" s="9" t="n">
        <v>2000</v>
      </c>
      <c r="Q282" s="9" t="n">
        <v>2800</v>
      </c>
      <c r="R282" s="9" t="n">
        <v>3600</v>
      </c>
    </row>
    <row collapsed="false" customFormat="false" customHeight="false" hidden="false" ht="15" outlineLevel="0" r="283">
      <c r="A283" s="7" t="n">
        <v>219</v>
      </c>
      <c r="B283" s="0" t="s">
        <v>304</v>
      </c>
      <c r="C283" s="8" t="n">
        <f aca="false">VLOOKUP(A283,справочник!$A$2:$C$322,3,0)</f>
        <v>228</v>
      </c>
      <c r="D283" s="0" t="str">
        <f aca="false">IFERROR(VLOOKUP(B283,справочник!$AF$2:$AF$15,1,0),"")</f>
        <v/>
      </c>
      <c r="F283" s="0" t="s">
        <v>38</v>
      </c>
      <c r="G283" s="9" t="n">
        <v>800</v>
      </c>
      <c r="H283" s="9" t="n">
        <v>1600</v>
      </c>
      <c r="I283" s="9" t="n">
        <v>-600</v>
      </c>
      <c r="J283" s="9" t="n">
        <v>200</v>
      </c>
      <c r="K283" s="9" t="n">
        <v>1000</v>
      </c>
      <c r="L283" s="9" t="n">
        <v>-1200</v>
      </c>
      <c r="M283" s="9" t="n">
        <v>-400</v>
      </c>
      <c r="N283" s="9" t="n">
        <v>400</v>
      </c>
      <c r="O283" s="9" t="n">
        <v>1200</v>
      </c>
      <c r="P283" s="9" t="n">
        <v>2000</v>
      </c>
      <c r="Q283" s="9" t="n">
        <v>2800</v>
      </c>
      <c r="R283" s="9" t="n">
        <v>3600</v>
      </c>
    </row>
    <row collapsed="false" customFormat="false" customHeight="false" hidden="false" ht="15" outlineLevel="0" r="284">
      <c r="A284" s="7" t="n">
        <v>168</v>
      </c>
      <c r="B284" s="0" t="s">
        <v>305</v>
      </c>
      <c r="C284" s="8" t="n">
        <f aca="false">VLOOKUP(A284,справочник!$A$2:$C$322,3,0)</f>
        <v>176</v>
      </c>
      <c r="D284" s="0" t="str">
        <f aca="false">IFERROR(VLOOKUP(B284,справочник!$AF$2:$AF$15,1,0),"")</f>
        <v/>
      </c>
      <c r="F284" s="0" t="s">
        <v>36</v>
      </c>
      <c r="G284" s="9" t="n">
        <v>800</v>
      </c>
      <c r="H284" s="9" t="n">
        <v>-400</v>
      </c>
      <c r="I284" s="9" t="n">
        <v>400</v>
      </c>
      <c r="J284" s="9" t="n">
        <v>-800</v>
      </c>
      <c r="K284" s="9" t="n">
        <v>-2000</v>
      </c>
      <c r="L284" s="9" t="n">
        <v>-1200</v>
      </c>
      <c r="M284" s="9" t="n">
        <v>-400</v>
      </c>
      <c r="N284" s="9" t="n">
        <v>400</v>
      </c>
      <c r="O284" s="9" t="n">
        <v>1200</v>
      </c>
      <c r="P284" s="9" t="n">
        <v>2000</v>
      </c>
      <c r="Q284" s="9" t="n">
        <v>2800</v>
      </c>
      <c r="R284" s="9" t="n">
        <v>3600</v>
      </c>
    </row>
    <row collapsed="false" customFormat="false" customHeight="false" hidden="false" ht="15" outlineLevel="0" r="285">
      <c r="A285" s="7" t="n">
        <v>162</v>
      </c>
      <c r="B285" s="0" t="s">
        <v>306</v>
      </c>
      <c r="C285" s="8" t="n">
        <f aca="false">VLOOKUP(A285,справочник!$A$2:$C$322,3,0)</f>
        <v>170</v>
      </c>
      <c r="D285" s="0" t="str">
        <f aca="false">IFERROR(VLOOKUP(B285,справочник!$AF$2:$AF$15,1,0),"")</f>
        <v/>
      </c>
      <c r="F285" s="0" t="s">
        <v>36</v>
      </c>
      <c r="G285" s="9" t="n">
        <v>6800</v>
      </c>
      <c r="H285" s="9" t="n">
        <v>7600</v>
      </c>
      <c r="I285" s="9" t="n">
        <v>8400</v>
      </c>
      <c r="J285" s="9" t="n">
        <v>9200</v>
      </c>
      <c r="K285" s="9" t="n">
        <v>-2000</v>
      </c>
      <c r="L285" s="9" t="n">
        <v>-1200</v>
      </c>
      <c r="M285" s="9" t="n">
        <v>-400</v>
      </c>
      <c r="N285" s="9" t="n">
        <v>400</v>
      </c>
      <c r="O285" s="9" t="n">
        <v>1200</v>
      </c>
      <c r="P285" s="9" t="n">
        <v>2000</v>
      </c>
      <c r="Q285" s="9" t="n">
        <v>2800</v>
      </c>
      <c r="R285" s="9" t="n">
        <v>3600</v>
      </c>
    </row>
    <row collapsed="false" customFormat="false" customHeight="false" hidden="false" ht="15" outlineLevel="0" r="286">
      <c r="A286" s="7" t="n">
        <v>156</v>
      </c>
      <c r="B286" s="0" t="s">
        <v>307</v>
      </c>
      <c r="C286" s="8" t="n">
        <f aca="false">VLOOKUP(A286,справочник!$A$2:$C$322,3,0)</f>
        <v>164</v>
      </c>
      <c r="D286" s="0" t="str">
        <f aca="false">IFERROR(VLOOKUP(B286,справочник!$AF$2:$AF$15,1,0),"")</f>
        <v/>
      </c>
      <c r="F286" s="0" t="s">
        <v>36</v>
      </c>
      <c r="G286" s="9" t="n">
        <v>3800</v>
      </c>
      <c r="H286" s="9" t="n">
        <v>-400</v>
      </c>
      <c r="I286" s="9" t="n">
        <v>-600</v>
      </c>
      <c r="J286" s="9" t="n">
        <v>-800</v>
      </c>
      <c r="K286" s="9" t="n">
        <v>-1000</v>
      </c>
      <c r="L286" s="9" t="n">
        <v>-1200</v>
      </c>
      <c r="M286" s="9" t="n">
        <v>-400</v>
      </c>
      <c r="N286" s="9" t="n">
        <v>400</v>
      </c>
      <c r="O286" s="9" t="n">
        <v>1200</v>
      </c>
      <c r="P286" s="9" t="n">
        <v>2000</v>
      </c>
      <c r="Q286" s="9" t="n">
        <v>2800</v>
      </c>
      <c r="R286" s="9" t="n">
        <v>3600</v>
      </c>
    </row>
    <row collapsed="false" customFormat="false" customHeight="false" hidden="false" ht="15" outlineLevel="0" r="287">
      <c r="A287" s="7" t="n">
        <v>255</v>
      </c>
      <c r="B287" s="0" t="s">
        <v>308</v>
      </c>
      <c r="C287" s="8" t="n">
        <f aca="false">VLOOKUP(A287,справочник!$A$2:$C$322,3,0)</f>
        <v>268</v>
      </c>
      <c r="D287" s="0" t="str">
        <f aca="false">IFERROR(VLOOKUP(B287,справочник!$AF$2:$AF$15,1,0),"")</f>
        <v/>
      </c>
      <c r="F287" s="0" t="s">
        <v>70</v>
      </c>
      <c r="G287" s="9" t="n">
        <v>800</v>
      </c>
      <c r="H287" s="9" t="n">
        <v>1600</v>
      </c>
      <c r="I287" s="9" t="n">
        <v>-800</v>
      </c>
      <c r="J287" s="9" t="n">
        <v>0</v>
      </c>
      <c r="K287" s="9" t="n">
        <v>-2400</v>
      </c>
      <c r="L287" s="9" t="n">
        <v>-1600</v>
      </c>
      <c r="M287" s="9" t="n">
        <v>-800</v>
      </c>
      <c r="N287" s="9" t="n">
        <v>0</v>
      </c>
      <c r="O287" s="9" t="n">
        <v>800</v>
      </c>
      <c r="P287" s="9" t="n">
        <v>1600</v>
      </c>
      <c r="Q287" s="9" t="n">
        <v>2400</v>
      </c>
      <c r="R287" s="9" t="n">
        <v>3200</v>
      </c>
    </row>
    <row collapsed="false" customFormat="false" customHeight="false" hidden="false" ht="15" outlineLevel="0" r="288">
      <c r="A288" s="7" t="n">
        <v>76</v>
      </c>
      <c r="B288" s="0" t="s">
        <v>309</v>
      </c>
      <c r="C288" s="8" t="n">
        <f aca="false">VLOOKUP(A288,справочник!$A$2:$C$322,3,0)</f>
        <v>82</v>
      </c>
      <c r="D288" s="0" t="str">
        <f aca="false">IFERROR(VLOOKUP(B288,справочник!$AF$2:$AF$15,1,0),"")</f>
        <v/>
      </c>
      <c r="F288" s="0" t="s">
        <v>55</v>
      </c>
      <c r="G288" s="9" t="n">
        <v>-1200</v>
      </c>
      <c r="H288" s="9" t="n">
        <v>-2800</v>
      </c>
      <c r="I288" s="9" t="n">
        <v>-2000</v>
      </c>
      <c r="J288" s="9" t="n">
        <v>-3600</v>
      </c>
      <c r="K288" s="9" t="n">
        <v>-2800</v>
      </c>
      <c r="L288" s="9" t="n">
        <v>-2000</v>
      </c>
      <c r="M288" s="9" t="n">
        <v>-1200</v>
      </c>
      <c r="N288" s="9" t="n">
        <v>-400</v>
      </c>
      <c r="O288" s="9" t="n">
        <v>400</v>
      </c>
      <c r="P288" s="9" t="n">
        <v>1200</v>
      </c>
      <c r="Q288" s="9" t="n">
        <v>2000</v>
      </c>
      <c r="R288" s="9" t="n">
        <v>2800</v>
      </c>
    </row>
    <row collapsed="false" customFormat="false" customHeight="false" hidden="false" ht="15" outlineLevel="0" r="289">
      <c r="A289" s="7" t="n">
        <v>25</v>
      </c>
      <c r="B289" s="0" t="s">
        <v>310</v>
      </c>
      <c r="C289" s="8" t="n">
        <f aca="false">VLOOKUP(A289,справочник!$A$2:$C$322,3,0)</f>
        <v>25</v>
      </c>
      <c r="D289" s="0" t="str">
        <f aca="false">IFERROR(VLOOKUP(B289,справочник!$AF$2:$AF$15,1,0),"")</f>
        <v/>
      </c>
      <c r="F289" s="0" t="s">
        <v>30</v>
      </c>
      <c r="G289" s="9" t="n">
        <v>800</v>
      </c>
      <c r="H289" s="9" t="n">
        <v>1600</v>
      </c>
      <c r="I289" s="9" t="n">
        <v>-600</v>
      </c>
      <c r="J289" s="9" t="n">
        <v>200</v>
      </c>
      <c r="K289" s="9" t="n">
        <v>-2000</v>
      </c>
      <c r="L289" s="9" t="n">
        <v>-2000</v>
      </c>
      <c r="M289" s="9" t="n">
        <v>-1200</v>
      </c>
      <c r="N289" s="9" t="n">
        <v>-400</v>
      </c>
      <c r="O289" s="9" t="n">
        <v>400</v>
      </c>
      <c r="P289" s="9" t="n">
        <v>1200</v>
      </c>
      <c r="Q289" s="9" t="n">
        <v>2000</v>
      </c>
      <c r="R289" s="9" t="n">
        <v>2800</v>
      </c>
    </row>
    <row collapsed="false" customFormat="false" customHeight="false" hidden="false" ht="15" outlineLevel="0" r="290">
      <c r="A290" s="7" t="n">
        <v>236</v>
      </c>
      <c r="B290" s="0" t="s">
        <v>311</v>
      </c>
      <c r="C290" s="8" t="n">
        <f aca="false">VLOOKUP(A290,справочник!$A$2:$C$322,3,0)</f>
        <v>245</v>
      </c>
      <c r="D290" s="0" t="str">
        <f aca="false">IFERROR(VLOOKUP(B290,справочник!$AF$2:$AF$15,1,0),"")</f>
        <v/>
      </c>
      <c r="F290" s="0" t="s">
        <v>44</v>
      </c>
      <c r="G290" s="9" t="n">
        <v>18800</v>
      </c>
      <c r="H290" s="9" t="n">
        <v>19600</v>
      </c>
      <c r="I290" s="9" t="n">
        <v>20400</v>
      </c>
      <c r="J290" s="9" t="n">
        <v>21200</v>
      </c>
      <c r="K290" s="9" t="n">
        <v>-3000</v>
      </c>
      <c r="L290" s="9" t="n">
        <v>-2200</v>
      </c>
      <c r="M290" s="9" t="n">
        <v>-1400</v>
      </c>
      <c r="N290" s="9" t="n">
        <v>-600</v>
      </c>
      <c r="O290" s="9" t="n">
        <v>200</v>
      </c>
      <c r="P290" s="9" t="n">
        <v>1000</v>
      </c>
      <c r="Q290" s="9" t="n">
        <v>1800</v>
      </c>
      <c r="R290" s="9" t="n">
        <v>2600</v>
      </c>
    </row>
    <row collapsed="false" customFormat="false" customHeight="false" hidden="false" ht="15" outlineLevel="0" r="291">
      <c r="A291" s="7" t="n">
        <v>222</v>
      </c>
      <c r="B291" s="0" t="s">
        <v>38</v>
      </c>
      <c r="C291" s="8" t="n">
        <f aca="false">VLOOKUP(A291,справочник!$A$2:$C$322,3,0)</f>
        <v>231</v>
      </c>
      <c r="D291" s="0" t="str">
        <f aca="false">IFERROR(VLOOKUP(B291,справочник!$AF$2:$AF$15,1,0),"")</f>
        <v>Карпова Елена Витальевна</v>
      </c>
      <c r="F291" s="0" t="s">
        <v>38</v>
      </c>
      <c r="G291" s="9" t="n">
        <v>800</v>
      </c>
      <c r="H291" s="9" t="n">
        <v>-1600</v>
      </c>
      <c r="I291" s="9" t="n">
        <v>-800</v>
      </c>
      <c r="J291" s="9" t="n">
        <v>0</v>
      </c>
      <c r="K291" s="9" t="n">
        <v>-3200</v>
      </c>
      <c r="L291" s="9" t="n">
        <v>-2400</v>
      </c>
      <c r="M291" s="9" t="n">
        <v>-1600</v>
      </c>
      <c r="N291" s="9" t="n">
        <v>-800</v>
      </c>
      <c r="O291" s="9" t="n">
        <v>0</v>
      </c>
      <c r="P291" s="9" t="n">
        <v>800</v>
      </c>
      <c r="Q291" s="9" t="n">
        <v>1600</v>
      </c>
      <c r="R291" s="9" t="n">
        <v>2400</v>
      </c>
    </row>
    <row collapsed="false" customFormat="false" customHeight="false" hidden="false" ht="15" outlineLevel="0" r="292">
      <c r="A292" s="7" t="n">
        <v>170</v>
      </c>
      <c r="B292" s="0" t="s">
        <v>312</v>
      </c>
      <c r="C292" s="8" t="n">
        <f aca="false">VLOOKUP(A292,справочник!$A$2:$C$322,3,0)</f>
        <v>179</v>
      </c>
      <c r="D292" s="0" t="str">
        <f aca="false">IFERROR(VLOOKUP(B292,справочник!$AF$2:$AF$15,1,0),"")</f>
        <v/>
      </c>
      <c r="F292" s="0" t="s">
        <v>36</v>
      </c>
      <c r="G292" s="9" t="n">
        <v>-1600</v>
      </c>
      <c r="H292" s="9" t="n">
        <v>-800</v>
      </c>
      <c r="I292" s="9" t="n">
        <v>-2400</v>
      </c>
      <c r="J292" s="9" t="n">
        <v>-1600</v>
      </c>
      <c r="K292" s="9" t="n">
        <v>-800</v>
      </c>
      <c r="L292" s="9" t="n">
        <v>-2400</v>
      </c>
      <c r="M292" s="9" t="n">
        <v>-1600</v>
      </c>
      <c r="N292" s="9" t="n">
        <v>-800</v>
      </c>
      <c r="O292" s="9" t="n">
        <v>0</v>
      </c>
      <c r="P292" s="9" t="n">
        <v>800</v>
      </c>
      <c r="Q292" s="9" t="n">
        <v>1600</v>
      </c>
      <c r="R292" s="9" t="n">
        <v>2400</v>
      </c>
    </row>
    <row collapsed="false" customFormat="false" customHeight="false" hidden="false" ht="15" outlineLevel="0" r="293">
      <c r="A293" s="7" t="n">
        <v>55</v>
      </c>
      <c r="B293" s="0" t="s">
        <v>313</v>
      </c>
      <c r="C293" s="8" t="n">
        <f aca="false">VLOOKUP(A293,справочник!$A$2:$C$322,3,0)</f>
        <v>57</v>
      </c>
      <c r="D293" s="0" t="str">
        <f aca="false">IFERROR(VLOOKUP(B293,справочник!$AF$2:$AF$15,1,0),"")</f>
        <v/>
      </c>
      <c r="F293" s="0" t="s">
        <v>28</v>
      </c>
      <c r="G293" s="9" t="n">
        <v>-3200</v>
      </c>
      <c r="H293" s="9" t="n">
        <v>-2400</v>
      </c>
      <c r="I293" s="9" t="n">
        <v>-4800</v>
      </c>
      <c r="J293" s="9" t="n">
        <v>-4000</v>
      </c>
      <c r="K293" s="9" t="n">
        <v>-3200</v>
      </c>
      <c r="L293" s="9" t="n">
        <v>-2400</v>
      </c>
      <c r="M293" s="9" t="n">
        <v>-1600</v>
      </c>
      <c r="N293" s="9" t="n">
        <v>-800</v>
      </c>
      <c r="O293" s="9" t="n">
        <v>0</v>
      </c>
      <c r="P293" s="9" t="n">
        <v>800</v>
      </c>
      <c r="Q293" s="9" t="n">
        <v>1600</v>
      </c>
      <c r="R293" s="9" t="n">
        <v>2400</v>
      </c>
    </row>
    <row collapsed="false" customFormat="false" customHeight="false" hidden="false" ht="15" outlineLevel="0" r="294">
      <c r="A294" s="7" t="n">
        <v>274</v>
      </c>
      <c r="B294" s="0" t="s">
        <v>314</v>
      </c>
      <c r="C294" s="8" t="n">
        <f aca="false">VLOOKUP(A294,справочник!$A$2:$C$322,3,0)</f>
        <v>295</v>
      </c>
      <c r="D294" s="0" t="str">
        <f aca="false">IFERROR(VLOOKUP(B294,справочник!$AF$2:$AF$15,1,0),"")</f>
        <v/>
      </c>
      <c r="F294" s="0" t="s">
        <v>34</v>
      </c>
      <c r="G294" s="9" t="n">
        <v>20800</v>
      </c>
      <c r="H294" s="9" t="n">
        <v>21600</v>
      </c>
      <c r="I294" s="9" t="n">
        <v>20800</v>
      </c>
      <c r="J294" s="9" t="n">
        <v>21600</v>
      </c>
      <c r="K294" s="9" t="n">
        <v>22400</v>
      </c>
      <c r="L294" s="9" t="n">
        <v>-3600</v>
      </c>
      <c r="M294" s="9" t="n">
        <v>-2800</v>
      </c>
      <c r="N294" s="9" t="n">
        <v>-2000</v>
      </c>
      <c r="O294" s="9" t="n">
        <v>-1200</v>
      </c>
      <c r="P294" s="9" t="n">
        <v>-400</v>
      </c>
      <c r="Q294" s="9" t="n">
        <v>400</v>
      </c>
      <c r="R294" s="9" t="n">
        <v>1200</v>
      </c>
    </row>
    <row collapsed="false" customFormat="false" customHeight="false" hidden="false" ht="15" outlineLevel="0" r="295">
      <c r="A295" s="7" t="n">
        <v>243</v>
      </c>
      <c r="B295" s="0" t="s">
        <v>70</v>
      </c>
      <c r="C295" s="8" t="n">
        <f aca="false">VLOOKUP(A295,справочник!$A$2:$C$322,3,0)</f>
        <v>254</v>
      </c>
      <c r="D295" s="0" t="str">
        <f aca="false">IFERROR(VLOOKUP(B295,справочник!$AF$2:$AF$15,1,0),"")</f>
        <v>Лапшин Сергей Николаевич</v>
      </c>
      <c r="F295" s="0" t="s">
        <v>44</v>
      </c>
      <c r="G295" s="9" t="n">
        <v>1800</v>
      </c>
      <c r="H295" s="9" t="n">
        <v>-2200</v>
      </c>
      <c r="I295" s="9" t="n">
        <v>-1400</v>
      </c>
      <c r="J295" s="9" t="n">
        <v>-600</v>
      </c>
      <c r="K295" s="9" t="n">
        <v>200</v>
      </c>
      <c r="L295" s="9" t="n">
        <v>-3800</v>
      </c>
      <c r="M295" s="9" t="n">
        <v>-3000</v>
      </c>
      <c r="N295" s="9" t="n">
        <v>-2200</v>
      </c>
      <c r="O295" s="9" t="n">
        <v>-1400</v>
      </c>
      <c r="P295" s="9" t="n">
        <v>-600</v>
      </c>
      <c r="Q295" s="9" t="n">
        <v>200</v>
      </c>
      <c r="R295" s="9" t="n">
        <v>1000</v>
      </c>
    </row>
    <row collapsed="false" customFormat="false" customHeight="false" hidden="false" ht="15" outlineLevel="0" r="296">
      <c r="A296" s="7" t="n">
        <v>318</v>
      </c>
      <c r="B296" s="0" t="s">
        <v>315</v>
      </c>
      <c r="C296" s="0" t="n">
        <v>71</v>
      </c>
      <c r="D296" s="0" t="str">
        <f aca="false">IFERROR(VLOOKUP(B296,справочник!$AF$2:$AF$15,1,0),"")</f>
        <v/>
      </c>
      <c r="F296" s="0" t="s">
        <v>42</v>
      </c>
      <c r="G296" s="9" t="n">
        <v>800</v>
      </c>
      <c r="H296" s="9" t="n">
        <v>-3200</v>
      </c>
      <c r="I296" s="9" t="n">
        <v>-2400</v>
      </c>
      <c r="J296" s="9" t="n">
        <v>-6400</v>
      </c>
      <c r="K296" s="9" t="n">
        <v>-5600</v>
      </c>
      <c r="L296" s="9" t="n">
        <v>-4800</v>
      </c>
      <c r="M296" s="9" t="n">
        <v>-4000</v>
      </c>
      <c r="N296" s="9" t="n">
        <v>-3200</v>
      </c>
      <c r="O296" s="9" t="n">
        <v>-2400</v>
      </c>
      <c r="P296" s="9" t="n">
        <v>-1600</v>
      </c>
      <c r="Q296" s="9" t="n">
        <v>-800</v>
      </c>
      <c r="R296" s="9" t="n">
        <v>0</v>
      </c>
    </row>
    <row collapsed="false" customFormat="false" customHeight="false" hidden="false" ht="15" outlineLevel="0" r="297">
      <c r="A297" s="7" t="n">
        <v>294</v>
      </c>
      <c r="B297" s="0" t="s">
        <v>316</v>
      </c>
      <c r="C297" s="8" t="n">
        <f aca="false">VLOOKUP(A297,справочник!$A$2:$C$322,3,0)</f>
        <v>309</v>
      </c>
      <c r="D297" s="0" t="str">
        <f aca="false">IFERROR(VLOOKUP(B297,справочник!$AF$2:$AF$15,1,0),"")</f>
        <v/>
      </c>
      <c r="F297" s="0" t="s">
        <v>40</v>
      </c>
      <c r="G297" s="9" t="n">
        <v>-8800</v>
      </c>
      <c r="H297" s="9" t="n">
        <v>-8000</v>
      </c>
      <c r="I297" s="9" t="n">
        <v>-7200</v>
      </c>
      <c r="J297" s="9" t="n">
        <v>-6400</v>
      </c>
      <c r="K297" s="9" t="n">
        <v>-5600</v>
      </c>
      <c r="L297" s="9" t="n">
        <v>-4800</v>
      </c>
      <c r="M297" s="9" t="n">
        <v>-4000</v>
      </c>
      <c r="N297" s="9" t="n">
        <v>-3200</v>
      </c>
      <c r="O297" s="9" t="n">
        <v>-2400</v>
      </c>
      <c r="P297" s="9" t="n">
        <v>-1600</v>
      </c>
      <c r="Q297" s="9" t="n">
        <v>-800</v>
      </c>
      <c r="R297" s="9" t="n">
        <v>0</v>
      </c>
    </row>
    <row collapsed="false" customFormat="false" customHeight="false" hidden="false" ht="15" outlineLevel="0" r="298">
      <c r="A298" s="7" t="n">
        <v>276</v>
      </c>
      <c r="B298" s="0" t="s">
        <v>317</v>
      </c>
      <c r="C298" s="8" t="n">
        <f aca="false">VLOOKUP(A298,справочник!$A$2:$C$322,3,0)</f>
        <v>289</v>
      </c>
      <c r="D298" s="0" t="str">
        <f aca="false">IFERROR(VLOOKUP(B298,справочник!$AF$2:$AF$15,1,0),"")</f>
        <v/>
      </c>
      <c r="F298" s="0" t="s">
        <v>34</v>
      </c>
      <c r="G298" s="9" t="n">
        <v>12800</v>
      </c>
      <c r="H298" s="9" t="n">
        <v>13600</v>
      </c>
      <c r="I298" s="9" t="n">
        <v>14400</v>
      </c>
      <c r="J298" s="9" t="n">
        <v>15200</v>
      </c>
      <c r="K298" s="9" t="n">
        <v>16000</v>
      </c>
      <c r="L298" s="9" t="n">
        <v>-4800</v>
      </c>
      <c r="M298" s="9" t="n">
        <v>-4000</v>
      </c>
      <c r="N298" s="9" t="n">
        <v>-3200</v>
      </c>
      <c r="O298" s="9" t="n">
        <v>-2400</v>
      </c>
      <c r="P298" s="9" t="n">
        <v>-1600</v>
      </c>
      <c r="Q298" s="9" t="n">
        <v>-800</v>
      </c>
      <c r="R298" s="9" t="n">
        <v>0</v>
      </c>
    </row>
    <row collapsed="false" customFormat="false" customHeight="false" hidden="false" ht="15" outlineLevel="0" r="299">
      <c r="A299" s="7" t="n">
        <v>319</v>
      </c>
      <c r="B299" s="0" t="s">
        <v>318</v>
      </c>
      <c r="C299" s="0" t="n">
        <v>73</v>
      </c>
      <c r="D299" s="0" t="str">
        <f aca="false">IFERROR(VLOOKUP(B299,справочник!$AF$2:$AF$15,1,0),"")</f>
        <v/>
      </c>
      <c r="F299" s="0" t="s">
        <v>42</v>
      </c>
      <c r="G299" s="9" t="n">
        <v>800</v>
      </c>
      <c r="H299" s="9" t="n">
        <v>-400</v>
      </c>
      <c r="I299" s="9" t="n">
        <v>400</v>
      </c>
      <c r="J299" s="9" t="n">
        <v>-2800</v>
      </c>
      <c r="K299" s="9" t="n">
        <v>-6000</v>
      </c>
      <c r="L299" s="9" t="n">
        <v>-5200</v>
      </c>
      <c r="M299" s="9" t="n">
        <v>-4400</v>
      </c>
      <c r="N299" s="9" t="n">
        <v>-3600</v>
      </c>
      <c r="O299" s="9" t="n">
        <v>-2800</v>
      </c>
      <c r="P299" s="9" t="n">
        <v>-2000</v>
      </c>
      <c r="Q299" s="9" t="n">
        <v>-1200</v>
      </c>
      <c r="R299" s="9" t="n">
        <v>-400</v>
      </c>
    </row>
    <row collapsed="false" customFormat="false" customHeight="false" hidden="false" ht="15" outlineLevel="0" r="300">
      <c r="A300" s="7" t="n">
        <v>23</v>
      </c>
      <c r="B300" s="0" t="s">
        <v>319</v>
      </c>
      <c r="C300" s="8" t="n">
        <f aca="false">VLOOKUP(A300,справочник!$A$2:$C$322,3,0)</f>
        <v>23</v>
      </c>
      <c r="D300" s="0" t="str">
        <f aca="false">IFERROR(VLOOKUP(B300,справочник!$AF$2:$AF$15,1,0),"")</f>
        <v/>
      </c>
      <c r="F300" s="0" t="s">
        <v>30</v>
      </c>
      <c r="G300" s="9" t="n">
        <v>-10800</v>
      </c>
      <c r="H300" s="9" t="n">
        <v>-10000</v>
      </c>
      <c r="I300" s="9" t="n">
        <v>-9200</v>
      </c>
      <c r="J300" s="9" t="n">
        <v>-8400</v>
      </c>
      <c r="K300" s="9" t="n">
        <v>-7600</v>
      </c>
      <c r="L300" s="9" t="n">
        <v>-6800</v>
      </c>
      <c r="M300" s="9" t="n">
        <v>-6000</v>
      </c>
      <c r="N300" s="9" t="n">
        <v>-5200</v>
      </c>
      <c r="O300" s="9" t="n">
        <v>-4400</v>
      </c>
      <c r="P300" s="9" t="n">
        <v>-3600</v>
      </c>
      <c r="Q300" s="9" t="n">
        <v>-2800</v>
      </c>
      <c r="R300" s="9" t="n">
        <v>-2000</v>
      </c>
    </row>
    <row collapsed="false" customFormat="false" customHeight="false" hidden="false" ht="15" outlineLevel="0" r="301">
      <c r="A301" s="7" t="n">
        <v>286</v>
      </c>
      <c r="B301" s="0" t="s">
        <v>320</v>
      </c>
      <c r="C301" s="8" t="n">
        <f aca="false">VLOOKUP(A301,справочник!$A$2:$C$322,3,0)</f>
        <v>298</v>
      </c>
      <c r="D301" s="0" t="str">
        <f aca="false">IFERROR(VLOOKUP(B301,справочник!$AF$2:$AF$15,1,0),"")</f>
        <v/>
      </c>
      <c r="F301" s="0" t="s">
        <v>34</v>
      </c>
      <c r="G301" s="9" t="n">
        <v>800</v>
      </c>
      <c r="H301" s="9" t="n">
        <v>-6400</v>
      </c>
      <c r="I301" s="9" t="n">
        <v>-5600</v>
      </c>
      <c r="J301" s="9" t="n">
        <v>-4800</v>
      </c>
      <c r="K301" s="9" t="n">
        <v>-4000</v>
      </c>
      <c r="L301" s="9" t="n">
        <v>-7200</v>
      </c>
      <c r="M301" s="9" t="n">
        <v>-6400</v>
      </c>
      <c r="N301" s="9" t="n">
        <v>-5600</v>
      </c>
      <c r="O301" s="9" t="n">
        <v>-4800</v>
      </c>
      <c r="P301" s="9" t="n">
        <v>-4000</v>
      </c>
      <c r="Q301" s="9" t="n">
        <v>-3200</v>
      </c>
      <c r="R301" s="9" t="n">
        <v>-2400</v>
      </c>
    </row>
    <row collapsed="false" customFormat="false" customHeight="false" hidden="false" ht="15" outlineLevel="0" r="302">
      <c r="A302" s="7" t="n">
        <v>285</v>
      </c>
      <c r="B302" s="0" t="s">
        <v>321</v>
      </c>
      <c r="C302" s="8" t="n">
        <f aca="false">VLOOKUP(A302,справочник!$A$2:$C$322,3,0)</f>
        <v>297</v>
      </c>
      <c r="D302" s="0" t="str">
        <f aca="false">IFERROR(VLOOKUP(B302,справочник!$AF$2:$AF$15,1,0),"")</f>
        <v/>
      </c>
      <c r="F302" s="0" t="s">
        <v>34</v>
      </c>
      <c r="G302" s="9" t="n">
        <v>800</v>
      </c>
      <c r="H302" s="9" t="n">
        <v>-6400</v>
      </c>
      <c r="I302" s="9" t="n">
        <v>-5600</v>
      </c>
      <c r="J302" s="9" t="n">
        <v>-4800</v>
      </c>
      <c r="K302" s="9" t="n">
        <v>-4000</v>
      </c>
      <c r="L302" s="9" t="n">
        <v>-7200</v>
      </c>
      <c r="M302" s="9" t="n">
        <v>-6400</v>
      </c>
      <c r="N302" s="9" t="n">
        <v>-5600</v>
      </c>
      <c r="O302" s="9" t="n">
        <v>-4800</v>
      </c>
      <c r="P302" s="9" t="n">
        <v>-4000</v>
      </c>
      <c r="Q302" s="9" t="n">
        <v>-3200</v>
      </c>
      <c r="R302" s="9" t="n">
        <v>-2400</v>
      </c>
    </row>
    <row collapsed="false" customFormat="false" customHeight="false" hidden="false" ht="15" outlineLevel="0" r="303">
      <c r="A303" s="7" t="n">
        <v>16</v>
      </c>
      <c r="B303" s="0" t="s">
        <v>322</v>
      </c>
      <c r="C303" s="8" t="n">
        <f aca="false">VLOOKUP(A303,справочник!$A$2:$C$322,3,0)</f>
        <v>16</v>
      </c>
      <c r="D303" s="0" t="str">
        <f aca="false">IFERROR(VLOOKUP(B303,справочник!$AF$2:$AF$15,1,0),"")</f>
        <v/>
      </c>
      <c r="F303" s="0" t="s">
        <v>30</v>
      </c>
      <c r="G303" s="9" t="n">
        <v>800</v>
      </c>
      <c r="H303" s="9" t="n">
        <v>1600</v>
      </c>
      <c r="I303" s="9" t="n">
        <v>2400</v>
      </c>
      <c r="J303" s="9" t="n">
        <v>3200</v>
      </c>
      <c r="K303" s="9" t="n">
        <v>4000</v>
      </c>
      <c r="L303" s="9" t="n">
        <v>-7200</v>
      </c>
      <c r="M303" s="9" t="n">
        <v>-6400</v>
      </c>
      <c r="N303" s="9" t="n">
        <v>-5600</v>
      </c>
      <c r="O303" s="9" t="n">
        <v>-4800</v>
      </c>
      <c r="P303" s="9" t="n">
        <v>-4000</v>
      </c>
      <c r="Q303" s="9" t="n">
        <v>-3200</v>
      </c>
      <c r="R303" s="9" t="n">
        <v>-2400</v>
      </c>
    </row>
    <row collapsed="false" customFormat="false" customHeight="false" hidden="false" ht="15" outlineLevel="0" r="304">
      <c r="A304" s="7" t="n">
        <v>60</v>
      </c>
      <c r="B304" s="0" t="s">
        <v>323</v>
      </c>
      <c r="C304" s="8" t="n">
        <f aca="false">VLOOKUP(A304,справочник!$A$2:$C$322,3,0)</f>
        <v>62</v>
      </c>
      <c r="D304" s="0" t="str">
        <f aca="false">IFERROR(VLOOKUP(B304,справочник!$AF$2:$AF$15,1,0),"")</f>
        <v/>
      </c>
      <c r="F304" s="0" t="s">
        <v>42</v>
      </c>
      <c r="G304" s="9" t="n">
        <v>-12200</v>
      </c>
      <c r="H304" s="9" t="n">
        <v>-11400</v>
      </c>
      <c r="I304" s="9" t="n">
        <v>-10600</v>
      </c>
      <c r="J304" s="9" t="n">
        <v>-9800</v>
      </c>
      <c r="K304" s="9" t="n">
        <v>-9000</v>
      </c>
      <c r="L304" s="9" t="n">
        <v>-8200</v>
      </c>
      <c r="M304" s="9" t="n">
        <v>-7400</v>
      </c>
      <c r="N304" s="9" t="n">
        <v>-6600</v>
      </c>
      <c r="O304" s="9" t="n">
        <v>-5800</v>
      </c>
      <c r="P304" s="9" t="n">
        <v>-5000</v>
      </c>
      <c r="Q304" s="9" t="n">
        <v>-4200</v>
      </c>
      <c r="R304" s="9" t="n">
        <v>-3400</v>
      </c>
    </row>
    <row collapsed="false" customFormat="false" customHeight="false" hidden="false" ht="15" outlineLevel="0" r="305">
      <c r="A305" s="13" t="n">
        <v>320</v>
      </c>
      <c r="B305" s="14" t="s">
        <v>324</v>
      </c>
      <c r="C305" s="8" t="n">
        <f aca="false">VLOOKUP(A305,справочник!$A$2:$C$322,3,0)</f>
        <v>0</v>
      </c>
      <c r="D305" s="0" t="str">
        <f aca="false">IFERROR(VLOOKUP(B305,справочник!$AF$2:$AF$15,1,0),"")</f>
        <v/>
      </c>
      <c r="F305" s="8" t="e">
        <f aca="false">{#н/д}</f>
        <v>#N/A</v>
      </c>
      <c r="G305" s="15" t="n">
        <v>800</v>
      </c>
      <c r="H305" s="15" t="n">
        <v>1600</v>
      </c>
      <c r="I305" s="15" t="n">
        <v>2400</v>
      </c>
      <c r="J305" s="15" t="n">
        <v>-10000</v>
      </c>
      <c r="K305" s="15" t="n">
        <v>-9200</v>
      </c>
      <c r="L305" s="15" t="n">
        <v>-8400</v>
      </c>
      <c r="M305" s="15" t="n">
        <v>-7600</v>
      </c>
      <c r="N305" s="15" t="n">
        <v>-6800</v>
      </c>
      <c r="O305" s="15" t="n">
        <v>-6000</v>
      </c>
      <c r="P305" s="15" t="n">
        <v>-5200</v>
      </c>
      <c r="Q305" s="15" t="n">
        <v>-4400</v>
      </c>
      <c r="R305" s="15" t="n">
        <v>-3600</v>
      </c>
    </row>
  </sheetData>
  <autoFilter ref="A6:R305"/>
  <conditionalFormatting sqref="M8:M305">
    <cfRule aboveAverage="0" bottom="0" dxfId="0" equalAverage="0" operator="lessThan" percent="0" priority="2" rank="0" text="" type="cellIs">
      <formula>0</formula>
    </cfRule>
    <cfRule aboveAverage="0" bottom="0" dxfId="1" equalAverage="0" operator="between" percent="0" priority="3" rank="0" text="" type="cellIs">
      <formula>5000</formula>
      <formula>10000</formula>
    </cfRule>
    <cfRule aboveAverage="0" bottom="0" dxfId="2" equalAverage="0" operator="greaterThan" percent="0" priority="4" rank="0" text="" type="cellIs">
      <formula>10000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H49"/>
  <sheetViews>
    <sheetView colorId="64" defaultGridColor="true" rightToLeft="false" showFormulas="false" showGridLines="false" showOutlineSymbols="true" showRowColHeaders="true" showZeros="true" tabSelected="false" topLeftCell="A20" view="normal" windowProtection="false" workbookViewId="0" zoomScale="100" zoomScaleNormal="100" zoomScalePageLayoutView="100">
      <selection activeCell="A20" activeCellId="0" pane="topLeft" sqref="A20"/>
    </sheetView>
  </sheetViews>
  <sheetFormatPr defaultRowHeight="15"/>
  <cols>
    <col collapsed="false" hidden="false" max="1" min="1" style="0" width="34.5765306122449"/>
    <col collapsed="false" hidden="false" max="2" min="2" style="0" width="39.7040816326531"/>
    <col collapsed="false" hidden="false" max="3" min="3" style="0" width="40.8571428571429"/>
    <col collapsed="false" hidden="false" max="4" min="4" style="0" width="27.8520408163265"/>
    <col collapsed="false" hidden="false" max="5" min="5" style="0" width="36.1428571428571"/>
    <col collapsed="false" hidden="false" max="6" min="6" style="0" width="27.1428571428571"/>
    <col collapsed="false" hidden="false" max="7" min="7" style="0" width="18.1428571428571"/>
    <col collapsed="false" hidden="false" max="8" min="8" style="0" width="19.2857142857143"/>
    <col collapsed="false" hidden="false" max="1025" min="9" style="0" width="8.72959183673469"/>
  </cols>
  <sheetData>
    <row collapsed="false" customFormat="true" customHeight="false" hidden="false" ht="15" outlineLevel="0" r="2" s="16">
      <c r="A2" s="16" t="s">
        <v>325</v>
      </c>
    </row>
    <row collapsed="false" customFormat="false" customHeight="false" hidden="false" ht="15" outlineLevel="0" r="3">
      <c r="A3" s="7" t="s">
        <v>6</v>
      </c>
      <c r="B3" s="17" t="s">
        <v>4</v>
      </c>
      <c r="C3" s="18" t="s">
        <v>5</v>
      </c>
      <c r="D3" s="18" t="s">
        <v>17</v>
      </c>
    </row>
    <row collapsed="false" customFormat="false" customHeight="false" hidden="false" ht="15" outlineLevel="0" r="4">
      <c r="A4" s="19" t="n">
        <v>3</v>
      </c>
      <c r="B4" s="19" t="n">
        <v>3</v>
      </c>
      <c r="C4" s="0" t="s">
        <v>90</v>
      </c>
      <c r="D4" s="9" t="n">
        <v>27400</v>
      </c>
    </row>
    <row collapsed="false" customFormat="false" customHeight="false" hidden="false" ht="15" outlineLevel="0" r="5">
      <c r="A5" s="19" t="n">
        <v>45</v>
      </c>
      <c r="B5" s="19" t="n">
        <v>45</v>
      </c>
      <c r="C5" s="0" t="s">
        <v>289</v>
      </c>
      <c r="D5" s="9" t="n">
        <v>0</v>
      </c>
    </row>
    <row collapsed="false" customFormat="false" customHeight="false" hidden="false" ht="15" outlineLevel="0" r="6">
      <c r="A6" s="19" t="n">
        <v>68</v>
      </c>
      <c r="B6" s="19" t="n">
        <v>66</v>
      </c>
      <c r="C6" s="0" t="s">
        <v>192</v>
      </c>
      <c r="D6" s="9" t="n">
        <v>8620</v>
      </c>
    </row>
    <row collapsed="false" customFormat="false" customHeight="false" hidden="false" ht="15" outlineLevel="0" r="7">
      <c r="A7" s="19" t="n">
        <v>84</v>
      </c>
      <c r="B7" s="19" t="n">
        <v>79</v>
      </c>
      <c r="C7" s="0" t="s">
        <v>55</v>
      </c>
      <c r="D7" s="9" t="n">
        <v>4000</v>
      </c>
    </row>
    <row collapsed="false" customFormat="false" customHeight="false" hidden="false" ht="15" outlineLevel="0" r="8">
      <c r="A8" s="19" t="n">
        <v>86</v>
      </c>
      <c r="B8" s="19" t="n">
        <v>81</v>
      </c>
      <c r="C8" s="0" t="s">
        <v>42</v>
      </c>
      <c r="D8" s="9" t="n">
        <v>0</v>
      </c>
    </row>
    <row collapsed="false" customFormat="false" customHeight="false" hidden="false" ht="15" outlineLevel="0" r="9">
      <c r="A9" s="19" t="n">
        <v>132</v>
      </c>
      <c r="B9" s="19" t="n">
        <v>127</v>
      </c>
      <c r="C9" s="0" t="s">
        <v>30</v>
      </c>
      <c r="D9" s="9" t="n">
        <v>2400</v>
      </c>
    </row>
    <row collapsed="false" customFormat="false" customHeight="false" hidden="false" ht="15" outlineLevel="0" r="10">
      <c r="A10" s="19" t="n">
        <v>137</v>
      </c>
      <c r="B10" s="19" t="n">
        <v>130</v>
      </c>
      <c r="C10" s="0" t="s">
        <v>36</v>
      </c>
      <c r="D10" s="9" t="n">
        <v>2400</v>
      </c>
    </row>
    <row collapsed="false" customFormat="false" customHeight="false" hidden="false" ht="15" outlineLevel="0" r="11">
      <c r="A11" s="19" t="n">
        <v>192</v>
      </c>
      <c r="B11" s="19" t="n">
        <v>183</v>
      </c>
      <c r="C11" s="0" t="s">
        <v>32</v>
      </c>
      <c r="D11" s="9" t="n">
        <v>7757</v>
      </c>
    </row>
    <row collapsed="false" customFormat="false" customHeight="false" hidden="false" ht="15" outlineLevel="0" r="12">
      <c r="A12" s="19" t="n">
        <v>231</v>
      </c>
      <c r="B12" s="19" t="n">
        <v>222</v>
      </c>
      <c r="C12" s="0" t="s">
        <v>38</v>
      </c>
      <c r="D12" s="9" t="n">
        <v>-800</v>
      </c>
    </row>
    <row collapsed="false" customFormat="false" customHeight="false" hidden="false" ht="15" outlineLevel="0" r="13">
      <c r="A13" s="19" t="n">
        <v>232</v>
      </c>
      <c r="B13" s="19" t="n">
        <v>223</v>
      </c>
      <c r="C13" s="0" t="s">
        <v>26</v>
      </c>
      <c r="D13" s="9" t="n">
        <v>7400</v>
      </c>
    </row>
    <row collapsed="false" customFormat="false" customHeight="false" hidden="false" ht="15" outlineLevel="0" r="14">
      <c r="A14" s="19" t="n">
        <v>243</v>
      </c>
      <c r="B14" s="19" t="n">
        <v>234</v>
      </c>
      <c r="C14" s="0" t="s">
        <v>280</v>
      </c>
      <c r="D14" s="9" t="n">
        <v>1600</v>
      </c>
    </row>
    <row collapsed="false" customFormat="false" customHeight="false" hidden="false" ht="15" outlineLevel="0" r="15">
      <c r="A15" s="19" t="n">
        <v>254</v>
      </c>
      <c r="B15" s="19" t="n">
        <v>243</v>
      </c>
      <c r="C15" s="0" t="s">
        <v>70</v>
      </c>
      <c r="D15" s="9" t="n">
        <v>-2200</v>
      </c>
    </row>
    <row collapsed="false" customFormat="false" customHeight="false" hidden="false" ht="15" outlineLevel="0" r="16">
      <c r="A16" s="19" t="n">
        <v>303</v>
      </c>
      <c r="B16" s="19" t="n">
        <v>290</v>
      </c>
      <c r="C16" s="0" t="s">
        <v>293</v>
      </c>
      <c r="D16" s="9" t="n">
        <v>1400</v>
      </c>
    </row>
    <row collapsed="false" customFormat="false" customHeight="false" hidden="false" ht="15" outlineLevel="0" r="17">
      <c r="A17" s="19" t="n">
        <v>310</v>
      </c>
      <c r="B17" s="19" t="n">
        <v>295</v>
      </c>
      <c r="C17" s="0" t="s">
        <v>40</v>
      </c>
      <c r="D17" s="9" t="n">
        <v>8250</v>
      </c>
    </row>
    <row collapsed="false" customFormat="false" customHeight="false" hidden="false" ht="15" outlineLevel="0" r="18">
      <c r="A18" s="19" t="n">
        <v>133</v>
      </c>
      <c r="B18" s="19" t="n">
        <v>310</v>
      </c>
      <c r="C18" s="0" t="s">
        <v>91</v>
      </c>
      <c r="D18" s="9" t="n">
        <v>21675</v>
      </c>
    </row>
    <row collapsed="false" customFormat="false" customHeight="false" hidden="false" ht="15" outlineLevel="0" r="19">
      <c r="A19" s="19"/>
      <c r="B19" s="19"/>
      <c r="D19" s="9" t="n">
        <f aca="false">SUM(D16:D18,D14,D13,D4:D11)</f>
        <v>92902</v>
      </c>
    </row>
    <row collapsed="false" customFormat="false" customHeight="false" hidden="false" ht="15" outlineLevel="0" r="21">
      <c r="A21" s="0" t="s">
        <v>326</v>
      </c>
    </row>
    <row collapsed="false" customFormat="false" customHeight="false" hidden="false" ht="15" outlineLevel="0" r="22">
      <c r="A22" s="7" t="s">
        <v>9</v>
      </c>
      <c r="B22" s="10" t="s">
        <v>8</v>
      </c>
      <c r="C22" s="7" t="s">
        <v>6</v>
      </c>
      <c r="D22" s="17" t="s">
        <v>4</v>
      </c>
      <c r="E22" s="18" t="s">
        <v>5</v>
      </c>
      <c r="F22" s="18" t="s">
        <v>17</v>
      </c>
      <c r="G22" s="20" t="s">
        <v>327</v>
      </c>
      <c r="H22" s="20" t="s">
        <v>328</v>
      </c>
    </row>
    <row collapsed="false" customFormat="false" customHeight="false" hidden="false" ht="15" outlineLevel="0" r="23">
      <c r="A23" s="0" t="s">
        <v>30</v>
      </c>
      <c r="B23" s="0" t="s">
        <v>329</v>
      </c>
      <c r="C23" s="19" t="n">
        <v>3</v>
      </c>
      <c r="D23" s="19" t="n">
        <v>3</v>
      </c>
      <c r="E23" s="0" t="s">
        <v>90</v>
      </c>
      <c r="F23" s="9" t="n">
        <v>27400</v>
      </c>
      <c r="G23" s="0" t="s">
        <v>90</v>
      </c>
      <c r="H23" s="0" t="s">
        <v>330</v>
      </c>
    </row>
    <row collapsed="false" customFormat="false" customHeight="false" hidden="false" ht="15" outlineLevel="0" r="24">
      <c r="A24" s="0" t="s">
        <v>30</v>
      </c>
      <c r="B24" s="0" t="s">
        <v>331</v>
      </c>
      <c r="C24" s="19" t="n">
        <v>14</v>
      </c>
      <c r="D24" s="19" t="n">
        <v>7</v>
      </c>
      <c r="E24" s="0" t="s">
        <v>46</v>
      </c>
      <c r="F24" s="9" t="n">
        <v>45400</v>
      </c>
      <c r="H24" s="0" t="s">
        <v>330</v>
      </c>
    </row>
    <row collapsed="false" customFormat="false" customHeight="false" hidden="false" ht="15" outlineLevel="0" r="25">
      <c r="A25" s="0" t="s">
        <v>30</v>
      </c>
      <c r="B25" s="0" t="s">
        <v>332</v>
      </c>
      <c r="C25" s="19" t="n">
        <v>11</v>
      </c>
      <c r="D25" s="19" t="n">
        <v>11</v>
      </c>
      <c r="E25" s="0" t="s">
        <v>142</v>
      </c>
      <c r="F25" s="9" t="n">
        <v>18400</v>
      </c>
      <c r="H25" s="0" t="s">
        <v>333</v>
      </c>
    </row>
    <row collapsed="false" customFormat="false" customHeight="false" hidden="false" ht="15" outlineLevel="0" r="26">
      <c r="A26" s="0" t="s">
        <v>30</v>
      </c>
      <c r="B26" s="0" t="s">
        <v>334</v>
      </c>
      <c r="C26" s="19" t="n">
        <v>12</v>
      </c>
      <c r="D26" s="19" t="n">
        <v>12</v>
      </c>
      <c r="E26" s="0" t="s">
        <v>71</v>
      </c>
      <c r="F26" s="9" t="n">
        <v>28400</v>
      </c>
      <c r="H26" s="0" t="s">
        <v>330</v>
      </c>
    </row>
    <row collapsed="false" customFormat="false" customHeight="false" hidden="false" ht="15" outlineLevel="0" r="27">
      <c r="A27" s="0" t="s">
        <v>28</v>
      </c>
      <c r="B27" s="0" t="s">
        <v>335</v>
      </c>
      <c r="C27" s="19" t="n">
        <v>43</v>
      </c>
      <c r="D27" s="19" t="n">
        <v>43</v>
      </c>
      <c r="E27" s="0" t="s">
        <v>89</v>
      </c>
      <c r="F27" s="9" t="n">
        <v>25400</v>
      </c>
      <c r="H27" s="0" t="s">
        <v>336</v>
      </c>
    </row>
    <row collapsed="false" customFormat="false" customHeight="false" hidden="false" ht="15" outlineLevel="0" r="28">
      <c r="A28" s="0" t="s">
        <v>32</v>
      </c>
      <c r="B28" s="0" t="s">
        <v>337</v>
      </c>
      <c r="C28" s="19" t="n">
        <v>197</v>
      </c>
      <c r="D28" s="19" t="n">
        <v>188</v>
      </c>
      <c r="E28" s="0" t="s">
        <v>53</v>
      </c>
      <c r="F28" s="9" t="n">
        <v>40400</v>
      </c>
      <c r="H28" s="0" t="s">
        <v>338</v>
      </c>
    </row>
    <row collapsed="false" customFormat="false" customHeight="false" hidden="false" ht="15" outlineLevel="0" r="29">
      <c r="A29" s="0" t="s">
        <v>32</v>
      </c>
      <c r="B29" s="0" t="s">
        <v>339</v>
      </c>
      <c r="C29" s="19" t="n">
        <v>198</v>
      </c>
      <c r="D29" s="19" t="n">
        <v>190</v>
      </c>
      <c r="E29" s="0" t="s">
        <v>117</v>
      </c>
      <c r="F29" s="9" t="n">
        <v>21600</v>
      </c>
      <c r="H29" s="0" t="s">
        <v>336</v>
      </c>
    </row>
    <row collapsed="false" customFormat="false" customHeight="false" hidden="false" ht="15" outlineLevel="0" r="30">
      <c r="A30" s="0" t="s">
        <v>26</v>
      </c>
      <c r="B30" s="0" t="s">
        <v>340</v>
      </c>
      <c r="C30" s="19" t="n">
        <v>216</v>
      </c>
      <c r="D30" s="19" t="n">
        <v>206</v>
      </c>
      <c r="E30" s="0" t="s">
        <v>159</v>
      </c>
      <c r="F30" s="9" t="n">
        <v>15400</v>
      </c>
      <c r="H30" s="0" t="s">
        <v>341</v>
      </c>
    </row>
    <row collapsed="false" customFormat="false" customHeight="false" hidden="false" ht="15" outlineLevel="0" r="31">
      <c r="A31" s="0" t="s">
        <v>38</v>
      </c>
      <c r="B31" s="0" t="s">
        <v>342</v>
      </c>
      <c r="C31" s="19" t="n">
        <v>227</v>
      </c>
      <c r="D31" s="19" t="n">
        <v>218</v>
      </c>
      <c r="E31" s="0" t="s">
        <v>164</v>
      </c>
      <c r="F31" s="9" t="n">
        <v>14400</v>
      </c>
      <c r="H31" s="0" t="s">
        <v>341</v>
      </c>
    </row>
    <row collapsed="false" customFormat="false" customHeight="false" hidden="false" ht="15" outlineLevel="0" r="32">
      <c r="A32" s="0" t="s">
        <v>70</v>
      </c>
      <c r="B32" s="0" t="s">
        <v>343</v>
      </c>
      <c r="C32" s="19" t="n">
        <v>278</v>
      </c>
      <c r="D32" s="19" t="n">
        <v>265</v>
      </c>
      <c r="E32" s="21" t="s">
        <v>92</v>
      </c>
      <c r="F32" s="9" t="n">
        <v>23400</v>
      </c>
      <c r="H32" s="0" t="s">
        <v>341</v>
      </c>
    </row>
    <row collapsed="false" customFormat="false" customHeight="false" hidden="false" ht="15" outlineLevel="0" r="33">
      <c r="A33" s="0" t="s">
        <v>70</v>
      </c>
      <c r="B33" s="0" t="s">
        <v>344</v>
      </c>
      <c r="C33" s="19" t="n">
        <v>279</v>
      </c>
      <c r="D33" s="19" t="n">
        <v>266</v>
      </c>
      <c r="E33" s="0" t="s">
        <v>145</v>
      </c>
      <c r="F33" s="9" t="n">
        <v>17400</v>
      </c>
      <c r="H33" s="0" t="s">
        <v>341</v>
      </c>
    </row>
    <row collapsed="false" customFormat="false" customHeight="false" hidden="false" ht="15" outlineLevel="0" r="34">
      <c r="A34" s="0" t="s">
        <v>40</v>
      </c>
      <c r="B34" s="0" t="s">
        <v>345</v>
      </c>
      <c r="C34" s="19" t="n">
        <v>324</v>
      </c>
      <c r="D34" s="19" t="n">
        <v>309</v>
      </c>
      <c r="E34" s="0" t="s">
        <v>82</v>
      </c>
      <c r="F34" s="9" t="n">
        <v>28400</v>
      </c>
      <c r="H34" s="0" t="s">
        <v>336</v>
      </c>
    </row>
    <row collapsed="false" customFormat="false" customHeight="false" hidden="false" ht="15" outlineLevel="0" r="38">
      <c r="A38" s="0" t="s">
        <v>346</v>
      </c>
    </row>
    <row collapsed="false" customFormat="false" customHeight="false" hidden="false" ht="15" outlineLevel="0" r="39">
      <c r="A39" s="7" t="s">
        <v>9</v>
      </c>
      <c r="B39" s="10" t="s">
        <v>8</v>
      </c>
      <c r="C39" s="7" t="s">
        <v>6</v>
      </c>
      <c r="D39" s="17" t="s">
        <v>4</v>
      </c>
      <c r="E39" s="18" t="s">
        <v>5</v>
      </c>
      <c r="F39" s="18" t="s">
        <v>17</v>
      </c>
      <c r="G39" s="20" t="s">
        <v>327</v>
      </c>
      <c r="H39" s="20" t="s">
        <v>328</v>
      </c>
    </row>
    <row collapsed="false" customFormat="false" customHeight="false" hidden="false" ht="15" outlineLevel="0" r="40">
      <c r="A40" s="18" t="s">
        <v>30</v>
      </c>
      <c r="B40" s="18" t="s">
        <v>347</v>
      </c>
      <c r="C40" s="17" t="n">
        <v>26</v>
      </c>
      <c r="D40" s="17" t="n">
        <v>26</v>
      </c>
      <c r="E40" s="18" t="s">
        <v>29</v>
      </c>
      <c r="F40" s="9" t="n">
        <v>58400</v>
      </c>
      <c r="G40" s="18"/>
      <c r="H40" s="18" t="s">
        <v>348</v>
      </c>
    </row>
    <row collapsed="false" customFormat="false" customHeight="false" hidden="false" ht="15" outlineLevel="0" r="41">
      <c r="A41" s="18" t="s">
        <v>30</v>
      </c>
      <c r="B41" s="18" t="s">
        <v>349</v>
      </c>
      <c r="C41" s="17" t="n">
        <v>30</v>
      </c>
      <c r="D41" s="17" t="n">
        <v>30</v>
      </c>
      <c r="E41" s="18" t="s">
        <v>37</v>
      </c>
      <c r="F41" s="9" t="n">
        <v>53400</v>
      </c>
      <c r="G41" s="18"/>
      <c r="H41" s="18" t="s">
        <v>350</v>
      </c>
    </row>
    <row collapsed="false" customFormat="false" customHeight="false" hidden="false" ht="15" outlineLevel="0" r="42">
      <c r="A42" s="18" t="s">
        <v>28</v>
      </c>
      <c r="B42" s="18" t="s">
        <v>351</v>
      </c>
      <c r="C42" s="17" t="n">
        <v>58</v>
      </c>
      <c r="D42" s="17" t="n">
        <v>56</v>
      </c>
      <c r="E42" s="18" t="s">
        <v>27</v>
      </c>
      <c r="F42" s="9" t="n">
        <v>59400</v>
      </c>
      <c r="G42" s="18"/>
      <c r="H42" s="18" t="n">
        <v>0</v>
      </c>
    </row>
    <row collapsed="false" customFormat="false" customHeight="false" hidden="false" ht="15" outlineLevel="0" r="43">
      <c r="A43" s="18" t="s">
        <v>42</v>
      </c>
      <c r="B43" s="18" t="s">
        <v>352</v>
      </c>
      <c r="C43" s="17" t="n">
        <v>69</v>
      </c>
      <c r="D43" s="17" t="n">
        <v>67</v>
      </c>
      <c r="E43" s="18" t="s">
        <v>41</v>
      </c>
      <c r="F43" s="9" t="n">
        <v>50400</v>
      </c>
      <c r="G43" s="18"/>
      <c r="H43" s="18" t="s">
        <v>353</v>
      </c>
    </row>
    <row collapsed="false" customFormat="false" customHeight="false" hidden="false" ht="15" outlineLevel="0" r="44">
      <c r="A44" s="18" t="s">
        <v>24</v>
      </c>
      <c r="B44" s="18" t="s">
        <v>354</v>
      </c>
      <c r="C44" s="17" t="n">
        <v>153</v>
      </c>
      <c r="D44" s="17" t="n">
        <v>144</v>
      </c>
      <c r="E44" s="18" t="s">
        <v>23</v>
      </c>
      <c r="F44" s="9" t="n">
        <v>108400</v>
      </c>
      <c r="G44" s="18"/>
      <c r="H44" s="18" t="n">
        <v>0</v>
      </c>
    </row>
    <row collapsed="false" customFormat="false" customHeight="false" hidden="false" ht="15" outlineLevel="0" r="45">
      <c r="A45" s="18" t="s">
        <v>36</v>
      </c>
      <c r="B45" s="18" t="s">
        <v>355</v>
      </c>
      <c r="C45" s="17" t="n">
        <v>157</v>
      </c>
      <c r="D45" s="17" t="n">
        <v>149</v>
      </c>
      <c r="E45" s="18" t="s">
        <v>35</v>
      </c>
      <c r="F45" s="9" t="n">
        <v>53400</v>
      </c>
      <c r="G45" s="18"/>
      <c r="H45" s="18" t="n">
        <v>0</v>
      </c>
    </row>
    <row collapsed="false" customFormat="false" customHeight="false" hidden="false" ht="15" outlineLevel="0" r="46">
      <c r="A46" s="18" t="s">
        <v>32</v>
      </c>
      <c r="B46" s="18" t="s">
        <v>356</v>
      </c>
      <c r="C46" s="17" t="n">
        <v>181</v>
      </c>
      <c r="D46" s="17" t="n">
        <v>173</v>
      </c>
      <c r="E46" s="18" t="s">
        <v>31</v>
      </c>
      <c r="F46" s="9" t="n">
        <v>57400</v>
      </c>
      <c r="G46" s="18"/>
      <c r="H46" s="18" t="n">
        <v>0</v>
      </c>
    </row>
    <row collapsed="false" customFormat="false" customHeight="false" hidden="false" ht="15" outlineLevel="0" r="47">
      <c r="A47" s="18" t="s">
        <v>26</v>
      </c>
      <c r="B47" s="18" t="n">
        <v>0</v>
      </c>
      <c r="C47" s="17" t="n">
        <v>208</v>
      </c>
      <c r="D47" s="17" t="n">
        <v>199</v>
      </c>
      <c r="E47" s="18" t="s">
        <v>25</v>
      </c>
      <c r="F47" s="9" t="n">
        <v>92400</v>
      </c>
      <c r="G47" s="18"/>
      <c r="H47" s="18" t="s">
        <v>357</v>
      </c>
    </row>
    <row collapsed="false" customFormat="false" customHeight="false" hidden="false" ht="15" outlineLevel="0" r="48">
      <c r="A48" s="18" t="s">
        <v>34</v>
      </c>
      <c r="B48" s="18" t="s">
        <v>358</v>
      </c>
      <c r="C48" s="17" t="n">
        <v>290</v>
      </c>
      <c r="D48" s="17" t="n">
        <v>278</v>
      </c>
      <c r="E48" s="18" t="s">
        <v>33</v>
      </c>
      <c r="F48" s="9" t="n">
        <v>54400</v>
      </c>
      <c r="G48" s="18"/>
      <c r="H48" s="18" t="n">
        <v>0</v>
      </c>
    </row>
    <row collapsed="false" customFormat="false" customHeight="false" hidden="false" ht="15" outlineLevel="0" r="49">
      <c r="A49" s="18" t="s">
        <v>40</v>
      </c>
      <c r="B49" s="18" t="s">
        <v>359</v>
      </c>
      <c r="C49" s="17" t="n">
        <v>311</v>
      </c>
      <c r="D49" s="17" t="n">
        <v>296</v>
      </c>
      <c r="E49" s="18" t="s">
        <v>39</v>
      </c>
      <c r="F49" s="9" t="n">
        <v>50400</v>
      </c>
      <c r="G49" s="18"/>
      <c r="H49" s="18" t="n">
        <v>0</v>
      </c>
    </row>
  </sheetData>
  <conditionalFormatting sqref="D4">
    <cfRule aboveAverage="0" bottom="0" dxfId="0" equalAverage="0" operator="lessThan" percent="0" priority="2" rank="0" text="" type="cellIs">
      <formula>0</formula>
    </cfRule>
    <cfRule aboveAverage="0" bottom="0" dxfId="1" equalAverage="0" operator="between" percent="0" priority="3" rank="0" text="" type="cellIs">
      <formula>5000</formula>
      <formula>10000</formula>
    </cfRule>
    <cfRule aboveAverage="0" bottom="0" dxfId="2" equalAverage="0" operator="greaterThan" percent="0" priority="4" rank="0" text="" type="cellIs">
      <formula>10000</formula>
    </cfRule>
  </conditionalFormatting>
  <conditionalFormatting sqref="D5">
    <cfRule aboveAverage="0" bottom="0" dxfId="0" equalAverage="0" operator="lessThan" percent="0" priority="5" rank="0" text="" type="cellIs">
      <formula>0</formula>
    </cfRule>
    <cfRule aboveAverage="0" bottom="0" dxfId="1" equalAverage="0" operator="between" percent="0" priority="6" rank="0" text="" type="cellIs">
      <formula>5000</formula>
      <formula>10000</formula>
    </cfRule>
    <cfRule aboveAverage="0" bottom="0" dxfId="2" equalAverage="0" operator="greaterThan" percent="0" priority="7" rank="0" text="" type="cellIs">
      <formula>10000</formula>
    </cfRule>
  </conditionalFormatting>
  <conditionalFormatting sqref="D6">
    <cfRule aboveAverage="0" bottom="0" dxfId="3" equalAverage="0" operator="lessThan" percent="0" priority="8" rank="0" text="" type="cellIs">
      <formula>0</formula>
    </cfRule>
    <cfRule aboveAverage="0" bottom="0" dxfId="4" equalAverage="0" operator="between" percent="0" priority="9" rank="0" text="" type="cellIs">
      <formula>5000</formula>
      <formula>10000</formula>
    </cfRule>
    <cfRule aboveAverage="0" bottom="0" dxfId="5" equalAverage="0" operator="greaterThan" percent="0" priority="10" rank="0" text="" type="cellIs">
      <formula>10000</formula>
    </cfRule>
  </conditionalFormatting>
  <conditionalFormatting sqref="D7">
    <cfRule aboveAverage="0" bottom="0" dxfId="6" equalAverage="0" operator="lessThan" percent="0" priority="11" rank="0" text="" type="cellIs">
      <formula>0</formula>
    </cfRule>
    <cfRule aboveAverage="0" bottom="0" dxfId="7" equalAverage="0" operator="between" percent="0" priority="12" rank="0" text="" type="cellIs">
      <formula>5000</formula>
      <formula>10000</formula>
    </cfRule>
    <cfRule aboveAverage="0" bottom="0" dxfId="8" equalAverage="0" operator="greaterThan" percent="0" priority="13" rank="0" text="" type="cellIs">
      <formula>10000</formula>
    </cfRule>
  </conditionalFormatting>
  <conditionalFormatting sqref="D8">
    <cfRule aboveAverage="0" bottom="0" dxfId="9" equalAverage="0" operator="lessThan" percent="0" priority="14" rank="0" text="" type="cellIs">
      <formula>0</formula>
    </cfRule>
    <cfRule aboveAverage="0" bottom="0" dxfId="10" equalAverage="0" operator="between" percent="0" priority="15" rank="0" text="" type="cellIs">
      <formula>5000</formula>
      <formula>10000</formula>
    </cfRule>
    <cfRule aboveAverage="0" bottom="0" dxfId="11" equalAverage="0" operator="greaterThan" percent="0" priority="16" rank="0" text="" type="cellIs">
      <formula>10000</formula>
    </cfRule>
  </conditionalFormatting>
  <conditionalFormatting sqref="D9">
    <cfRule aboveAverage="0" bottom="0" dxfId="12" equalAverage="0" operator="lessThan" percent="0" priority="17" rank="0" text="" type="cellIs">
      <formula>0</formula>
    </cfRule>
    <cfRule aboveAverage="0" bottom="0" dxfId="13" equalAverage="0" operator="between" percent="0" priority="18" rank="0" text="" type="cellIs">
      <formula>5000</formula>
      <formula>10000</formula>
    </cfRule>
    <cfRule aboveAverage="0" bottom="0" dxfId="14" equalAverage="0" operator="greaterThan" percent="0" priority="19" rank="0" text="" type="cellIs">
      <formula>10000</formula>
    </cfRule>
  </conditionalFormatting>
  <conditionalFormatting sqref="D10">
    <cfRule aboveAverage="0" bottom="0" dxfId="15" equalAverage="0" operator="lessThan" percent="0" priority="20" rank="0" text="" type="cellIs">
      <formula>0</formula>
    </cfRule>
    <cfRule aboveAverage="0" bottom="0" dxfId="16" equalAverage="0" operator="between" percent="0" priority="21" rank="0" text="" type="cellIs">
      <formula>5000</formula>
      <formula>10000</formula>
    </cfRule>
    <cfRule aboveAverage="0" bottom="0" dxfId="17" equalAverage="0" operator="greaterThan" percent="0" priority="22" rank="0" text="" type="cellIs">
      <formula>10000</formula>
    </cfRule>
  </conditionalFormatting>
  <conditionalFormatting sqref="D11">
    <cfRule aboveAverage="0" bottom="0" dxfId="18" equalAverage="0" operator="lessThan" percent="0" priority="23" rank="0" text="" type="cellIs">
      <formula>0</formula>
    </cfRule>
    <cfRule aboveAverage="0" bottom="0" dxfId="19" equalAverage="0" operator="between" percent="0" priority="24" rank="0" text="" type="cellIs">
      <formula>5000</formula>
      <formula>10000</formula>
    </cfRule>
    <cfRule aboveAverage="0" bottom="0" dxfId="20" equalAverage="0" operator="greaterThan" percent="0" priority="25" rank="0" text="" type="cellIs">
      <formula>10000</formula>
    </cfRule>
  </conditionalFormatting>
  <conditionalFormatting sqref="D12:D13">
    <cfRule aboveAverage="0" bottom="0" dxfId="21" equalAverage="0" operator="lessThan" percent="0" priority="26" rank="0" text="" type="cellIs">
      <formula>0</formula>
    </cfRule>
    <cfRule aboveAverage="0" bottom="0" dxfId="22" equalAverage="0" operator="between" percent="0" priority="27" rank="0" text="" type="cellIs">
      <formula>5000</formula>
      <formula>10000</formula>
    </cfRule>
    <cfRule aboveAverage="0" bottom="0" dxfId="23" equalAverage="0" operator="greaterThan" percent="0" priority="28" rank="0" text="" type="cellIs">
      <formula>10000</formula>
    </cfRule>
  </conditionalFormatting>
  <conditionalFormatting sqref="D14">
    <cfRule aboveAverage="0" bottom="0" dxfId="24" equalAverage="0" operator="lessThan" percent="0" priority="29" rank="0" text="" type="cellIs">
      <formula>0</formula>
    </cfRule>
    <cfRule aboveAverage="0" bottom="0" dxfId="25" equalAverage="0" operator="between" percent="0" priority="30" rank="0" text="" type="cellIs">
      <formula>5000</formula>
      <formula>10000</formula>
    </cfRule>
    <cfRule aboveAverage="0" bottom="0" dxfId="26" equalAverage="0" operator="greaterThan" percent="0" priority="31" rank="0" text="" type="cellIs">
      <formula>10000</formula>
    </cfRule>
  </conditionalFormatting>
  <conditionalFormatting sqref="D15">
    <cfRule aboveAverage="0" bottom="0" dxfId="27" equalAverage="0" operator="lessThan" percent="0" priority="32" rank="0" text="" type="cellIs">
      <formula>0</formula>
    </cfRule>
    <cfRule aboveAverage="0" bottom="0" dxfId="28" equalAverage="0" operator="between" percent="0" priority="33" rank="0" text="" type="cellIs">
      <formula>5000</formula>
      <formula>10000</formula>
    </cfRule>
    <cfRule aboveAverage="0" bottom="0" dxfId="29" equalAverage="0" operator="greaterThan" percent="0" priority="34" rank="0" text="" type="cellIs">
      <formula>10000</formula>
    </cfRule>
  </conditionalFormatting>
  <conditionalFormatting sqref="D16">
    <cfRule aboveAverage="0" bottom="0" dxfId="30" equalAverage="0" operator="lessThan" percent="0" priority="35" rank="0" text="" type="cellIs">
      <formula>0</formula>
    </cfRule>
    <cfRule aboveAverage="0" bottom="0" dxfId="31" equalAverage="0" operator="between" percent="0" priority="36" rank="0" text="" type="cellIs">
      <formula>5000</formula>
      <formula>10000</formula>
    </cfRule>
    <cfRule aboveAverage="0" bottom="0" dxfId="32" equalAverage="0" operator="greaterThan" percent="0" priority="37" rank="0" text="" type="cellIs">
      <formula>10000</formula>
    </cfRule>
  </conditionalFormatting>
  <conditionalFormatting sqref="D17">
    <cfRule aboveAverage="0" bottom="0" dxfId="33" equalAverage="0" operator="lessThan" percent="0" priority="38" rank="0" text="" type="cellIs">
      <formula>0</formula>
    </cfRule>
    <cfRule aboveAverage="0" bottom="0" dxfId="34" equalAverage="0" operator="between" percent="0" priority="39" rank="0" text="" type="cellIs">
      <formula>5000</formula>
      <formula>10000</formula>
    </cfRule>
    <cfRule aboveAverage="0" bottom="0" dxfId="35" equalAverage="0" operator="greaterThan" percent="0" priority="40" rank="0" text="" type="cellIs">
      <formula>10000</formula>
    </cfRule>
  </conditionalFormatting>
  <conditionalFormatting sqref="D18">
    <cfRule aboveAverage="0" bottom="0" dxfId="36" equalAverage="0" operator="lessThan" percent="0" priority="41" rank="0" text="" type="cellIs">
      <formula>0</formula>
    </cfRule>
    <cfRule aboveAverage="0" bottom="0" dxfId="37" equalAverage="0" operator="between" percent="0" priority="42" rank="0" text="" type="cellIs">
      <formula>5000</formula>
      <formula>10000</formula>
    </cfRule>
    <cfRule aboveAverage="0" bottom="0" dxfId="38" equalAverage="0" operator="greaterThan" percent="0" priority="43" rank="0" text="" type="cellIs">
      <formula>10000</formula>
    </cfRule>
  </conditionalFormatting>
  <conditionalFormatting sqref="F23">
    <cfRule aboveAverage="0" bottom="0" dxfId="39" equalAverage="0" operator="lessThan" percent="0" priority="44" rank="0" text="" type="cellIs">
      <formula>0</formula>
    </cfRule>
    <cfRule aboveAverage="0" bottom="0" dxfId="40" equalAverage="0" operator="between" percent="0" priority="45" rank="0" text="" type="cellIs">
      <formula>5000</formula>
      <formula>10000</formula>
    </cfRule>
    <cfRule aboveAverage="0" bottom="0" dxfId="41" equalAverage="0" operator="greaterThan" percent="0" priority="46" rank="0" text="" type="cellIs">
      <formula>10000</formula>
    </cfRule>
  </conditionalFormatting>
  <conditionalFormatting sqref="F24">
    <cfRule aboveAverage="0" bottom="0" dxfId="42" equalAverage="0" operator="lessThan" percent="0" priority="47" rank="0" text="" type="cellIs">
      <formula>0</formula>
    </cfRule>
    <cfRule aboveAverage="0" bottom="0" dxfId="43" equalAverage="0" operator="between" percent="0" priority="48" rank="0" text="" type="cellIs">
      <formula>5000</formula>
      <formula>10000</formula>
    </cfRule>
    <cfRule aboveAverage="0" bottom="0" dxfId="44" equalAverage="0" operator="greaterThan" percent="0" priority="49" rank="0" text="" type="cellIs">
      <formula>10000</formula>
    </cfRule>
  </conditionalFormatting>
  <conditionalFormatting sqref="F25:F26">
    <cfRule aboveAverage="0" bottom="0" dxfId="45" equalAverage="0" operator="lessThan" percent="0" priority="50" rank="0" text="" type="cellIs">
      <formula>0</formula>
    </cfRule>
    <cfRule aboveAverage="0" bottom="0" dxfId="46" equalAverage="0" operator="between" percent="0" priority="51" rank="0" text="" type="cellIs">
      <formula>5000</formula>
      <formula>10000</formula>
    </cfRule>
    <cfRule aboveAverage="0" bottom="0" dxfId="47" equalAverage="0" operator="greaterThan" percent="0" priority="52" rank="0" text="" type="cellIs">
      <formula>10000</formula>
    </cfRule>
  </conditionalFormatting>
  <conditionalFormatting sqref="F27">
    <cfRule aboveAverage="0" bottom="0" dxfId="48" equalAverage="0" operator="lessThan" percent="0" priority="53" rank="0" text="" type="cellIs">
      <formula>0</formula>
    </cfRule>
    <cfRule aboveAverage="0" bottom="0" dxfId="49" equalAverage="0" operator="between" percent="0" priority="54" rank="0" text="" type="cellIs">
      <formula>5000</formula>
      <formula>10000</formula>
    </cfRule>
    <cfRule aboveAverage="0" bottom="0" dxfId="50" equalAverage="0" operator="greaterThan" percent="0" priority="55" rank="0" text="" type="cellIs">
      <formula>10000</formula>
    </cfRule>
  </conditionalFormatting>
  <conditionalFormatting sqref="F28:F29">
    <cfRule aboveAverage="0" bottom="0" dxfId="51" equalAverage="0" operator="lessThan" percent="0" priority="56" rank="0" text="" type="cellIs">
      <formula>0</formula>
    </cfRule>
    <cfRule aboveAverage="0" bottom="0" dxfId="52" equalAverage="0" operator="between" percent="0" priority="57" rank="0" text="" type="cellIs">
      <formula>5000</formula>
      <formula>10000</formula>
    </cfRule>
    <cfRule aboveAverage="0" bottom="0" dxfId="53" equalAverage="0" operator="greaterThan" percent="0" priority="58" rank="0" text="" type="cellIs">
      <formula>10000</formula>
    </cfRule>
  </conditionalFormatting>
  <conditionalFormatting sqref="F30">
    <cfRule aboveAverage="0" bottom="0" dxfId="54" equalAverage="0" operator="lessThan" percent="0" priority="59" rank="0" text="" type="cellIs">
      <formula>0</formula>
    </cfRule>
    <cfRule aboveAverage="0" bottom="0" dxfId="55" equalAverage="0" operator="between" percent="0" priority="60" rank="0" text="" type="cellIs">
      <formula>5000</formula>
      <formula>10000</formula>
    </cfRule>
    <cfRule aboveAverage="0" bottom="0" dxfId="56" equalAverage="0" operator="greaterThan" percent="0" priority="61" rank="0" text="" type="cellIs">
      <formula>10000</formula>
    </cfRule>
  </conditionalFormatting>
  <conditionalFormatting sqref="F31">
    <cfRule aboveAverage="0" bottom="0" dxfId="57" equalAverage="0" operator="lessThan" percent="0" priority="62" rank="0" text="" type="cellIs">
      <formula>0</formula>
    </cfRule>
    <cfRule aboveAverage="0" bottom="0" dxfId="58" equalAverage="0" operator="between" percent="0" priority="63" rank="0" text="" type="cellIs">
      <formula>5000</formula>
      <formula>10000</formula>
    </cfRule>
    <cfRule aboveAverage="0" bottom="0" dxfId="59" equalAverage="0" operator="greaterThan" percent="0" priority="64" rank="0" text="" type="cellIs">
      <formula>10000</formula>
    </cfRule>
  </conditionalFormatting>
  <conditionalFormatting sqref="F32:F33">
    <cfRule aboveAverage="0" bottom="0" dxfId="60" equalAverage="0" operator="lessThan" percent="0" priority="65" rank="0" text="" type="cellIs">
      <formula>0</formula>
    </cfRule>
    <cfRule aboveAverage="0" bottom="0" dxfId="61" equalAverage="0" operator="between" percent="0" priority="66" rank="0" text="" type="cellIs">
      <formula>5000</formula>
      <formula>10000</formula>
    </cfRule>
    <cfRule aboveAverage="0" bottom="0" dxfId="62" equalAverage="0" operator="greaterThan" percent="0" priority="67" rank="0" text="" type="cellIs">
      <formula>10000</formula>
    </cfRule>
  </conditionalFormatting>
  <conditionalFormatting sqref="F34">
    <cfRule aboveAverage="0" bottom="0" dxfId="63" equalAverage="0" operator="lessThan" percent="0" priority="68" rank="0" text="" type="cellIs">
      <formula>0</formula>
    </cfRule>
    <cfRule aboveAverage="0" bottom="0" dxfId="64" equalAverage="0" operator="between" percent="0" priority="69" rank="0" text="" type="cellIs">
      <formula>5000</formula>
      <formula>10000</formula>
    </cfRule>
    <cfRule aboveAverage="0" bottom="0" dxfId="65" equalAverage="0" operator="greaterThan" percent="0" priority="70" rank="0" text="" type="cellIs">
      <formula>10000</formula>
    </cfRule>
  </conditionalFormatting>
  <conditionalFormatting sqref="F40">
    <cfRule aboveAverage="0" bottom="0" dxfId="66" equalAverage="0" operator="lessThan" percent="0" priority="71" rank="0" text="" type="cellIs">
      <formula>0</formula>
    </cfRule>
    <cfRule aboveAverage="0" bottom="0" dxfId="67" equalAverage="0" operator="between" percent="0" priority="72" rank="0" text="" type="cellIs">
      <formula>5000</formula>
      <formula>10000</formula>
    </cfRule>
    <cfRule aboveAverage="0" bottom="0" dxfId="68" equalAverage="0" operator="greaterThan" percent="0" priority="73" rank="0" text="" type="cellIs">
      <formula>10000</formula>
    </cfRule>
  </conditionalFormatting>
  <conditionalFormatting sqref="F41">
    <cfRule aboveAverage="0" bottom="0" dxfId="69" equalAverage="0" operator="lessThan" percent="0" priority="74" rank="0" text="" type="cellIs">
      <formula>0</formula>
    </cfRule>
    <cfRule aboveAverage="0" bottom="0" dxfId="70" equalAverage="0" operator="between" percent="0" priority="75" rank="0" text="" type="cellIs">
      <formula>5000</formula>
      <formula>10000</formula>
    </cfRule>
    <cfRule aboveAverage="0" bottom="0" dxfId="71" equalAverage="0" operator="greaterThan" percent="0" priority="76" rank="0" text="" type="cellIs">
      <formula>10000</formula>
    </cfRule>
  </conditionalFormatting>
  <conditionalFormatting sqref="F42">
    <cfRule aboveAverage="0" bottom="0" dxfId="72" equalAverage="0" operator="lessThan" percent="0" priority="77" rank="0" text="" type="cellIs">
      <formula>0</formula>
    </cfRule>
    <cfRule aboveAverage="0" bottom="0" dxfId="73" equalAverage="0" operator="between" percent="0" priority="78" rank="0" text="" type="cellIs">
      <formula>5000</formula>
      <formula>10000</formula>
    </cfRule>
    <cfRule aboveAverage="0" bottom="0" dxfId="74" equalAverage="0" operator="greaterThan" percent="0" priority="79" rank="0" text="" type="cellIs">
      <formula>10000</formula>
    </cfRule>
  </conditionalFormatting>
  <conditionalFormatting sqref="F43">
    <cfRule aboveAverage="0" bottom="0" dxfId="75" equalAverage="0" operator="lessThan" percent="0" priority="80" rank="0" text="" type="cellIs">
      <formula>0</formula>
    </cfRule>
    <cfRule aboveAverage="0" bottom="0" dxfId="76" equalAverage="0" operator="between" percent="0" priority="81" rank="0" text="" type="cellIs">
      <formula>5000</formula>
      <formula>10000</formula>
    </cfRule>
    <cfRule aboveAverage="0" bottom="0" dxfId="77" equalAverage="0" operator="greaterThan" percent="0" priority="82" rank="0" text="" type="cellIs">
      <formula>10000</formula>
    </cfRule>
  </conditionalFormatting>
  <conditionalFormatting sqref="F44">
    <cfRule aboveAverage="0" bottom="0" dxfId="78" equalAverage="0" operator="lessThan" percent="0" priority="83" rank="0" text="" type="cellIs">
      <formula>0</formula>
    </cfRule>
    <cfRule aboveAverage="0" bottom="0" dxfId="79" equalAverage="0" operator="between" percent="0" priority="84" rank="0" text="" type="cellIs">
      <formula>5000</formula>
      <formula>10000</formula>
    </cfRule>
    <cfRule aboveAverage="0" bottom="0" dxfId="80" equalAverage="0" operator="greaterThan" percent="0" priority="85" rank="0" text="" type="cellIs">
      <formula>10000</formula>
    </cfRule>
  </conditionalFormatting>
  <conditionalFormatting sqref="F45">
    <cfRule aboveAverage="0" bottom="0" dxfId="81" equalAverage="0" operator="lessThan" percent="0" priority="86" rank="0" text="" type="cellIs">
      <formula>0</formula>
    </cfRule>
    <cfRule aboveAverage="0" bottom="0" dxfId="82" equalAverage="0" operator="between" percent="0" priority="87" rank="0" text="" type="cellIs">
      <formula>5000</formula>
      <formula>10000</formula>
    </cfRule>
    <cfRule aboveAverage="0" bottom="0" dxfId="83" equalAverage="0" operator="greaterThan" percent="0" priority="88" rank="0" text="" type="cellIs">
      <formula>10000</formula>
    </cfRule>
  </conditionalFormatting>
  <conditionalFormatting sqref="F46">
    <cfRule aboveAverage="0" bottom="0" dxfId="84" equalAverage="0" operator="lessThan" percent="0" priority="89" rank="0" text="" type="cellIs">
      <formula>0</formula>
    </cfRule>
    <cfRule aboveAverage="0" bottom="0" dxfId="85" equalAverage="0" operator="between" percent="0" priority="90" rank="0" text="" type="cellIs">
      <formula>5000</formula>
      <formula>10000</formula>
    </cfRule>
    <cfRule aboveAverage="0" bottom="0" dxfId="86" equalAverage="0" operator="greaterThan" percent="0" priority="91" rank="0" text="" type="cellIs">
      <formula>10000</formula>
    </cfRule>
  </conditionalFormatting>
  <conditionalFormatting sqref="F47">
    <cfRule aboveAverage="0" bottom="0" dxfId="87" equalAverage="0" operator="lessThan" percent="0" priority="92" rank="0" text="" type="cellIs">
      <formula>0</formula>
    </cfRule>
    <cfRule aboveAverage="0" bottom="0" dxfId="88" equalAverage="0" operator="between" percent="0" priority="93" rank="0" text="" type="cellIs">
      <formula>5000</formula>
      <formula>10000</formula>
    </cfRule>
    <cfRule aboveAverage="0" bottom="0" dxfId="89" equalAverage="0" operator="greaterThan" percent="0" priority="94" rank="0" text="" type="cellIs">
      <formula>10000</formula>
    </cfRule>
  </conditionalFormatting>
  <conditionalFormatting sqref="F48">
    <cfRule aboveAverage="0" bottom="0" dxfId="90" equalAverage="0" operator="lessThan" percent="0" priority="95" rank="0" text="" type="cellIs">
      <formula>0</formula>
    </cfRule>
    <cfRule aboveAverage="0" bottom="0" dxfId="91" equalAverage="0" operator="between" percent="0" priority="96" rank="0" text="" type="cellIs">
      <formula>5000</formula>
      <formula>10000</formula>
    </cfRule>
    <cfRule aboveAverage="0" bottom="0" dxfId="92" equalAverage="0" operator="greaterThan" percent="0" priority="97" rank="0" text="" type="cellIs">
      <formula>10000</formula>
    </cfRule>
  </conditionalFormatting>
  <conditionalFormatting sqref="F49">
    <cfRule aboveAverage="0" bottom="0" dxfId="93" equalAverage="0" operator="lessThan" percent="0" priority="98" rank="0" text="" type="cellIs">
      <formula>0</formula>
    </cfRule>
    <cfRule aboveAverage="0" bottom="0" dxfId="94" equalAverage="0" operator="between" percent="0" priority="99" rank="0" text="" type="cellIs">
      <formula>5000</formula>
      <formula>10000</formula>
    </cfRule>
    <cfRule aboveAverage="0" bottom="0" dxfId="95" equalAverage="0" operator="greaterThan" percent="0" priority="100" rank="0" text="" type="cellIs">
      <formula>10000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true">
    <pageSetUpPr fitToPage="false"/>
  </sheetPr>
  <dimension ref="A1:Z327"/>
  <sheetViews>
    <sheetView colorId="64" defaultGridColor="true" rightToLeft="false" showFormulas="false" showGridLines="true" showOutlineSymbols="true" showRowColHeaders="true" showZeros="true" tabSelected="false" topLeftCell="A1" view="normal" windowProtection="true" workbookViewId="0" zoomScale="100" zoomScaleNormal="100" zoomScalePageLayoutView="100">
      <pane activePane="bottomRight" state="frozen" topLeftCell="M54" xSplit="5" ySplit="4"/>
      <selection activeCell="A1" activeCellId="0" pane="topLeft" sqref="A1"/>
      <selection activeCell="M1" activeCellId="0" pane="topRight" sqref="M1"/>
      <selection activeCell="A54" activeCellId="0" pane="bottomLeft" sqref="A54"/>
      <selection activeCell="X328" activeCellId="0" pane="bottomRight" sqref="X328"/>
    </sheetView>
  </sheetViews>
  <sheetFormatPr defaultRowHeight="15"/>
  <cols>
    <col collapsed="false" hidden="false" max="1" min="1" style="0" width="8.72959183673469"/>
    <col collapsed="false" hidden="false" max="2" min="2" style="0" width="16.8571428571429"/>
    <col collapsed="false" hidden="false" max="3" min="3" style="0" width="15.1479591836735"/>
    <col collapsed="false" hidden="false" max="4" min="4" style="0" width="37.5714285714286"/>
    <col collapsed="false" hidden="false" max="5" min="5" style="0" width="20.5714285714286"/>
    <col collapsed="false" hidden="false" max="6" min="6" style="0" width="18.1428571428571"/>
    <col collapsed="false" hidden="false" max="7" min="7" style="0" width="15.5714285714286"/>
    <col collapsed="false" hidden="false" max="8" min="8" style="0" width="13.4285714285714"/>
    <col collapsed="false" hidden="false" max="9" min="9" style="0" width="19.5714285714286"/>
    <col collapsed="false" hidden="false" max="10" min="10" style="0" width="22.0051020408163"/>
    <col collapsed="false" hidden="false" max="11" min="11" style="0" width="12.8622448979592"/>
    <col collapsed="false" hidden="false" max="25" min="12" style="0" width="13.8571428571429"/>
    <col collapsed="false" hidden="false" max="26" min="26" style="0" width="11.7091836734694"/>
    <col collapsed="false" hidden="false" max="1025" min="27" style="0" width="8.72959183673469"/>
  </cols>
  <sheetData>
    <row collapsed="false" customFormat="false" customHeight="false" hidden="false" ht="15" outlineLevel="0" r="1">
      <c r="C1" s="22" t="s">
        <v>360</v>
      </c>
      <c r="D1" s="22"/>
      <c r="E1" s="22"/>
      <c r="F1" s="22"/>
      <c r="G1" s="22"/>
      <c r="H1" s="23"/>
      <c r="I1" s="22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</row>
    <row collapsed="false" customFormat="false" customHeight="false" hidden="false" ht="15" outlineLevel="0" r="2">
      <c r="C2" s="22" t="s">
        <v>361</v>
      </c>
      <c r="D2" s="22"/>
      <c r="E2" s="22"/>
      <c r="F2" s="22"/>
      <c r="G2" s="22"/>
      <c r="H2" s="23"/>
      <c r="I2" s="22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</row>
    <row collapsed="false" customFormat="false" customHeight="true" hidden="false" ht="15" outlineLevel="0" r="3">
      <c r="C3" s="24" t="s">
        <v>362</v>
      </c>
      <c r="D3" s="24" t="s">
        <v>5</v>
      </c>
      <c r="E3" s="24" t="s">
        <v>363</v>
      </c>
      <c r="F3" s="24"/>
      <c r="G3" s="24"/>
      <c r="H3" s="25" t="s">
        <v>364</v>
      </c>
      <c r="I3" s="25"/>
      <c r="J3" s="25"/>
      <c r="K3" s="25"/>
      <c r="L3" s="25"/>
      <c r="M3" s="8" t="n">
        <f aca="false">COUNTA(M5:M326)</f>
        <v>291</v>
      </c>
      <c r="N3" s="8" t="n">
        <f aca="false">COUNTA(N5:N326)</f>
        <v>291</v>
      </c>
      <c r="O3" s="8" t="n">
        <f aca="false">COUNTA(O5:O326)</f>
        <v>291</v>
      </c>
      <c r="P3" s="8" t="n">
        <f aca="false">COUNTA(P5:P326)</f>
        <v>291</v>
      </c>
      <c r="Q3" s="8" t="n">
        <f aca="false">COUNTA(Q5:Q326)</f>
        <v>291</v>
      </c>
      <c r="R3" s="8" t="n">
        <f aca="false">COUNTA(R5:R326)</f>
        <v>291</v>
      </c>
      <c r="S3" s="8" t="n">
        <f aca="false">COUNTA(S5:S326)</f>
        <v>291</v>
      </c>
      <c r="T3" s="8" t="n">
        <f aca="false">COUNTA(T5:T326)</f>
        <v>291</v>
      </c>
      <c r="U3" s="8" t="n">
        <f aca="false">COUNTA(U5:U326)</f>
        <v>291</v>
      </c>
      <c r="V3" s="8" t="n">
        <f aca="false">COUNTA(V5:V326)</f>
        <v>291</v>
      </c>
      <c r="W3" s="8" t="n">
        <f aca="false">COUNTA(W5:W326)</f>
        <v>291</v>
      </c>
      <c r="X3" s="8" t="n">
        <f aca="false">COUNTA(X5:X326)</f>
        <v>291</v>
      </c>
    </row>
    <row collapsed="false" customFormat="false" customHeight="false" hidden="false" ht="76.5" outlineLevel="0" r="4">
      <c r="A4" s="17" t="s">
        <v>4</v>
      </c>
      <c r="B4" s="18" t="s">
        <v>365</v>
      </c>
      <c r="C4" s="24"/>
      <c r="D4" s="24"/>
      <c r="E4" s="24"/>
      <c r="F4" s="24" t="s">
        <v>366</v>
      </c>
      <c r="G4" s="24" t="s">
        <v>367</v>
      </c>
      <c r="H4" s="24" t="s">
        <v>368</v>
      </c>
      <c r="I4" s="24" t="s">
        <v>369</v>
      </c>
      <c r="J4" s="26" t="s">
        <v>370</v>
      </c>
      <c r="K4" s="26" t="s">
        <v>371</v>
      </c>
      <c r="L4" s="27" t="s">
        <v>372</v>
      </c>
      <c r="M4" s="28" t="n">
        <v>42370</v>
      </c>
      <c r="N4" s="28" t="n">
        <v>42401</v>
      </c>
      <c r="O4" s="28" t="n">
        <v>42430</v>
      </c>
      <c r="P4" s="28" t="n">
        <v>42461</v>
      </c>
      <c r="Q4" s="28" t="n">
        <v>42491</v>
      </c>
      <c r="R4" s="28" t="n">
        <v>42522</v>
      </c>
      <c r="S4" s="28" t="n">
        <v>42552</v>
      </c>
      <c r="T4" s="28" t="n">
        <v>42583</v>
      </c>
      <c r="U4" s="28" t="n">
        <v>42614</v>
      </c>
      <c r="V4" s="28" t="n">
        <v>42644</v>
      </c>
      <c r="W4" s="28" t="n">
        <v>42675</v>
      </c>
      <c r="X4" s="28" t="n">
        <v>42705</v>
      </c>
      <c r="Y4" s="27" t="s">
        <v>373</v>
      </c>
      <c r="Z4" s="27" t="s">
        <v>374</v>
      </c>
    </row>
    <row collapsed="false" customFormat="false" customHeight="false" hidden="true" ht="15" outlineLevel="0" r="5">
      <c r="A5" s="19" t="n">
        <f aca="false">VLOOKUP(B5,справочник!$B$2:$E$322,4,0)</f>
        <v>79</v>
      </c>
      <c r="B5" s="0" t="str">
        <f aca="false">CONCATENATE(C5,D5)</f>
        <v>84Абу Махади Мохаммед Ибрагим</v>
      </c>
      <c r="C5" s="24" t="n">
        <v>84</v>
      </c>
      <c r="D5" s="29" t="s">
        <v>55</v>
      </c>
      <c r="E5" s="24" t="s">
        <v>375</v>
      </c>
      <c r="F5" s="30" t="n">
        <v>40716</v>
      </c>
      <c r="G5" s="30" t="n">
        <v>40725</v>
      </c>
      <c r="H5" s="31" t="n">
        <f aca="false">INT(($H$327-G5)/30)</f>
        <v>54</v>
      </c>
      <c r="I5" s="24" t="n">
        <f aca="false">H5*1000</f>
        <v>54000</v>
      </c>
      <c r="J5" s="31" t="n">
        <f aca="false">49000+1000</f>
        <v>50000</v>
      </c>
      <c r="K5" s="31"/>
      <c r="L5" s="32" t="n">
        <f aca="false">I5-J5-K5</f>
        <v>4000</v>
      </c>
      <c r="M5" s="33" t="n">
        <v>800</v>
      </c>
      <c r="N5" s="33" t="n">
        <v>800</v>
      </c>
      <c r="O5" s="33" t="n">
        <v>800</v>
      </c>
      <c r="P5" s="33" t="n">
        <v>800</v>
      </c>
      <c r="Q5" s="33" t="n">
        <v>800</v>
      </c>
      <c r="R5" s="33" t="n">
        <v>800</v>
      </c>
      <c r="S5" s="33" t="n">
        <v>800</v>
      </c>
      <c r="T5" s="33" t="n">
        <v>800</v>
      </c>
      <c r="U5" s="33" t="n">
        <v>800</v>
      </c>
      <c r="V5" s="33" t="n">
        <v>800</v>
      </c>
      <c r="W5" s="33" t="n">
        <v>800</v>
      </c>
      <c r="X5" s="33" t="n">
        <v>800</v>
      </c>
      <c r="Y5" s="32" t="n">
        <f aca="false">SUM(L5:X5)</f>
        <v>13600</v>
      </c>
      <c r="Z5" s="8" t="n">
        <f aca="false">VLOOKUP(A5,справочник!$E$2:$F$322,2,0)</f>
        <v>0</v>
      </c>
    </row>
    <row collapsed="false" customFormat="false" customHeight="false" hidden="true" ht="15" outlineLevel="0" r="6">
      <c r="A6" s="19" t="n">
        <f aca="false">VLOOKUP(B6,справочник!$B$2:$E$322,4,0)</f>
        <v>35</v>
      </c>
      <c r="B6" s="0" t="e">
        <f aca="false">CONCATENATE(C6;D6)</f>
        <v>#VALUE!</v>
      </c>
      <c r="C6" s="24" t="n">
        <v>35</v>
      </c>
      <c r="D6" s="29" t="s">
        <v>115</v>
      </c>
      <c r="E6" s="24" t="s">
        <v>376</v>
      </c>
      <c r="F6" s="30" t="n">
        <v>40970</v>
      </c>
      <c r="G6" s="30" t="n">
        <v>40969</v>
      </c>
      <c r="H6" s="31" t="n">
        <f aca="false">INT(($H$327-G6)/30)</f>
        <v>46</v>
      </c>
      <c r="I6" s="24" t="n">
        <f aca="false">H6*1000</f>
        <v>46000</v>
      </c>
      <c r="J6" s="31" t="n">
        <v>30000</v>
      </c>
      <c r="K6" s="31"/>
      <c r="L6" s="32" t="n">
        <f aca="false">I6-J6-K6</f>
        <v>16000</v>
      </c>
      <c r="M6" s="33" t="n">
        <v>800</v>
      </c>
      <c r="N6" s="33" t="n">
        <v>800</v>
      </c>
      <c r="O6" s="33" t="n">
        <v>800</v>
      </c>
      <c r="P6" s="33" t="n">
        <v>800</v>
      </c>
      <c r="Q6" s="33" t="n">
        <v>800</v>
      </c>
      <c r="R6" s="33" t="n">
        <v>800</v>
      </c>
      <c r="S6" s="33" t="n">
        <v>800</v>
      </c>
      <c r="T6" s="33" t="n">
        <v>800</v>
      </c>
      <c r="U6" s="33" t="n">
        <v>800</v>
      </c>
      <c r="V6" s="33" t="n">
        <v>800</v>
      </c>
      <c r="W6" s="33" t="n">
        <v>800</v>
      </c>
      <c r="X6" s="33" t="n">
        <v>800</v>
      </c>
      <c r="Y6" s="32" t="n">
        <f aca="false">SUM(L6:X6)</f>
        <v>25600</v>
      </c>
      <c r="Z6" s="8" t="n">
        <f aca="false">VLOOKUP(A6,справочник!$E$2:$F$322,2,0)</f>
        <v>0</v>
      </c>
    </row>
    <row collapsed="false" customFormat="false" customHeight="false" hidden="true" ht="15" outlineLevel="0" r="7">
      <c r="A7" s="19" t="n">
        <f aca="false">VLOOKUP(B7,справочник!$B$2:$E$322,4,0)</f>
        <v>260</v>
      </c>
      <c r="B7" s="0" t="e">
        <f aca="false">CONCATENATE(C7;D7)</f>
        <v>#VALUE!</v>
      </c>
      <c r="C7" s="24" t="n">
        <v>273</v>
      </c>
      <c r="D7" s="29" t="s">
        <v>182</v>
      </c>
      <c r="E7" s="24" t="s">
        <v>377</v>
      </c>
      <c r="F7" s="30" t="n">
        <v>41540</v>
      </c>
      <c r="G7" s="30" t="n">
        <v>41548</v>
      </c>
      <c r="H7" s="31" t="n">
        <f aca="false">INT(($H$327-G7)/30)</f>
        <v>27</v>
      </c>
      <c r="I7" s="24" t="n">
        <f aca="false">H7*1000</f>
        <v>27000</v>
      </c>
      <c r="J7" s="31" t="n">
        <v>19000</v>
      </c>
      <c r="K7" s="31"/>
      <c r="L7" s="32" t="n">
        <f aca="false">I7-J7-K7</f>
        <v>8000</v>
      </c>
      <c r="M7" s="33" t="n">
        <v>800</v>
      </c>
      <c r="N7" s="33" t="n">
        <v>800</v>
      </c>
      <c r="O7" s="33" t="n">
        <v>800</v>
      </c>
      <c r="P7" s="33" t="n">
        <v>800</v>
      </c>
      <c r="Q7" s="33" t="n">
        <v>800</v>
      </c>
      <c r="R7" s="33" t="n">
        <v>800</v>
      </c>
      <c r="S7" s="33" t="n">
        <v>800</v>
      </c>
      <c r="T7" s="33" t="n">
        <v>800</v>
      </c>
      <c r="U7" s="33" t="n">
        <v>800</v>
      </c>
      <c r="V7" s="33" t="n">
        <v>800</v>
      </c>
      <c r="W7" s="33" t="n">
        <v>800</v>
      </c>
      <c r="X7" s="33" t="n">
        <v>800</v>
      </c>
      <c r="Y7" s="32" t="n">
        <f aca="false">SUM(L7:X7)</f>
        <v>17600</v>
      </c>
      <c r="Z7" s="8" t="n">
        <f aca="false">VLOOKUP(A7,справочник!$E$2:$F$322,2,0)</f>
        <v>0</v>
      </c>
    </row>
    <row collapsed="false" customFormat="false" customHeight="false" hidden="true" ht="15" outlineLevel="0" r="8">
      <c r="A8" s="19" t="n">
        <f aca="false">VLOOKUP(B8,справочник!$B$2:$E$322,4,0)</f>
        <v>203</v>
      </c>
      <c r="B8" s="0" t="e">
        <f aca="false">CONCATENATE(C8;D8)</f>
        <v>#VALUE!</v>
      </c>
      <c r="C8" s="24" t="n">
        <v>213</v>
      </c>
      <c r="D8" s="29" t="s">
        <v>300</v>
      </c>
      <c r="E8" s="24" t="s">
        <v>378</v>
      </c>
      <c r="F8" s="30" t="n">
        <v>41520</v>
      </c>
      <c r="G8" s="30" t="n">
        <v>41548</v>
      </c>
      <c r="H8" s="31" t="n">
        <f aca="false">INT(($H$327-G8)/30)</f>
        <v>27</v>
      </c>
      <c r="I8" s="24" t="n">
        <f aca="false">H8*1000</f>
        <v>27000</v>
      </c>
      <c r="J8" s="31" t="n">
        <v>26000</v>
      </c>
      <c r="K8" s="31"/>
      <c r="L8" s="32" t="n">
        <f aca="false">I8-J8-K8</f>
        <v>1000</v>
      </c>
      <c r="M8" s="33" t="n">
        <v>800</v>
      </c>
      <c r="N8" s="33" t="n">
        <v>800</v>
      </c>
      <c r="O8" s="33" t="n">
        <v>800</v>
      </c>
      <c r="P8" s="33" t="n">
        <v>800</v>
      </c>
      <c r="Q8" s="33" t="n">
        <v>800</v>
      </c>
      <c r="R8" s="33" t="n">
        <v>800</v>
      </c>
      <c r="S8" s="33" t="n">
        <v>800</v>
      </c>
      <c r="T8" s="33" t="n">
        <v>800</v>
      </c>
      <c r="U8" s="33" t="n">
        <v>800</v>
      </c>
      <c r="V8" s="33" t="n">
        <v>800</v>
      </c>
      <c r="W8" s="33" t="n">
        <v>800</v>
      </c>
      <c r="X8" s="33" t="n">
        <v>800</v>
      </c>
      <c r="Y8" s="32" t="n">
        <f aca="false">SUM(L8:X8)</f>
        <v>10600</v>
      </c>
      <c r="Z8" s="8" t="n">
        <f aca="false">VLOOKUP(A8,справочник!$E$2:$F$322,2,0)</f>
        <v>0</v>
      </c>
    </row>
    <row collapsed="false" customFormat="false" customHeight="false" hidden="true" ht="15" outlineLevel="0" r="9">
      <c r="A9" s="19" t="n">
        <f aca="false">VLOOKUP(B9,справочник!$B$2:$E$322,4,0)</f>
        <v>316</v>
      </c>
      <c r="B9" s="0" t="e">
        <f aca="false">CONCATENATE(C9;D9)</f>
        <v>#VALUE!</v>
      </c>
      <c r="C9" s="24" t="s">
        <v>379</v>
      </c>
      <c r="D9" s="29" t="s">
        <v>112</v>
      </c>
      <c r="E9" s="24" t="s">
        <v>380</v>
      </c>
      <c r="F9" s="34" t="n">
        <v>40893</v>
      </c>
      <c r="G9" s="34" t="n">
        <v>40878</v>
      </c>
      <c r="H9" s="35" t="n">
        <f aca="false">INT(($H$327-G9)/30)</f>
        <v>49</v>
      </c>
      <c r="I9" s="36" t="n">
        <f aca="false">H9*1000</f>
        <v>49000</v>
      </c>
      <c r="J9" s="35" t="n">
        <f aca="false">30000+1000+1000</f>
        <v>32000</v>
      </c>
      <c r="K9" s="35"/>
      <c r="L9" s="37" t="n">
        <f aca="false">I9-J9-K9</f>
        <v>17000</v>
      </c>
      <c r="M9" s="33" t="n">
        <v>800</v>
      </c>
      <c r="N9" s="33" t="n">
        <v>800</v>
      </c>
      <c r="O9" s="33" t="n">
        <v>800</v>
      </c>
      <c r="P9" s="33" t="n">
        <v>800</v>
      </c>
      <c r="Q9" s="33" t="n">
        <v>800</v>
      </c>
      <c r="R9" s="33" t="n">
        <v>800</v>
      </c>
      <c r="S9" s="33" t="n">
        <v>800</v>
      </c>
      <c r="T9" s="33" t="n">
        <v>800</v>
      </c>
      <c r="U9" s="33" t="n">
        <v>800</v>
      </c>
      <c r="V9" s="33" t="n">
        <v>800</v>
      </c>
      <c r="W9" s="33" t="n">
        <v>800</v>
      </c>
      <c r="X9" s="33" t="n">
        <v>800</v>
      </c>
      <c r="Y9" s="32" t="n">
        <f aca="false">SUM(L9:X9)</f>
        <v>26600</v>
      </c>
      <c r="Z9" s="8" t="n">
        <f aca="false">VLOOKUP(A9,справочник!$E$2:$F$322,2,0)</f>
        <v>0</v>
      </c>
    </row>
    <row collapsed="false" customFormat="false" customHeight="false" hidden="true" ht="15" outlineLevel="0" r="10">
      <c r="A10" s="19" t="n">
        <f aca="false">VLOOKUP(B10,справочник!$B$2:$E$322,4,0)</f>
        <v>232</v>
      </c>
      <c r="B10" s="0" t="e">
        <f aca="false">CONCATENATE(C10;D10)</f>
        <v>#VALUE!</v>
      </c>
      <c r="C10" s="24" t="n">
        <v>241</v>
      </c>
      <c r="D10" s="29" t="s">
        <v>76</v>
      </c>
      <c r="E10" s="24" t="s">
        <v>381</v>
      </c>
      <c r="F10" s="30" t="n">
        <v>41429</v>
      </c>
      <c r="G10" s="30" t="n">
        <v>41456</v>
      </c>
      <c r="H10" s="31" t="n">
        <f aca="false">INT(($H$327-G10)/30)</f>
        <v>30</v>
      </c>
      <c r="I10" s="24" t="n">
        <f aca="false">H10*1000</f>
        <v>30000</v>
      </c>
      <c r="J10" s="31" t="n">
        <v>6000</v>
      </c>
      <c r="K10" s="31"/>
      <c r="L10" s="32" t="n">
        <f aca="false">I10-J10-K10</f>
        <v>24000</v>
      </c>
      <c r="M10" s="33" t="n">
        <v>800</v>
      </c>
      <c r="N10" s="33" t="n">
        <v>800</v>
      </c>
      <c r="O10" s="33" t="n">
        <v>800</v>
      </c>
      <c r="P10" s="33" t="n">
        <v>800</v>
      </c>
      <c r="Q10" s="33" t="n">
        <v>800</v>
      </c>
      <c r="R10" s="33" t="n">
        <v>800</v>
      </c>
      <c r="S10" s="33" t="n">
        <v>800</v>
      </c>
      <c r="T10" s="33" t="n">
        <v>800</v>
      </c>
      <c r="U10" s="33" t="n">
        <v>800</v>
      </c>
      <c r="V10" s="33" t="n">
        <v>800</v>
      </c>
      <c r="W10" s="33" t="n">
        <v>800</v>
      </c>
      <c r="X10" s="33" t="n">
        <v>800</v>
      </c>
      <c r="Y10" s="32" t="n">
        <f aca="false">SUM(L10:X10)</f>
        <v>33600</v>
      </c>
      <c r="Z10" s="8" t="n">
        <f aca="false">VLOOKUP(A10,справочник!$E$2:$F$322,2,0)</f>
        <v>0</v>
      </c>
    </row>
    <row collapsed="false" customFormat="false" customHeight="false" hidden="true" ht="25.5" outlineLevel="0" r="11">
      <c r="A11" s="19" t="n">
        <f aca="false">VLOOKUP(B11,справочник!$B$2:$E$322,4,0)</f>
        <v>277</v>
      </c>
      <c r="B11" s="0" t="e">
        <f aca="false">CONCATENATE(C11;D11)</f>
        <v>#VALUE!</v>
      </c>
      <c r="C11" s="24" t="n">
        <v>290</v>
      </c>
      <c r="D11" s="29" t="s">
        <v>232</v>
      </c>
      <c r="E11" s="24"/>
      <c r="F11" s="30" t="n">
        <v>41827</v>
      </c>
      <c r="G11" s="30" t="n">
        <v>41821</v>
      </c>
      <c r="H11" s="31" t="n">
        <f aca="false">INT(($H$327-G11)/30)</f>
        <v>18</v>
      </c>
      <c r="I11" s="24" t="n">
        <f aca="false">H11*1000</f>
        <v>18000</v>
      </c>
      <c r="J11" s="31" t="n">
        <v>20000</v>
      </c>
      <c r="K11" s="31"/>
      <c r="L11" s="32" t="n">
        <f aca="false">I11-J11-K11</f>
        <v>-2000</v>
      </c>
      <c r="M11" s="33" t="n">
        <v>800</v>
      </c>
      <c r="N11" s="33" t="n">
        <v>800</v>
      </c>
      <c r="O11" s="33" t="n">
        <v>800</v>
      </c>
      <c r="P11" s="33" t="n">
        <v>800</v>
      </c>
      <c r="Q11" s="33" t="n">
        <v>800</v>
      </c>
      <c r="R11" s="33" t="n">
        <v>800</v>
      </c>
      <c r="S11" s="33" t="n">
        <v>800</v>
      </c>
      <c r="T11" s="33" t="n">
        <v>800</v>
      </c>
      <c r="U11" s="33" t="n">
        <v>800</v>
      </c>
      <c r="V11" s="33" t="n">
        <v>800</v>
      </c>
      <c r="W11" s="33" t="n">
        <v>800</v>
      </c>
      <c r="X11" s="33" t="n">
        <v>800</v>
      </c>
      <c r="Y11" s="32" t="n">
        <f aca="false">SUM(L11:X11)</f>
        <v>7600</v>
      </c>
      <c r="Z11" s="8" t="n">
        <f aca="false">VLOOKUP(A11,справочник!$E$2:$F$322,2,0)</f>
        <v>0</v>
      </c>
    </row>
    <row collapsed="false" customFormat="false" customHeight="false" hidden="true" ht="15" outlineLevel="0" r="12">
      <c r="A12" s="19" t="n">
        <f aca="false">VLOOKUP(B12,справочник!$B$2:$E$322,4,0)</f>
        <v>221</v>
      </c>
      <c r="B12" s="0" t="e">
        <f aca="false">CONCATENATE(C12;D12)</f>
        <v>#VALUE!</v>
      </c>
      <c r="C12" s="24" t="n">
        <v>230</v>
      </c>
      <c r="D12" s="29" t="s">
        <v>194</v>
      </c>
      <c r="E12" s="24"/>
      <c r="F12" s="30" t="n">
        <v>41912</v>
      </c>
      <c r="G12" s="30" t="n">
        <v>41913</v>
      </c>
      <c r="H12" s="31" t="n">
        <f aca="false">INT(($H$327-G12)/30)</f>
        <v>15</v>
      </c>
      <c r="I12" s="24" t="n">
        <f aca="false">H12*1000</f>
        <v>15000</v>
      </c>
      <c r="J12" s="31" t="n">
        <v>1000</v>
      </c>
      <c r="K12" s="31"/>
      <c r="L12" s="32" t="n">
        <f aca="false">I12-J12-K12</f>
        <v>14000</v>
      </c>
      <c r="M12" s="33" t="n">
        <v>800</v>
      </c>
      <c r="N12" s="33" t="n">
        <v>800</v>
      </c>
      <c r="O12" s="33" t="n">
        <v>800</v>
      </c>
      <c r="P12" s="33" t="n">
        <v>800</v>
      </c>
      <c r="Q12" s="33" t="n">
        <v>800</v>
      </c>
      <c r="R12" s="33" t="n">
        <v>800</v>
      </c>
      <c r="S12" s="33" t="n">
        <v>800</v>
      </c>
      <c r="T12" s="33" t="n">
        <v>800</v>
      </c>
      <c r="U12" s="33" t="n">
        <v>800</v>
      </c>
      <c r="V12" s="33" t="n">
        <v>800</v>
      </c>
      <c r="W12" s="33" t="n">
        <v>800</v>
      </c>
      <c r="X12" s="33" t="n">
        <v>800</v>
      </c>
      <c r="Y12" s="32" t="n">
        <f aca="false">SUM(L12:X12)</f>
        <v>23600</v>
      </c>
      <c r="Z12" s="8" t="n">
        <f aca="false">VLOOKUP(A12,справочник!$E$2:$F$322,2,0)</f>
        <v>0</v>
      </c>
    </row>
    <row collapsed="false" customFormat="false" customHeight="false" hidden="true" ht="15" outlineLevel="0" r="13">
      <c r="A13" s="19" t="n">
        <f aca="false">VLOOKUP(B13,справочник!$B$2:$E$322,4,0)</f>
        <v>259</v>
      </c>
      <c r="B13" s="0" t="e">
        <f aca="false">CONCATENATE(C13;D13)</f>
        <v>#VALUE!</v>
      </c>
      <c r="C13" s="24" t="n">
        <v>272</v>
      </c>
      <c r="D13" s="29" t="s">
        <v>178</v>
      </c>
      <c r="E13" s="24" t="s">
        <v>382</v>
      </c>
      <c r="F13" s="30" t="n">
        <v>41457</v>
      </c>
      <c r="G13" s="30" t="n">
        <v>41487</v>
      </c>
      <c r="H13" s="31" t="n">
        <f aca="false">INT(($H$327-G13)/30)</f>
        <v>29</v>
      </c>
      <c r="I13" s="24" t="n">
        <f aca="false">H13*1000</f>
        <v>29000</v>
      </c>
      <c r="J13" s="31" t="n">
        <v>25000</v>
      </c>
      <c r="K13" s="31"/>
      <c r="L13" s="32" t="n">
        <f aca="false">I13-J13-K13</f>
        <v>4000</v>
      </c>
      <c r="M13" s="33" t="n">
        <v>800</v>
      </c>
      <c r="N13" s="33" t="n">
        <v>800</v>
      </c>
      <c r="O13" s="33" t="n">
        <v>800</v>
      </c>
      <c r="P13" s="33" t="n">
        <v>800</v>
      </c>
      <c r="Q13" s="33" t="n">
        <v>800</v>
      </c>
      <c r="R13" s="33" t="n">
        <v>800</v>
      </c>
      <c r="S13" s="33" t="n">
        <v>800</v>
      </c>
      <c r="T13" s="33" t="n">
        <v>800</v>
      </c>
      <c r="U13" s="33" t="n">
        <v>800</v>
      </c>
      <c r="V13" s="33" t="n">
        <v>800</v>
      </c>
      <c r="W13" s="33" t="n">
        <v>800</v>
      </c>
      <c r="X13" s="33" t="n">
        <v>800</v>
      </c>
      <c r="Y13" s="32" t="n">
        <f aca="false">SUM(L13:X13)</f>
        <v>13600</v>
      </c>
      <c r="Z13" s="8" t="n">
        <f aca="false">VLOOKUP(A13,справочник!$E$2:$F$322,2,0)</f>
        <v>0</v>
      </c>
    </row>
    <row collapsed="false" customFormat="false" customHeight="false" hidden="true" ht="15" outlineLevel="0" r="14">
      <c r="A14" s="19" t="n">
        <f aca="false">VLOOKUP(B14,справочник!$B$2:$E$322,4,0)</f>
        <v>109</v>
      </c>
      <c r="B14" s="0" t="e">
        <f aca="false">CONCATENATE(C14;D14)</f>
        <v>#VALUE!</v>
      </c>
      <c r="C14" s="24" t="n">
        <v>114</v>
      </c>
      <c r="D14" s="29" t="s">
        <v>102</v>
      </c>
      <c r="E14" s="24" t="s">
        <v>383</v>
      </c>
      <c r="F14" s="30" t="n">
        <v>41414</v>
      </c>
      <c r="G14" s="30" t="n">
        <v>41426</v>
      </c>
      <c r="H14" s="31" t="n">
        <f aca="false">INT(($H$327-G14)/30)</f>
        <v>31</v>
      </c>
      <c r="I14" s="24" t="n">
        <f aca="false">H14*1000</f>
        <v>31000</v>
      </c>
      <c r="J14" s="31" t="n">
        <v>10000</v>
      </c>
      <c r="K14" s="31"/>
      <c r="L14" s="32" t="n">
        <f aca="false">I14-J14-K14</f>
        <v>21000</v>
      </c>
      <c r="M14" s="33" t="n">
        <v>800</v>
      </c>
      <c r="N14" s="33" t="n">
        <v>800</v>
      </c>
      <c r="O14" s="33" t="n">
        <v>800</v>
      </c>
      <c r="P14" s="33" t="n">
        <v>800</v>
      </c>
      <c r="Q14" s="33" t="n">
        <v>800</v>
      </c>
      <c r="R14" s="33" t="n">
        <v>800</v>
      </c>
      <c r="S14" s="33" t="n">
        <v>800</v>
      </c>
      <c r="T14" s="33" t="n">
        <v>800</v>
      </c>
      <c r="U14" s="33" t="n">
        <v>800</v>
      </c>
      <c r="V14" s="33" t="n">
        <v>800</v>
      </c>
      <c r="W14" s="33" t="n">
        <v>800</v>
      </c>
      <c r="X14" s="33" t="n">
        <v>800</v>
      </c>
      <c r="Y14" s="32" t="n">
        <f aca="false">SUM(L14:X14)</f>
        <v>30600</v>
      </c>
      <c r="Z14" s="8" t="n">
        <f aca="false">VLOOKUP(A14,справочник!$E$2:$F$322,2,0)</f>
        <v>0</v>
      </c>
    </row>
    <row collapsed="false" customFormat="false" customHeight="false" hidden="true" ht="15" outlineLevel="0" r="15">
      <c r="A15" s="19" t="n">
        <f aca="false">VLOOKUP(B15,справочник!$B$2:$E$322,4,0)</f>
        <v>130</v>
      </c>
      <c r="B15" s="0" t="e">
        <f aca="false">CONCATENATE(C15;D15)</f>
        <v>#VALUE!</v>
      </c>
      <c r="C15" s="24" t="n">
        <v>137</v>
      </c>
      <c r="D15" s="29" t="s">
        <v>36</v>
      </c>
      <c r="E15" s="24" t="s">
        <v>384</v>
      </c>
      <c r="F15" s="30" t="n">
        <v>40841</v>
      </c>
      <c r="G15" s="30" t="n">
        <v>40848</v>
      </c>
      <c r="H15" s="31" t="n">
        <f aca="false">INT(($H$327-G15)/30)</f>
        <v>50</v>
      </c>
      <c r="I15" s="24" t="n">
        <f aca="false">H15*1000</f>
        <v>50000</v>
      </c>
      <c r="J15" s="31" t="n">
        <f aca="false">44000+1000</f>
        <v>45000</v>
      </c>
      <c r="K15" s="31" t="n">
        <v>5000</v>
      </c>
      <c r="L15" s="32" t="n">
        <f aca="false">I15-J15-K15</f>
        <v>0</v>
      </c>
      <c r="M15" s="33" t="n">
        <v>800</v>
      </c>
      <c r="N15" s="33" t="n">
        <v>800</v>
      </c>
      <c r="O15" s="33" t="n">
        <v>800</v>
      </c>
      <c r="P15" s="33" t="n">
        <v>800</v>
      </c>
      <c r="Q15" s="33" t="n">
        <v>800</v>
      </c>
      <c r="R15" s="33" t="n">
        <v>800</v>
      </c>
      <c r="S15" s="33" t="n">
        <v>800</v>
      </c>
      <c r="T15" s="33" t="n">
        <v>800</v>
      </c>
      <c r="U15" s="33" t="n">
        <v>800</v>
      </c>
      <c r="V15" s="33" t="n">
        <v>800</v>
      </c>
      <c r="W15" s="33" t="n">
        <v>800</v>
      </c>
      <c r="X15" s="33" t="n">
        <v>800</v>
      </c>
      <c r="Y15" s="32" t="n">
        <f aca="false">SUM(L15:X15)</f>
        <v>9600</v>
      </c>
      <c r="Z15" s="8" t="n">
        <f aca="false">VLOOKUP(A15,справочник!$E$2:$F$322,2,0)</f>
        <v>0</v>
      </c>
    </row>
    <row collapsed="false" customFormat="false" customHeight="false" hidden="true" ht="15" outlineLevel="0" r="16">
      <c r="A16" s="19" t="n">
        <f aca="false">VLOOKUP(B16,справочник!$B$2:$E$322,4,0)</f>
        <v>7</v>
      </c>
      <c r="B16" s="0" t="e">
        <f aca="false">CONCATENATE(C16;D16)</f>
        <v>#VALUE!</v>
      </c>
      <c r="C16" s="24" t="n">
        <v>7</v>
      </c>
      <c r="D16" s="29" t="s">
        <v>46</v>
      </c>
      <c r="E16" s="24" t="s">
        <v>385</v>
      </c>
      <c r="F16" s="30" t="n">
        <v>41467</v>
      </c>
      <c r="G16" s="30" t="n">
        <v>41518</v>
      </c>
      <c r="H16" s="31" t="n">
        <f aca="false">INT(($H$327-G16)/30)</f>
        <v>28</v>
      </c>
      <c r="I16" s="24" t="n">
        <f aca="false">H16*1000</f>
        <v>28000</v>
      </c>
      <c r="J16" s="31"/>
      <c r="K16" s="31"/>
      <c r="L16" s="32" t="n">
        <f aca="false">I16-J16-K16</f>
        <v>28000</v>
      </c>
      <c r="M16" s="33" t="n">
        <v>800</v>
      </c>
      <c r="N16" s="33" t="n">
        <v>800</v>
      </c>
      <c r="O16" s="33" t="n">
        <v>800</v>
      </c>
      <c r="P16" s="33" t="n">
        <v>800</v>
      </c>
      <c r="Q16" s="33" t="n">
        <v>800</v>
      </c>
      <c r="R16" s="33" t="n">
        <v>800</v>
      </c>
      <c r="S16" s="33" t="n">
        <v>800</v>
      </c>
      <c r="T16" s="33" t="n">
        <v>800</v>
      </c>
      <c r="U16" s="33" t="n">
        <v>800</v>
      </c>
      <c r="V16" s="33" t="n">
        <v>800</v>
      </c>
      <c r="W16" s="33" t="n">
        <v>800</v>
      </c>
      <c r="X16" s="33" t="n">
        <v>800</v>
      </c>
      <c r="Y16" s="32" t="n">
        <f aca="false">SUM(L16:X16)</f>
        <v>37600</v>
      </c>
      <c r="Z16" s="8" t="n">
        <f aca="false">VLOOKUP(A16,справочник!$E$2:$F$322,2,0)</f>
        <v>1</v>
      </c>
    </row>
    <row collapsed="false" customFormat="false" customHeight="false" hidden="true" ht="15" outlineLevel="0" r="17">
      <c r="A17" s="19" t="n">
        <f aca="false">VLOOKUP(B17,справочник!$B$2:$E$322,4,0)</f>
        <v>7</v>
      </c>
      <c r="B17" s="0" t="e">
        <f aca="false">CONCATENATE(C17;D17)</f>
        <v>#VALUE!</v>
      </c>
      <c r="C17" s="24" t="n">
        <v>14</v>
      </c>
      <c r="D17" s="29" t="s">
        <v>46</v>
      </c>
      <c r="E17" s="24" t="s">
        <v>386</v>
      </c>
      <c r="F17" s="30" t="n">
        <v>41204</v>
      </c>
      <c r="G17" s="30" t="n">
        <v>41214</v>
      </c>
      <c r="H17" s="31" t="n">
        <f aca="false">INT(($H$327-G17)/30)</f>
        <v>38</v>
      </c>
      <c r="I17" s="24" t="n">
        <f aca="false">H17*1000</f>
        <v>38000</v>
      </c>
      <c r="J17" s="31" t="n">
        <v>27000</v>
      </c>
      <c r="K17" s="31"/>
      <c r="L17" s="32" t="n">
        <f aca="false">I17-J17-K17</f>
        <v>11000</v>
      </c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2" t="n">
        <f aca="false">SUM(L17:X17)</f>
        <v>11000</v>
      </c>
      <c r="Z17" s="8" t="n">
        <f aca="false">VLOOKUP(A17,справочник!$E$2:$F$322,2,0)</f>
        <v>1</v>
      </c>
    </row>
    <row collapsed="false" customFormat="false" customHeight="false" hidden="true" ht="15" outlineLevel="0" r="18">
      <c r="A18" s="19" t="n">
        <f aca="false">VLOOKUP(B18,справочник!$B$2:$E$322,4,0)</f>
        <v>193</v>
      </c>
      <c r="B18" s="0" t="e">
        <f aca="false">CONCATENATE(C18;D18)</f>
        <v>#VALUE!</v>
      </c>
      <c r="C18" s="24" t="n">
        <v>201</v>
      </c>
      <c r="D18" s="29" t="s">
        <v>212</v>
      </c>
      <c r="E18" s="24" t="s">
        <v>387</v>
      </c>
      <c r="F18" s="24"/>
      <c r="G18" s="24"/>
      <c r="H18" s="31"/>
      <c r="I18" s="24" t="n">
        <f aca="false">H18*1000</f>
        <v>0</v>
      </c>
      <c r="J18" s="31"/>
      <c r="K18" s="31"/>
      <c r="L18" s="32" t="n">
        <f aca="false">I18-J18-K18</f>
        <v>0</v>
      </c>
      <c r="M18" s="33" t="n">
        <v>800</v>
      </c>
      <c r="N18" s="33" t="n">
        <v>800</v>
      </c>
      <c r="O18" s="33" t="n">
        <v>800</v>
      </c>
      <c r="P18" s="33" t="n">
        <v>800</v>
      </c>
      <c r="Q18" s="33" t="n">
        <v>800</v>
      </c>
      <c r="R18" s="33" t="n">
        <v>800</v>
      </c>
      <c r="S18" s="33" t="n">
        <v>800</v>
      </c>
      <c r="T18" s="33" t="n">
        <v>800</v>
      </c>
      <c r="U18" s="33" t="n">
        <v>800</v>
      </c>
      <c r="V18" s="33" t="n">
        <v>800</v>
      </c>
      <c r="W18" s="33" t="n">
        <v>800</v>
      </c>
      <c r="X18" s="33" t="n">
        <v>800</v>
      </c>
      <c r="Y18" s="32" t="n">
        <f aca="false">SUM(L18:X18)</f>
        <v>9600</v>
      </c>
      <c r="Z18" s="8" t="n">
        <f aca="false">VLOOKUP(A18,справочник!$E$2:$F$322,2,0)</f>
        <v>0</v>
      </c>
    </row>
    <row collapsed="false" customFormat="false" customHeight="false" hidden="true" ht="15" outlineLevel="0" r="19">
      <c r="A19" s="19" t="n">
        <f aca="false">VLOOKUP(B19,справочник!$B$2:$E$322,4,0)</f>
        <v>178</v>
      </c>
      <c r="B19" s="0" t="e">
        <f aca="false">CONCATENATE(C19;D19)</f>
        <v>#VALUE!</v>
      </c>
      <c r="C19" s="24" t="n">
        <v>186</v>
      </c>
      <c r="D19" s="29" t="s">
        <v>128</v>
      </c>
      <c r="E19" s="24" t="s">
        <v>388</v>
      </c>
      <c r="F19" s="30" t="n">
        <v>41898</v>
      </c>
      <c r="G19" s="30" t="n">
        <v>41944</v>
      </c>
      <c r="H19" s="31" t="n">
        <f aca="false">INT(($H$327-G19)/30)</f>
        <v>14</v>
      </c>
      <c r="I19" s="24" t="n">
        <f aca="false">H19*1000</f>
        <v>14000</v>
      </c>
      <c r="J19" s="31" t="n">
        <v>1000</v>
      </c>
      <c r="K19" s="31"/>
      <c r="L19" s="32" t="n">
        <f aca="false">I19-J19-K19</f>
        <v>13000</v>
      </c>
      <c r="M19" s="33" t="n">
        <v>800</v>
      </c>
      <c r="N19" s="33" t="n">
        <v>800</v>
      </c>
      <c r="O19" s="33" t="n">
        <v>800</v>
      </c>
      <c r="P19" s="33" t="n">
        <v>800</v>
      </c>
      <c r="Q19" s="33" t="n">
        <v>800</v>
      </c>
      <c r="R19" s="33" t="n">
        <v>800</v>
      </c>
      <c r="S19" s="33" t="n">
        <v>800</v>
      </c>
      <c r="T19" s="33" t="n">
        <v>800</v>
      </c>
      <c r="U19" s="33" t="n">
        <v>800</v>
      </c>
      <c r="V19" s="33" t="n">
        <v>800</v>
      </c>
      <c r="W19" s="33" t="n">
        <v>800</v>
      </c>
      <c r="X19" s="33" t="n">
        <v>800</v>
      </c>
      <c r="Y19" s="32" t="n">
        <f aca="false">SUM(L19:X19)</f>
        <v>22600</v>
      </c>
      <c r="Z19" s="8" t="n">
        <f aca="false">VLOOKUP(A19,справочник!$E$2:$F$322,2,0)</f>
        <v>0</v>
      </c>
    </row>
    <row collapsed="false" customFormat="false" customHeight="false" hidden="true" ht="15" outlineLevel="0" r="20">
      <c r="A20" s="19" t="n">
        <f aca="false">VLOOKUP(B20,справочник!$B$2:$E$322,4,0)</f>
        <v>119</v>
      </c>
      <c r="B20" s="0" t="e">
        <f aca="false">CONCATENATE(C20;D20)</f>
        <v>#VALUE!</v>
      </c>
      <c r="C20" s="24" t="n">
        <v>124</v>
      </c>
      <c r="D20" s="29" t="s">
        <v>110</v>
      </c>
      <c r="E20" s="24" t="s">
        <v>389</v>
      </c>
      <c r="F20" s="30" t="n">
        <v>41401</v>
      </c>
      <c r="G20" s="30" t="n">
        <v>41426</v>
      </c>
      <c r="H20" s="31" t="n">
        <f aca="false">INT(($H$327-G20)/30)</f>
        <v>31</v>
      </c>
      <c r="I20" s="24" t="n">
        <f aca="false">H20*1000</f>
        <v>31000</v>
      </c>
      <c r="J20" s="31" t="n">
        <v>11000</v>
      </c>
      <c r="K20" s="31"/>
      <c r="L20" s="32" t="n">
        <f aca="false">I20-J20-K20</f>
        <v>20000</v>
      </c>
      <c r="M20" s="33" t="n">
        <v>800</v>
      </c>
      <c r="N20" s="33" t="n">
        <v>800</v>
      </c>
      <c r="O20" s="33" t="n">
        <v>800</v>
      </c>
      <c r="P20" s="33" t="n">
        <v>800</v>
      </c>
      <c r="Q20" s="33" t="n">
        <v>800</v>
      </c>
      <c r="R20" s="33" t="n">
        <v>800</v>
      </c>
      <c r="S20" s="33" t="n">
        <v>800</v>
      </c>
      <c r="T20" s="33" t="n">
        <v>800</v>
      </c>
      <c r="U20" s="33" t="n">
        <v>800</v>
      </c>
      <c r="V20" s="33" t="n">
        <v>800</v>
      </c>
      <c r="W20" s="33" t="n">
        <v>800</v>
      </c>
      <c r="X20" s="33" t="n">
        <v>800</v>
      </c>
      <c r="Y20" s="32" t="n">
        <f aca="false">SUM(L20:X20)</f>
        <v>29600</v>
      </c>
      <c r="Z20" s="8" t="n">
        <f aca="false">VLOOKUP(A20,справочник!$E$2:$F$322,2,0)</f>
        <v>0</v>
      </c>
    </row>
    <row collapsed="false" customFormat="false" customHeight="false" hidden="true" ht="15" outlineLevel="0" r="21">
      <c r="A21" s="19" t="n">
        <f aca="false">VLOOKUP(B21,справочник!$B$2:$E$322,4,0)</f>
        <v>293</v>
      </c>
      <c r="B21" s="0" t="e">
        <f aca="false">CONCATENATE(C21;D21)</f>
        <v>#VALUE!</v>
      </c>
      <c r="C21" s="24" t="n">
        <v>308</v>
      </c>
      <c r="D21" s="29" t="s">
        <v>135</v>
      </c>
      <c r="E21" s="24" t="s">
        <v>390</v>
      </c>
      <c r="F21" s="30" t="n">
        <v>40928</v>
      </c>
      <c r="G21" s="30" t="n">
        <v>40909</v>
      </c>
      <c r="H21" s="31" t="n">
        <f aca="false">INT(($H$327-G21)/30)</f>
        <v>48</v>
      </c>
      <c r="I21" s="24" t="n">
        <f aca="false">H21*1000</f>
        <v>48000</v>
      </c>
      <c r="J21" s="31" t="n">
        <f aca="false">11500+24500</f>
        <v>36000</v>
      </c>
      <c r="K21" s="31"/>
      <c r="L21" s="32" t="n">
        <f aca="false">I21-J21-K21</f>
        <v>12000</v>
      </c>
      <c r="M21" s="33" t="n">
        <v>800</v>
      </c>
      <c r="N21" s="33" t="n">
        <v>800</v>
      </c>
      <c r="O21" s="33" t="n">
        <v>800</v>
      </c>
      <c r="P21" s="33" t="n">
        <v>800</v>
      </c>
      <c r="Q21" s="33" t="n">
        <v>800</v>
      </c>
      <c r="R21" s="33" t="n">
        <v>800</v>
      </c>
      <c r="S21" s="33" t="n">
        <v>800</v>
      </c>
      <c r="T21" s="33" t="n">
        <v>800</v>
      </c>
      <c r="U21" s="33" t="n">
        <v>800</v>
      </c>
      <c r="V21" s="33" t="n">
        <v>800</v>
      </c>
      <c r="W21" s="33" t="n">
        <v>800</v>
      </c>
      <c r="X21" s="33" t="n">
        <v>800</v>
      </c>
      <c r="Y21" s="32" t="n">
        <f aca="false">SUM(L21:X21)</f>
        <v>21600</v>
      </c>
      <c r="Z21" s="8" t="n">
        <f aca="false">VLOOKUP(A21,справочник!$E$2:$F$322,2,0)</f>
        <v>0</v>
      </c>
    </row>
    <row collapsed="false" customFormat="false" customHeight="false" hidden="true" ht="15" outlineLevel="0" r="22">
      <c r="A22" s="19" t="n">
        <f aca="false">VLOOKUP(B22,справочник!$B$2:$E$322,4,0)</f>
        <v>191</v>
      </c>
      <c r="B22" s="0" t="e">
        <f aca="false">CONCATENATE(C22;D22)</f>
        <v>#VALUE!</v>
      </c>
      <c r="C22" s="24" t="n">
        <v>199</v>
      </c>
      <c r="D22" s="29" t="s">
        <v>213</v>
      </c>
      <c r="E22" s="24" t="s">
        <v>391</v>
      </c>
      <c r="F22" s="24"/>
      <c r="G22" s="24"/>
      <c r="H22" s="31"/>
      <c r="I22" s="24" t="n">
        <f aca="false">H22*1000</f>
        <v>0</v>
      </c>
      <c r="J22" s="31"/>
      <c r="K22" s="31"/>
      <c r="L22" s="32" t="n">
        <f aca="false">I22-J22-K22</f>
        <v>0</v>
      </c>
      <c r="M22" s="33" t="n">
        <v>800</v>
      </c>
      <c r="N22" s="33" t="n">
        <v>800</v>
      </c>
      <c r="O22" s="33" t="n">
        <v>800</v>
      </c>
      <c r="P22" s="33" t="n">
        <v>800</v>
      </c>
      <c r="Q22" s="33" t="n">
        <v>800</v>
      </c>
      <c r="R22" s="33" t="n">
        <v>800</v>
      </c>
      <c r="S22" s="33" t="n">
        <v>800</v>
      </c>
      <c r="T22" s="33" t="n">
        <v>800</v>
      </c>
      <c r="U22" s="33" t="n">
        <v>800</v>
      </c>
      <c r="V22" s="33" t="n">
        <v>800</v>
      </c>
      <c r="W22" s="33" t="n">
        <v>800</v>
      </c>
      <c r="X22" s="33" t="n">
        <v>800</v>
      </c>
      <c r="Y22" s="32" t="n">
        <f aca="false">SUM(L22:X22)</f>
        <v>9600</v>
      </c>
      <c r="Z22" s="8" t="n">
        <f aca="false">VLOOKUP(A22,справочник!$E$2:$F$322,2,0)</f>
        <v>0</v>
      </c>
    </row>
    <row collapsed="false" customFormat="false" customHeight="false" hidden="true" ht="25.5" outlineLevel="0" r="23">
      <c r="A23" s="19" t="n">
        <f aca="false">VLOOKUP(B23,справочник!$B$2:$E$322,4,0)</f>
        <v>249</v>
      </c>
      <c r="B23" s="0" t="e">
        <f aca="false">CONCATENATE(C23;D23)</f>
        <v>#VALUE!</v>
      </c>
      <c r="C23" s="24" t="n">
        <v>260</v>
      </c>
      <c r="D23" s="29" t="s">
        <v>75</v>
      </c>
      <c r="E23" s="24" t="s">
        <v>392</v>
      </c>
      <c r="F23" s="30" t="n">
        <v>41604</v>
      </c>
      <c r="G23" s="30" t="n">
        <v>41609</v>
      </c>
      <c r="H23" s="31" t="n">
        <f aca="false">INT(($H$327-G23)/30)</f>
        <v>25</v>
      </c>
      <c r="I23" s="24" t="n">
        <f aca="false">H23*1000</f>
        <v>25000</v>
      </c>
      <c r="J23" s="31" t="n">
        <f aca="false">1000</f>
        <v>1000</v>
      </c>
      <c r="K23" s="31"/>
      <c r="L23" s="32" t="n">
        <f aca="false">I23-J23-K23</f>
        <v>24000</v>
      </c>
      <c r="M23" s="33" t="n">
        <v>800</v>
      </c>
      <c r="N23" s="33" t="n">
        <v>800</v>
      </c>
      <c r="O23" s="33" t="n">
        <v>800</v>
      </c>
      <c r="P23" s="33" t="n">
        <v>800</v>
      </c>
      <c r="Q23" s="33" t="n">
        <v>800</v>
      </c>
      <c r="R23" s="33" t="n">
        <v>800</v>
      </c>
      <c r="S23" s="33" t="n">
        <v>800</v>
      </c>
      <c r="T23" s="33" t="n">
        <v>800</v>
      </c>
      <c r="U23" s="33" t="n">
        <v>800</v>
      </c>
      <c r="V23" s="33" t="n">
        <v>800</v>
      </c>
      <c r="W23" s="33" t="n">
        <v>800</v>
      </c>
      <c r="X23" s="33" t="n">
        <v>800</v>
      </c>
      <c r="Y23" s="32" t="n">
        <f aca="false">SUM(L23:X23)</f>
        <v>33600</v>
      </c>
      <c r="Z23" s="8" t="n">
        <f aca="false">VLOOKUP(A23,справочник!$E$2:$F$322,2,0)</f>
        <v>0</v>
      </c>
    </row>
    <row collapsed="false" customFormat="false" customHeight="false" hidden="true" ht="15" outlineLevel="0" r="24">
      <c r="A24" s="19" t="n">
        <f aca="false">VLOOKUP(B24,справочник!$B$2:$E$322,4,0)</f>
        <v>72</v>
      </c>
      <c r="B24" s="0" t="e">
        <f aca="false">CONCATENATE(C24;D24)</f>
        <v>#VALUE!</v>
      </c>
      <c r="C24" s="24" t="n">
        <v>78</v>
      </c>
      <c r="D24" s="29" t="s">
        <v>174</v>
      </c>
      <c r="E24" s="24" t="s">
        <v>393</v>
      </c>
      <c r="F24" s="30" t="n">
        <v>40793</v>
      </c>
      <c r="G24" s="30" t="n">
        <v>40787</v>
      </c>
      <c r="H24" s="31" t="n">
        <f aca="false">INT(($H$327-G24)/30)</f>
        <v>52</v>
      </c>
      <c r="I24" s="24" t="n">
        <f aca="false">H24*1000</f>
        <v>52000</v>
      </c>
      <c r="J24" s="31" t="n">
        <f aca="false">19000+1500+2500+23000</f>
        <v>46000</v>
      </c>
      <c r="K24" s="31"/>
      <c r="L24" s="32" t="n">
        <f aca="false">I24-J24-K24</f>
        <v>6000</v>
      </c>
      <c r="M24" s="33" t="n">
        <v>800</v>
      </c>
      <c r="N24" s="33" t="n">
        <v>800</v>
      </c>
      <c r="O24" s="33" t="n">
        <v>800</v>
      </c>
      <c r="P24" s="33" t="n">
        <v>800</v>
      </c>
      <c r="Q24" s="33" t="n">
        <v>800</v>
      </c>
      <c r="R24" s="33" t="n">
        <v>800</v>
      </c>
      <c r="S24" s="33" t="n">
        <v>800</v>
      </c>
      <c r="T24" s="33" t="n">
        <v>800</v>
      </c>
      <c r="U24" s="33" t="n">
        <v>800</v>
      </c>
      <c r="V24" s="33" t="n">
        <v>800</v>
      </c>
      <c r="W24" s="33" t="n">
        <v>800</v>
      </c>
      <c r="X24" s="33" t="n">
        <v>800</v>
      </c>
      <c r="Y24" s="32" t="n">
        <f aca="false">SUM(L24:X24)</f>
        <v>15600</v>
      </c>
      <c r="Z24" s="8" t="n">
        <f aca="false">VLOOKUP(A24,справочник!$E$2:$F$322,2,0)</f>
        <v>0</v>
      </c>
    </row>
    <row collapsed="false" customFormat="false" customHeight="false" hidden="true" ht="15" outlineLevel="0" r="25">
      <c r="A25" s="19" t="n">
        <f aca="false">VLOOKUP(B25,справочник!$B$2:$E$322,4,0)</f>
        <v>125</v>
      </c>
      <c r="B25" s="0" t="e">
        <f aca="false">CONCATENATE(C25;D25)</f>
        <v>#VALUE!</v>
      </c>
      <c r="C25" s="24" t="n">
        <v>130</v>
      </c>
      <c r="D25" s="29" t="s">
        <v>195</v>
      </c>
      <c r="E25" s="24" t="s">
        <v>394</v>
      </c>
      <c r="F25" s="30" t="n">
        <v>41948</v>
      </c>
      <c r="G25" s="30" t="n">
        <v>41974</v>
      </c>
      <c r="H25" s="31" t="n">
        <f aca="false">INT(($H$327-G25)/30)</f>
        <v>13</v>
      </c>
      <c r="I25" s="24" t="n">
        <f aca="false">H25*1000</f>
        <v>13000</v>
      </c>
      <c r="J25" s="31" t="n">
        <v>8000</v>
      </c>
      <c r="K25" s="31"/>
      <c r="L25" s="32" t="n">
        <f aca="false">I25-J25-K25</f>
        <v>5000</v>
      </c>
      <c r="M25" s="33" t="n">
        <v>800</v>
      </c>
      <c r="N25" s="33" t="n">
        <v>800</v>
      </c>
      <c r="O25" s="33" t="n">
        <v>800</v>
      </c>
      <c r="P25" s="33" t="n">
        <v>800</v>
      </c>
      <c r="Q25" s="33" t="n">
        <v>800</v>
      </c>
      <c r="R25" s="33" t="n">
        <v>800</v>
      </c>
      <c r="S25" s="33" t="n">
        <v>800</v>
      </c>
      <c r="T25" s="33" t="n">
        <v>800</v>
      </c>
      <c r="U25" s="33" t="n">
        <v>800</v>
      </c>
      <c r="V25" s="33" t="n">
        <v>800</v>
      </c>
      <c r="W25" s="33" t="n">
        <v>800</v>
      </c>
      <c r="X25" s="33" t="n">
        <v>800</v>
      </c>
      <c r="Y25" s="32" t="n">
        <f aca="false">SUM(L25:X25)</f>
        <v>14600</v>
      </c>
      <c r="Z25" s="8" t="n">
        <f aca="false">VLOOKUP(A25,справочник!$E$2:$F$322,2,0)</f>
        <v>0</v>
      </c>
    </row>
    <row collapsed="false" customFormat="false" customHeight="false" hidden="true" ht="15" outlineLevel="0" r="26">
      <c r="A26" s="19" t="n">
        <f aca="false">VLOOKUP(B26,справочник!$B$2:$E$322,4,0)</f>
        <v>229</v>
      </c>
      <c r="B26" s="0" t="e">
        <f aca="false">CONCATENATE(C26;D26)</f>
        <v>#VALUE!</v>
      </c>
      <c r="C26" s="24" t="n">
        <v>238</v>
      </c>
      <c r="D26" s="29" t="s">
        <v>79</v>
      </c>
      <c r="E26" s="24" t="s">
        <v>395</v>
      </c>
      <c r="F26" s="30" t="n">
        <v>41373</v>
      </c>
      <c r="G26" s="30" t="n">
        <v>41395</v>
      </c>
      <c r="H26" s="31" t="n">
        <f aca="false">INT(($H$327-G26)/30)</f>
        <v>32</v>
      </c>
      <c r="I26" s="24" t="n">
        <f aca="false">H26*1000</f>
        <v>32000</v>
      </c>
      <c r="J26" s="31" t="n">
        <v>9000</v>
      </c>
      <c r="K26" s="31"/>
      <c r="L26" s="32" t="n">
        <f aca="false">I26-J26-K26</f>
        <v>23000</v>
      </c>
      <c r="M26" s="33" t="n">
        <v>800</v>
      </c>
      <c r="N26" s="33" t="n">
        <v>800</v>
      </c>
      <c r="O26" s="33" t="n">
        <v>800</v>
      </c>
      <c r="P26" s="33" t="n">
        <v>800</v>
      </c>
      <c r="Q26" s="33" t="n">
        <v>800</v>
      </c>
      <c r="R26" s="33" t="n">
        <v>800</v>
      </c>
      <c r="S26" s="33" t="n">
        <v>800</v>
      </c>
      <c r="T26" s="33" t="n">
        <v>800</v>
      </c>
      <c r="U26" s="33" t="n">
        <v>800</v>
      </c>
      <c r="V26" s="33" t="n">
        <v>800</v>
      </c>
      <c r="W26" s="33" t="n">
        <v>800</v>
      </c>
      <c r="X26" s="33" t="n">
        <v>800</v>
      </c>
      <c r="Y26" s="32" t="n">
        <f aca="false">SUM(L26:X26)</f>
        <v>32600</v>
      </c>
      <c r="Z26" s="8" t="n">
        <f aca="false">VLOOKUP(A26,справочник!$E$2:$F$322,2,0)</f>
        <v>0</v>
      </c>
    </row>
    <row collapsed="false" customFormat="false" customHeight="false" hidden="true" ht="15" outlineLevel="0" r="27">
      <c r="A27" s="19" t="n">
        <f aca="false">VLOOKUP(B27,справочник!$B$2:$E$322,4,0)</f>
        <v>296</v>
      </c>
      <c r="B27" s="0" t="e">
        <f aca="false">CONCATENATE(C27;D27)</f>
        <v>#VALUE!</v>
      </c>
      <c r="C27" s="24" t="n">
        <v>311</v>
      </c>
      <c r="D27" s="29" t="s">
        <v>39</v>
      </c>
      <c r="E27" s="24" t="s">
        <v>396</v>
      </c>
      <c r="F27" s="30" t="n">
        <v>41008</v>
      </c>
      <c r="G27" s="30" t="n">
        <v>41000</v>
      </c>
      <c r="H27" s="31" t="n">
        <f aca="false">INT(($H$327-G27)/30)</f>
        <v>45</v>
      </c>
      <c r="I27" s="24" t="n">
        <f aca="false">H27*1000</f>
        <v>45000</v>
      </c>
      <c r="J27" s="31" t="n">
        <v>1000</v>
      </c>
      <c r="K27" s="31"/>
      <c r="L27" s="32" t="n">
        <f aca="false">I27-J27-K27</f>
        <v>44000</v>
      </c>
      <c r="M27" s="33" t="n">
        <v>800</v>
      </c>
      <c r="N27" s="33" t="n">
        <v>800</v>
      </c>
      <c r="O27" s="33" t="n">
        <v>800</v>
      </c>
      <c r="P27" s="33" t="n">
        <v>800</v>
      </c>
      <c r="Q27" s="33" t="n">
        <v>800</v>
      </c>
      <c r="R27" s="33" t="n">
        <v>800</v>
      </c>
      <c r="S27" s="33" t="n">
        <v>800</v>
      </c>
      <c r="T27" s="33" t="n">
        <v>800</v>
      </c>
      <c r="U27" s="33" t="n">
        <v>800</v>
      </c>
      <c r="V27" s="33" t="n">
        <v>800</v>
      </c>
      <c r="W27" s="33" t="n">
        <v>800</v>
      </c>
      <c r="X27" s="33" t="n">
        <v>800</v>
      </c>
      <c r="Y27" s="32" t="n">
        <f aca="false">SUM(L27:X27)</f>
        <v>53600</v>
      </c>
      <c r="Z27" s="8" t="n">
        <f aca="false">VLOOKUP(A27,справочник!$E$2:$F$322,2,0)</f>
        <v>0</v>
      </c>
    </row>
    <row collapsed="false" customFormat="false" customHeight="false" hidden="true" ht="15" outlineLevel="0" r="28">
      <c r="A28" s="19" t="n">
        <f aca="false">VLOOKUP(B28,справочник!$B$2:$E$322,4,0)</f>
        <v>281</v>
      </c>
      <c r="B28" s="0" t="e">
        <f aca="false">CONCATENATE(C28;D28)</f>
        <v>#VALUE!</v>
      </c>
      <c r="C28" s="24" t="n">
        <v>293</v>
      </c>
      <c r="D28" s="29" t="s">
        <v>105</v>
      </c>
      <c r="E28" s="24" t="s">
        <v>397</v>
      </c>
      <c r="F28" s="30" t="n">
        <v>41766</v>
      </c>
      <c r="G28" s="30" t="n">
        <v>41791</v>
      </c>
      <c r="H28" s="31" t="n">
        <f aca="false">INT(($H$327-G28)/30)</f>
        <v>19</v>
      </c>
      <c r="I28" s="24" t="n">
        <f aca="false">H28*1000</f>
        <v>19000</v>
      </c>
      <c r="J28" s="31" t="n">
        <v>1000</v>
      </c>
      <c r="K28" s="31"/>
      <c r="L28" s="32" t="n">
        <f aca="false">I28-J28-K28</f>
        <v>18000</v>
      </c>
      <c r="M28" s="33" t="n">
        <v>800</v>
      </c>
      <c r="N28" s="33" t="n">
        <v>800</v>
      </c>
      <c r="O28" s="33" t="n">
        <v>800</v>
      </c>
      <c r="P28" s="33" t="n">
        <v>800</v>
      </c>
      <c r="Q28" s="33" t="n">
        <v>800</v>
      </c>
      <c r="R28" s="33" t="n">
        <v>800</v>
      </c>
      <c r="S28" s="33" t="n">
        <v>800</v>
      </c>
      <c r="T28" s="33" t="n">
        <v>800</v>
      </c>
      <c r="U28" s="33" t="n">
        <v>800</v>
      </c>
      <c r="V28" s="33" t="n">
        <v>800</v>
      </c>
      <c r="W28" s="33" t="n">
        <v>800</v>
      </c>
      <c r="X28" s="33" t="n">
        <v>800</v>
      </c>
      <c r="Y28" s="32" t="n">
        <f aca="false">SUM(L28:X28)</f>
        <v>27600</v>
      </c>
      <c r="Z28" s="8" t="n">
        <f aca="false">VLOOKUP(A28,справочник!$E$2:$F$322,2,0)</f>
        <v>0</v>
      </c>
    </row>
    <row collapsed="false" customFormat="false" customHeight="false" hidden="true" ht="15" outlineLevel="0" r="29">
      <c r="A29" s="19" t="n">
        <f aca="false">VLOOKUP(B29,справочник!$B$2:$E$322,4,0)</f>
        <v>198</v>
      </c>
      <c r="B29" s="0" t="e">
        <f aca="false">CONCATENATE(C29;D29)</f>
        <v>#VALUE!</v>
      </c>
      <c r="C29" s="24" t="n">
        <v>206</v>
      </c>
      <c r="D29" s="29" t="s">
        <v>262</v>
      </c>
      <c r="E29" s="24" t="s">
        <v>398</v>
      </c>
      <c r="F29" s="30" t="n">
        <v>40816</v>
      </c>
      <c r="G29" s="30" t="n">
        <v>40787</v>
      </c>
      <c r="H29" s="31" t="n">
        <f aca="false">INT(($H$327-G29)/30)</f>
        <v>52</v>
      </c>
      <c r="I29" s="24" t="n">
        <f aca="false">H29*1000</f>
        <v>52000</v>
      </c>
      <c r="J29" s="31" t="n">
        <f aca="false">50000+1000</f>
        <v>51000</v>
      </c>
      <c r="K29" s="31" t="n">
        <v>1000</v>
      </c>
      <c r="L29" s="32" t="n">
        <f aca="false">I29-J29-K29</f>
        <v>0</v>
      </c>
      <c r="M29" s="33" t="n">
        <v>800</v>
      </c>
      <c r="N29" s="33" t="n">
        <v>800</v>
      </c>
      <c r="O29" s="33" t="n">
        <v>800</v>
      </c>
      <c r="P29" s="33" t="n">
        <v>800</v>
      </c>
      <c r="Q29" s="33" t="n">
        <v>800</v>
      </c>
      <c r="R29" s="33" t="n">
        <v>800</v>
      </c>
      <c r="S29" s="33" t="n">
        <v>800</v>
      </c>
      <c r="T29" s="33" t="n">
        <v>800</v>
      </c>
      <c r="U29" s="33" t="n">
        <v>800</v>
      </c>
      <c r="V29" s="33" t="n">
        <v>800</v>
      </c>
      <c r="W29" s="33" t="n">
        <v>800</v>
      </c>
      <c r="X29" s="33" t="n">
        <v>800</v>
      </c>
      <c r="Y29" s="32" t="n">
        <f aca="false">SUM(L29:X29)</f>
        <v>9600</v>
      </c>
      <c r="Z29" s="8" t="n">
        <f aca="false">VLOOKUP(A29,справочник!$E$2:$F$322,2,0)</f>
        <v>0</v>
      </c>
    </row>
    <row collapsed="false" customFormat="false" customHeight="false" hidden="true" ht="25.5" outlineLevel="0" r="30">
      <c r="A30" s="19" t="n">
        <f aca="false">VLOOKUP(B30,справочник!$B$2:$E$322,4,0)</f>
        <v>52</v>
      </c>
      <c r="B30" s="0" t="e">
        <f aca="false">CONCATENATE(C30;D30)</f>
        <v>#VALUE!</v>
      </c>
      <c r="C30" s="24" t="n">
        <v>54</v>
      </c>
      <c r="D30" s="29" t="s">
        <v>247</v>
      </c>
      <c r="E30" s="24" t="s">
        <v>399</v>
      </c>
      <c r="F30" s="30" t="n">
        <v>41016</v>
      </c>
      <c r="G30" s="30" t="n">
        <v>41000</v>
      </c>
      <c r="H30" s="31" t="n">
        <f aca="false">INT(($H$327-G30)/30)</f>
        <v>45</v>
      </c>
      <c r="I30" s="24" t="n">
        <f aca="false">H30*1000</f>
        <v>45000</v>
      </c>
      <c r="J30" s="31" t="n">
        <v>40000</v>
      </c>
      <c r="K30" s="31" t="n">
        <v>5000</v>
      </c>
      <c r="L30" s="32" t="n">
        <v>5000</v>
      </c>
      <c r="M30" s="33" t="n">
        <v>800</v>
      </c>
      <c r="N30" s="33" t="n">
        <v>800</v>
      </c>
      <c r="O30" s="33" t="n">
        <v>800</v>
      </c>
      <c r="P30" s="33" t="n">
        <v>800</v>
      </c>
      <c r="Q30" s="33" t="n">
        <v>800</v>
      </c>
      <c r="R30" s="33" t="n">
        <v>800</v>
      </c>
      <c r="S30" s="33" t="n">
        <v>800</v>
      </c>
      <c r="T30" s="33" t="n">
        <v>800</v>
      </c>
      <c r="U30" s="33" t="n">
        <v>800</v>
      </c>
      <c r="V30" s="33" t="n">
        <v>800</v>
      </c>
      <c r="W30" s="33" t="n">
        <v>800</v>
      </c>
      <c r="X30" s="33" t="n">
        <v>800</v>
      </c>
      <c r="Y30" s="32" t="n">
        <f aca="false">SUM(L30:X30)</f>
        <v>14600</v>
      </c>
      <c r="Z30" s="8" t="n">
        <f aca="false">VLOOKUP(A30,справочник!$E$2:$F$322,2,0)</f>
        <v>0</v>
      </c>
    </row>
    <row collapsed="false" customFormat="false" customHeight="false" hidden="true" ht="25.5" outlineLevel="0" r="31">
      <c r="A31" s="19" t="n">
        <f aca="false">VLOOKUP(B31,справочник!$B$2:$E$322,4,0)</f>
        <v>51</v>
      </c>
      <c r="B31" s="0" t="e">
        <f aca="false">CONCATENATE(C31;D31)</f>
        <v>#VALUE!</v>
      </c>
      <c r="C31" s="24" t="n">
        <v>53</v>
      </c>
      <c r="D31" s="29" t="s">
        <v>248</v>
      </c>
      <c r="E31" s="24" t="s">
        <v>400</v>
      </c>
      <c r="F31" s="30" t="n">
        <v>41016</v>
      </c>
      <c r="G31" s="30" t="n">
        <v>41000</v>
      </c>
      <c r="H31" s="31" t="n">
        <f aca="false">INT(($H$327-G31)/30)</f>
        <v>45</v>
      </c>
      <c r="I31" s="24" t="n">
        <f aca="false">H31*1000</f>
        <v>45000</v>
      </c>
      <c r="J31" s="31" t="n">
        <v>28000</v>
      </c>
      <c r="K31" s="31" t="n">
        <v>7000</v>
      </c>
      <c r="L31" s="32" t="n">
        <v>5000</v>
      </c>
      <c r="M31" s="33" t="n">
        <v>800</v>
      </c>
      <c r="N31" s="33" t="n">
        <v>800</v>
      </c>
      <c r="O31" s="33" t="n">
        <v>800</v>
      </c>
      <c r="P31" s="33" t="n">
        <v>800</v>
      </c>
      <c r="Q31" s="33" t="n">
        <v>800</v>
      </c>
      <c r="R31" s="33" t="n">
        <v>800</v>
      </c>
      <c r="S31" s="33" t="n">
        <v>800</v>
      </c>
      <c r="T31" s="33" t="n">
        <v>800</v>
      </c>
      <c r="U31" s="33" t="n">
        <v>800</v>
      </c>
      <c r="V31" s="33" t="n">
        <v>800</v>
      </c>
      <c r="W31" s="33" t="n">
        <v>800</v>
      </c>
      <c r="X31" s="33" t="n">
        <v>800</v>
      </c>
      <c r="Y31" s="32" t="n">
        <f aca="false">SUM(L31:X31)</f>
        <v>14600</v>
      </c>
      <c r="Z31" s="8" t="n">
        <f aca="false">VLOOKUP(A31,справочник!$E$2:$F$322,2,0)</f>
        <v>0</v>
      </c>
    </row>
    <row collapsed="false" customFormat="false" customHeight="false" hidden="true" ht="15" outlineLevel="0" r="32">
      <c r="A32" s="19" t="n">
        <f aca="false">VLOOKUP(B32,справочник!$B$2:$E$322,4,0)</f>
        <v>136</v>
      </c>
      <c r="B32" s="0" t="e">
        <f aca="false">CONCATENATE(C32;D32)</f>
        <v>#VALUE!</v>
      </c>
      <c r="C32" s="24" t="n">
        <v>144</v>
      </c>
      <c r="D32" s="29" t="s">
        <v>152</v>
      </c>
      <c r="E32" s="24" t="s">
        <v>401</v>
      </c>
      <c r="F32" s="30" t="n">
        <v>41204</v>
      </c>
      <c r="G32" s="30" t="n">
        <v>41214</v>
      </c>
      <c r="H32" s="31" t="n">
        <f aca="false">INT(($H$327-G32)/30)</f>
        <v>38</v>
      </c>
      <c r="I32" s="24" t="n">
        <f aca="false">H32*1000</f>
        <v>38000</v>
      </c>
      <c r="J32" s="31" t="n">
        <v>28000</v>
      </c>
      <c r="K32" s="31"/>
      <c r="L32" s="32" t="n">
        <f aca="false">I32-J32-K32</f>
        <v>10000</v>
      </c>
      <c r="M32" s="33" t="n">
        <v>800</v>
      </c>
      <c r="N32" s="33" t="n">
        <v>800</v>
      </c>
      <c r="O32" s="33" t="n">
        <v>800</v>
      </c>
      <c r="P32" s="33" t="n">
        <v>800</v>
      </c>
      <c r="Q32" s="33" t="n">
        <v>800</v>
      </c>
      <c r="R32" s="33" t="n">
        <v>800</v>
      </c>
      <c r="S32" s="33" t="n">
        <v>800</v>
      </c>
      <c r="T32" s="33" t="n">
        <v>800</v>
      </c>
      <c r="U32" s="33" t="n">
        <v>800</v>
      </c>
      <c r="V32" s="33" t="n">
        <v>800</v>
      </c>
      <c r="W32" s="33" t="n">
        <v>800</v>
      </c>
      <c r="X32" s="33" t="n">
        <v>800</v>
      </c>
      <c r="Y32" s="32" t="n">
        <f aca="false">SUM(L32:X32)</f>
        <v>19600</v>
      </c>
      <c r="Z32" s="8" t="n">
        <f aca="false">VLOOKUP(A32,справочник!$E$2:$F$322,2,0)</f>
        <v>0</v>
      </c>
    </row>
    <row collapsed="false" customFormat="false" customHeight="false" hidden="true" ht="15" outlineLevel="0" r="33">
      <c r="A33" s="19" t="n">
        <f aca="false">VLOOKUP(B33,справочник!$B$2:$E$322,4,0)</f>
        <v>11</v>
      </c>
      <c r="B33" s="0" t="e">
        <f aca="false">CONCATENATE(C33;D33)</f>
        <v>#VALUE!</v>
      </c>
      <c r="C33" s="24" t="n">
        <v>11</v>
      </c>
      <c r="D33" s="29" t="s">
        <v>142</v>
      </c>
      <c r="E33" s="24" t="s">
        <v>402</v>
      </c>
      <c r="F33" s="30" t="n">
        <v>41204</v>
      </c>
      <c r="G33" s="30" t="n">
        <v>41214</v>
      </c>
      <c r="H33" s="31" t="n">
        <f aca="false">INT(($H$327-G33)/30)</f>
        <v>38</v>
      </c>
      <c r="I33" s="24" t="n">
        <f aca="false">H33*1000</f>
        <v>38000</v>
      </c>
      <c r="J33" s="31" t="n">
        <v>26000</v>
      </c>
      <c r="K33" s="31"/>
      <c r="L33" s="32" t="n">
        <f aca="false">I33-J33-K33</f>
        <v>12000</v>
      </c>
      <c r="M33" s="33" t="n">
        <v>800</v>
      </c>
      <c r="N33" s="33" t="n">
        <v>800</v>
      </c>
      <c r="O33" s="33" t="n">
        <v>800</v>
      </c>
      <c r="P33" s="33" t="n">
        <v>800</v>
      </c>
      <c r="Q33" s="33" t="n">
        <v>800</v>
      </c>
      <c r="R33" s="33" t="n">
        <v>800</v>
      </c>
      <c r="S33" s="33" t="n">
        <v>800</v>
      </c>
      <c r="T33" s="33" t="n">
        <v>800</v>
      </c>
      <c r="U33" s="33" t="n">
        <v>800</v>
      </c>
      <c r="V33" s="33" t="n">
        <v>800</v>
      </c>
      <c r="W33" s="33" t="n">
        <v>800</v>
      </c>
      <c r="X33" s="33" t="n">
        <v>800</v>
      </c>
      <c r="Y33" s="32" t="n">
        <f aca="false">SUM(L33:X33)</f>
        <v>21600</v>
      </c>
      <c r="Z33" s="8" t="n">
        <f aca="false">VLOOKUP(A33,справочник!$E$2:$F$322,2,0)</f>
        <v>0</v>
      </c>
    </row>
    <row collapsed="false" customFormat="false" customHeight="false" hidden="true" ht="15" outlineLevel="0" r="34">
      <c r="A34" s="19" t="n">
        <f aca="false">VLOOKUP(B34,справочник!$B$2:$E$322,4,0)</f>
        <v>114</v>
      </c>
      <c r="B34" s="0" t="e">
        <f aca="false">CONCATENATE(C34;D34)</f>
        <v>#VALUE!</v>
      </c>
      <c r="C34" s="24" t="n">
        <v>119</v>
      </c>
      <c r="D34" s="29" t="s">
        <v>48</v>
      </c>
      <c r="E34" s="24" t="s">
        <v>403</v>
      </c>
      <c r="F34" s="30" t="n">
        <v>41262</v>
      </c>
      <c r="G34" s="30" t="n">
        <v>41275</v>
      </c>
      <c r="H34" s="31" t="n">
        <f aca="false">INT(($H$327-G34)/30)</f>
        <v>36</v>
      </c>
      <c r="I34" s="24" t="n">
        <f aca="false">H34*1000</f>
        <v>36000</v>
      </c>
      <c r="J34" s="31" t="n">
        <v>1000</v>
      </c>
      <c r="K34" s="31"/>
      <c r="L34" s="32" t="n">
        <f aca="false">I34-J34-K34</f>
        <v>35000</v>
      </c>
      <c r="M34" s="33" t="n">
        <v>800</v>
      </c>
      <c r="N34" s="33" t="n">
        <v>800</v>
      </c>
      <c r="O34" s="33" t="n">
        <v>800</v>
      </c>
      <c r="P34" s="33" t="n">
        <v>800</v>
      </c>
      <c r="Q34" s="33" t="n">
        <v>800</v>
      </c>
      <c r="R34" s="33" t="n">
        <v>800</v>
      </c>
      <c r="S34" s="33" t="n">
        <v>800</v>
      </c>
      <c r="T34" s="33" t="n">
        <v>800</v>
      </c>
      <c r="U34" s="33" t="n">
        <v>800</v>
      </c>
      <c r="V34" s="33" t="n">
        <v>800</v>
      </c>
      <c r="W34" s="33" t="n">
        <v>800</v>
      </c>
      <c r="X34" s="33" t="n">
        <v>800</v>
      </c>
      <c r="Y34" s="32" t="n">
        <f aca="false">SUM(L34:X34)</f>
        <v>44600</v>
      </c>
      <c r="Z34" s="8" t="n">
        <f aca="false">VLOOKUP(A34,справочник!$E$2:$F$322,2,0)</f>
        <v>0</v>
      </c>
    </row>
    <row collapsed="false" customFormat="false" customHeight="false" hidden="true" ht="15" outlineLevel="0" r="35">
      <c r="A35" s="19" t="n">
        <f aca="false">VLOOKUP(B35,справочник!$B$2:$E$322,4,0)</f>
        <v>151</v>
      </c>
      <c r="B35" s="0" t="e">
        <f aca="false">CONCATENATE(C35;D35)</f>
        <v>#VALUE!</v>
      </c>
      <c r="C35" s="24" t="n">
        <v>159</v>
      </c>
      <c r="D35" s="29" t="s">
        <v>78</v>
      </c>
      <c r="E35" s="24" t="s">
        <v>404</v>
      </c>
      <c r="F35" s="30" t="n">
        <v>41121</v>
      </c>
      <c r="G35" s="30" t="n">
        <v>41122</v>
      </c>
      <c r="H35" s="31" t="n">
        <f aca="false">INT(($H$327-G35)/30)</f>
        <v>41</v>
      </c>
      <c r="I35" s="24" t="n">
        <f aca="false">H35*1000</f>
        <v>41000</v>
      </c>
      <c r="J35" s="31" t="n">
        <v>17000</v>
      </c>
      <c r="K35" s="31"/>
      <c r="L35" s="32" t="n">
        <f aca="false">I35-J35-K35</f>
        <v>24000</v>
      </c>
      <c r="M35" s="33" t="n">
        <v>800</v>
      </c>
      <c r="N35" s="33" t="n">
        <v>800</v>
      </c>
      <c r="O35" s="33" t="n">
        <v>800</v>
      </c>
      <c r="P35" s="33" t="n">
        <v>800</v>
      </c>
      <c r="Q35" s="33" t="n">
        <v>800</v>
      </c>
      <c r="R35" s="33" t="n">
        <v>800</v>
      </c>
      <c r="S35" s="33" t="n">
        <v>800</v>
      </c>
      <c r="T35" s="33" t="n">
        <v>800</v>
      </c>
      <c r="U35" s="33" t="n">
        <v>800</v>
      </c>
      <c r="V35" s="33" t="n">
        <v>800</v>
      </c>
      <c r="W35" s="33" t="n">
        <v>800</v>
      </c>
      <c r="X35" s="33" t="n">
        <v>800</v>
      </c>
      <c r="Y35" s="32" t="n">
        <f aca="false">SUM(L35:X35)</f>
        <v>33600</v>
      </c>
      <c r="Z35" s="8" t="n">
        <f aca="false">VLOOKUP(A35,справочник!$E$2:$F$322,2,0)</f>
        <v>0</v>
      </c>
    </row>
    <row collapsed="false" customFormat="false" customHeight="false" hidden="true" ht="15" outlineLevel="0" r="36">
      <c r="A36" s="19" t="n">
        <f aca="false">VLOOKUP(B36,справочник!$B$2:$E$322,4,0)</f>
        <v>142</v>
      </c>
      <c r="B36" s="0" t="e">
        <f aca="false">CONCATENATE(C36;D36)</f>
        <v>#VALUE!</v>
      </c>
      <c r="C36" s="24" t="n">
        <v>150</v>
      </c>
      <c r="D36" s="29" t="s">
        <v>216</v>
      </c>
      <c r="E36" s="24" t="s">
        <v>405</v>
      </c>
      <c r="F36" s="30" t="n">
        <v>40771</v>
      </c>
      <c r="G36" s="30" t="n">
        <v>40787</v>
      </c>
      <c r="H36" s="31" t="n">
        <f aca="false">INT(($H$327-G36)/30)</f>
        <v>52</v>
      </c>
      <c r="I36" s="24" t="n">
        <f aca="false">H36*1000</f>
        <v>52000</v>
      </c>
      <c r="J36" s="31" t="n">
        <f aca="false">32000+1000</f>
        <v>33000</v>
      </c>
      <c r="K36" s="31" t="n">
        <v>19000</v>
      </c>
      <c r="L36" s="32" t="n">
        <f aca="false">I36-J36-K36</f>
        <v>0</v>
      </c>
      <c r="M36" s="33" t="n">
        <v>800</v>
      </c>
      <c r="N36" s="33" t="n">
        <v>800</v>
      </c>
      <c r="O36" s="33" t="n">
        <v>800</v>
      </c>
      <c r="P36" s="33" t="n">
        <v>800</v>
      </c>
      <c r="Q36" s="33" t="n">
        <v>800</v>
      </c>
      <c r="R36" s="33" t="n">
        <v>800</v>
      </c>
      <c r="S36" s="33" t="n">
        <v>800</v>
      </c>
      <c r="T36" s="33" t="n">
        <v>800</v>
      </c>
      <c r="U36" s="33" t="n">
        <v>800</v>
      </c>
      <c r="V36" s="33" t="n">
        <v>800</v>
      </c>
      <c r="W36" s="33" t="n">
        <v>800</v>
      </c>
      <c r="X36" s="33" t="n">
        <v>800</v>
      </c>
      <c r="Y36" s="32" t="n">
        <f aca="false">SUM(L36:X36)</f>
        <v>9600</v>
      </c>
      <c r="Z36" s="8" t="n">
        <f aca="false">VLOOKUP(A36,справочник!$E$2:$F$322,2,0)</f>
        <v>0</v>
      </c>
    </row>
    <row collapsed="false" customFormat="false" customHeight="false" hidden="true" ht="15" outlineLevel="0" r="37">
      <c r="A37" s="19" t="n">
        <f aca="false">VLOOKUP(B37,справочник!$B$2:$E$322,4,0)</f>
        <v>245</v>
      </c>
      <c r="B37" s="0" t="e">
        <f aca="false">CONCATENATE(C37;D37)</f>
        <v>#VALUE!</v>
      </c>
      <c r="C37" s="24" t="n">
        <v>256</v>
      </c>
      <c r="D37" s="29" t="s">
        <v>259</v>
      </c>
      <c r="E37" s="24" t="s">
        <v>406</v>
      </c>
      <c r="F37" s="30" t="n">
        <v>41930</v>
      </c>
      <c r="G37" s="30" t="n">
        <v>41944</v>
      </c>
      <c r="H37" s="31" t="n">
        <f aca="false">INT(($H$327-G37)/30)</f>
        <v>14</v>
      </c>
      <c r="I37" s="24" t="n">
        <f aca="false">H37*1000</f>
        <v>14000</v>
      </c>
      <c r="J37" s="31" t="n">
        <v>9000</v>
      </c>
      <c r="K37" s="31"/>
      <c r="L37" s="32" t="n">
        <f aca="false">I37-J37-K37</f>
        <v>5000</v>
      </c>
      <c r="M37" s="33" t="n">
        <v>800</v>
      </c>
      <c r="N37" s="33" t="n">
        <v>800</v>
      </c>
      <c r="O37" s="33" t="n">
        <v>800</v>
      </c>
      <c r="P37" s="33" t="n">
        <v>800</v>
      </c>
      <c r="Q37" s="33" t="n">
        <v>800</v>
      </c>
      <c r="R37" s="33" t="n">
        <v>800</v>
      </c>
      <c r="S37" s="33" t="n">
        <v>800</v>
      </c>
      <c r="T37" s="33" t="n">
        <v>800</v>
      </c>
      <c r="U37" s="33" t="n">
        <v>800</v>
      </c>
      <c r="V37" s="33" t="n">
        <v>800</v>
      </c>
      <c r="W37" s="33" t="n">
        <v>800</v>
      </c>
      <c r="X37" s="33" t="n">
        <v>800</v>
      </c>
      <c r="Y37" s="32" t="n">
        <f aca="false">SUM(L37:X37)</f>
        <v>14600</v>
      </c>
      <c r="Z37" s="8" t="n">
        <f aca="false">VLOOKUP(A37,справочник!$E$2:$F$322,2,0)</f>
        <v>0</v>
      </c>
    </row>
    <row collapsed="false" customFormat="false" customHeight="false" hidden="true" ht="15" outlineLevel="0" r="38">
      <c r="A38" s="19" t="n">
        <f aca="false">VLOOKUP(B38,справочник!$B$2:$E$322,4,0)</f>
        <v>188</v>
      </c>
      <c r="B38" s="0" t="e">
        <f aca="false">CONCATENATE(C38;D38)</f>
        <v>#VALUE!</v>
      </c>
      <c r="C38" s="24" t="n">
        <v>196</v>
      </c>
      <c r="D38" s="29" t="s">
        <v>53</v>
      </c>
      <c r="E38" s="24" t="s">
        <v>407</v>
      </c>
      <c r="F38" s="34" t="n">
        <v>41674</v>
      </c>
      <c r="G38" s="34" t="n">
        <v>41699</v>
      </c>
      <c r="H38" s="35" t="n">
        <f aca="false">INT(($H$327-G38)/30)</f>
        <v>22</v>
      </c>
      <c r="I38" s="36" t="n">
        <f aca="false">H38*1000</f>
        <v>22000</v>
      </c>
      <c r="J38" s="35" t="n">
        <v>10000</v>
      </c>
      <c r="K38" s="35"/>
      <c r="L38" s="37" t="n">
        <f aca="false">I38-J38-K38</f>
        <v>12000</v>
      </c>
      <c r="M38" s="33" t="n">
        <v>800</v>
      </c>
      <c r="N38" s="33" t="n">
        <v>800</v>
      </c>
      <c r="O38" s="33" t="n">
        <v>800</v>
      </c>
      <c r="P38" s="33" t="n">
        <v>800</v>
      </c>
      <c r="Q38" s="33" t="n">
        <v>800</v>
      </c>
      <c r="R38" s="33" t="n">
        <v>800</v>
      </c>
      <c r="S38" s="33" t="n">
        <v>800</v>
      </c>
      <c r="T38" s="33" t="n">
        <v>800</v>
      </c>
      <c r="U38" s="33" t="n">
        <v>800</v>
      </c>
      <c r="V38" s="33" t="n">
        <v>800</v>
      </c>
      <c r="W38" s="33" t="n">
        <v>800</v>
      </c>
      <c r="X38" s="33" t="n">
        <v>800</v>
      </c>
      <c r="Y38" s="32" t="n">
        <f aca="false">SUM(L38:X38)</f>
        <v>21600</v>
      </c>
      <c r="Z38" s="8" t="n">
        <f aca="false">VLOOKUP(A38,справочник!$E$2:$F$322,2,0)</f>
        <v>1</v>
      </c>
    </row>
    <row collapsed="false" customFormat="false" customHeight="false" hidden="true" ht="15" outlineLevel="0" r="39">
      <c r="A39" s="19" t="n">
        <f aca="false">VLOOKUP(B39,справочник!$B$2:$E$322,4,0)</f>
        <v>188</v>
      </c>
      <c r="B39" s="0" t="e">
        <f aca="false">CONCATENATE(C39;D39)</f>
        <v>#VALUE!</v>
      </c>
      <c r="C39" s="24" t="n">
        <v>197</v>
      </c>
      <c r="D39" s="29" t="s">
        <v>53</v>
      </c>
      <c r="E39" s="24"/>
      <c r="F39" s="34" t="n">
        <v>41674</v>
      </c>
      <c r="G39" s="34" t="n">
        <v>41699</v>
      </c>
      <c r="H39" s="35" t="n">
        <f aca="false">INT(($H$327-G39)/30)</f>
        <v>22</v>
      </c>
      <c r="I39" s="36" t="n">
        <f aca="false">H39*1000</f>
        <v>22000</v>
      </c>
      <c r="J39" s="35"/>
      <c r="K39" s="35"/>
      <c r="L39" s="37" t="n">
        <f aca="false">I39-J39-K39</f>
        <v>22000</v>
      </c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2" t="n">
        <f aca="false">SUM(L39:X39)</f>
        <v>22000</v>
      </c>
      <c r="Z39" s="8" t="n">
        <f aca="false">VLOOKUP(A39,справочник!$E$2:$F$322,2,0)</f>
        <v>1</v>
      </c>
    </row>
    <row collapsed="false" customFormat="false" customHeight="false" hidden="true" ht="15" outlineLevel="0" r="40">
      <c r="A40" s="19" t="n">
        <f aca="false">VLOOKUP(B40,справочник!$B$2:$E$322,4,0)</f>
        <v>219</v>
      </c>
      <c r="B40" s="0" t="e">
        <f aca="false">CONCATENATE(C40;D40)</f>
        <v>#VALUE!</v>
      </c>
      <c r="C40" s="24" t="n">
        <v>228</v>
      </c>
      <c r="D40" s="29" t="s">
        <v>304</v>
      </c>
      <c r="E40" s="24" t="s">
        <v>408</v>
      </c>
      <c r="F40" s="30" t="n">
        <v>41848</v>
      </c>
      <c r="G40" s="30" t="n">
        <v>41883</v>
      </c>
      <c r="H40" s="31" t="n">
        <f aca="false">INT(($H$327-G40)/30)</f>
        <v>16</v>
      </c>
      <c r="I40" s="24" t="n">
        <f aca="false">H40*1000</f>
        <v>16000</v>
      </c>
      <c r="J40" s="31" t="n">
        <v>13000</v>
      </c>
      <c r="K40" s="31" t="n">
        <v>3000</v>
      </c>
      <c r="L40" s="32" t="n">
        <f aca="false">I40-J40-K40</f>
        <v>0</v>
      </c>
      <c r="M40" s="33" t="n">
        <v>800</v>
      </c>
      <c r="N40" s="33" t="n">
        <v>800</v>
      </c>
      <c r="O40" s="33" t="n">
        <v>800</v>
      </c>
      <c r="P40" s="33" t="n">
        <v>800</v>
      </c>
      <c r="Q40" s="33" t="n">
        <v>800</v>
      </c>
      <c r="R40" s="33" t="n">
        <v>800</v>
      </c>
      <c r="S40" s="33" t="n">
        <v>800</v>
      </c>
      <c r="T40" s="33" t="n">
        <v>800</v>
      </c>
      <c r="U40" s="33" t="n">
        <v>800</v>
      </c>
      <c r="V40" s="33" t="n">
        <v>800</v>
      </c>
      <c r="W40" s="33" t="n">
        <v>800</v>
      </c>
      <c r="X40" s="33" t="n">
        <v>800</v>
      </c>
      <c r="Y40" s="32" t="n">
        <f aca="false">SUM(L40:X40)</f>
        <v>9600</v>
      </c>
      <c r="Z40" s="8" t="n">
        <f aca="false">VLOOKUP(A40,справочник!$E$2:$F$322,2,0)</f>
        <v>0</v>
      </c>
    </row>
    <row collapsed="false" customFormat="false" customHeight="false" hidden="true" ht="15" outlineLevel="0" r="41">
      <c r="A41" s="19" t="n">
        <f aca="false">VLOOKUP(B41,справочник!$B$2:$E$322,4,0)</f>
        <v>223</v>
      </c>
      <c r="B41" s="0" t="e">
        <f aca="false">CONCATENATE(C41;D41)</f>
        <v>#VALUE!</v>
      </c>
      <c r="C41" s="24" t="n">
        <v>232</v>
      </c>
      <c r="D41" s="29" t="s">
        <v>26</v>
      </c>
      <c r="E41" s="24" t="s">
        <v>409</v>
      </c>
      <c r="F41" s="30" t="n">
        <v>40955</v>
      </c>
      <c r="G41" s="30" t="n">
        <v>40940</v>
      </c>
      <c r="H41" s="31" t="n">
        <f aca="false">INT(($H$327-G41)/30)</f>
        <v>47</v>
      </c>
      <c r="I41" s="24" t="n">
        <f aca="false">H41*1000</f>
        <v>47000</v>
      </c>
      <c r="J41" s="31" t="n">
        <v>1000</v>
      </c>
      <c r="K41" s="31" t="n">
        <v>45000</v>
      </c>
      <c r="L41" s="32" t="n">
        <f aca="false">I41-J41-K41</f>
        <v>1000</v>
      </c>
      <c r="M41" s="33" t="n">
        <v>800</v>
      </c>
      <c r="N41" s="33" t="n">
        <v>800</v>
      </c>
      <c r="O41" s="33" t="n">
        <v>800</v>
      </c>
      <c r="P41" s="33" t="n">
        <v>800</v>
      </c>
      <c r="Q41" s="33" t="n">
        <v>800</v>
      </c>
      <c r="R41" s="33" t="n">
        <v>800</v>
      </c>
      <c r="S41" s="33" t="n">
        <v>800</v>
      </c>
      <c r="T41" s="33" t="n">
        <v>800</v>
      </c>
      <c r="U41" s="33" t="n">
        <v>800</v>
      </c>
      <c r="V41" s="33" t="n">
        <v>800</v>
      </c>
      <c r="W41" s="33" t="n">
        <v>800</v>
      </c>
      <c r="X41" s="33" t="n">
        <v>800</v>
      </c>
      <c r="Y41" s="32" t="n">
        <f aca="false">SUM(L41:X41)</f>
        <v>10600</v>
      </c>
      <c r="Z41" s="8" t="n">
        <f aca="false">VLOOKUP(A41,справочник!$E$2:$F$322,2,0)</f>
        <v>0</v>
      </c>
    </row>
    <row collapsed="false" customFormat="false" customHeight="false" hidden="true" ht="15" outlineLevel="0" r="42">
      <c r="A42" s="19" t="n">
        <f aca="false">VLOOKUP(B42,справочник!$B$2:$E$322,4,0)</f>
        <v>137</v>
      </c>
      <c r="B42" s="0" t="e">
        <f aca="false">CONCATENATE(C42;D42)</f>
        <v>#VALUE!</v>
      </c>
      <c r="C42" s="24" t="n">
        <v>145</v>
      </c>
      <c r="D42" s="29" t="s">
        <v>242</v>
      </c>
      <c r="E42" s="24" t="s">
        <v>410</v>
      </c>
      <c r="F42" s="30" t="n">
        <v>41030</v>
      </c>
      <c r="G42" s="30" t="n">
        <v>41030</v>
      </c>
      <c r="H42" s="31" t="n">
        <f aca="false">INT(($H$327-G42)/30)</f>
        <v>44</v>
      </c>
      <c r="I42" s="24" t="n">
        <f aca="false">H42*1000</f>
        <v>44000</v>
      </c>
      <c r="J42" s="31" t="n">
        <v>44000</v>
      </c>
      <c r="K42" s="31"/>
      <c r="L42" s="32" t="n">
        <f aca="false">I42-J42-K42</f>
        <v>0</v>
      </c>
      <c r="M42" s="33" t="n">
        <v>800</v>
      </c>
      <c r="N42" s="33" t="n">
        <v>800</v>
      </c>
      <c r="O42" s="33" t="n">
        <v>800</v>
      </c>
      <c r="P42" s="33" t="n">
        <v>800</v>
      </c>
      <c r="Q42" s="33" t="n">
        <v>800</v>
      </c>
      <c r="R42" s="33" t="n">
        <v>800</v>
      </c>
      <c r="S42" s="33" t="n">
        <v>800</v>
      </c>
      <c r="T42" s="33" t="n">
        <v>800</v>
      </c>
      <c r="U42" s="33" t="n">
        <v>800</v>
      </c>
      <c r="V42" s="33" t="n">
        <v>800</v>
      </c>
      <c r="W42" s="33" t="n">
        <v>800</v>
      </c>
      <c r="X42" s="33" t="n">
        <v>800</v>
      </c>
      <c r="Y42" s="32" t="n">
        <f aca="false">SUM(L42:X42)</f>
        <v>9600</v>
      </c>
      <c r="Z42" s="8" t="n">
        <f aca="false">VLOOKUP(A42,справочник!$E$2:$F$322,2,0)</f>
        <v>0</v>
      </c>
    </row>
    <row collapsed="false" customFormat="false" customHeight="false" hidden="true" ht="15" outlineLevel="0" r="43">
      <c r="A43" s="19" t="n">
        <f aca="false">VLOOKUP(B43,справочник!$B$2:$E$322,4,0)</f>
        <v>105</v>
      </c>
      <c r="B43" s="0" t="e">
        <f aca="false">CONCATENATE(C43;D43)</f>
        <v>#VALUE!</v>
      </c>
      <c r="C43" s="24" t="n">
        <v>110</v>
      </c>
      <c r="D43" s="29" t="s">
        <v>113</v>
      </c>
      <c r="E43" s="24" t="s">
        <v>411</v>
      </c>
      <c r="F43" s="30" t="n">
        <v>40925</v>
      </c>
      <c r="G43" s="30" t="n">
        <v>40909</v>
      </c>
      <c r="H43" s="31" t="n">
        <f aca="false">INT(($H$327-G43)/30)</f>
        <v>48</v>
      </c>
      <c r="I43" s="24" t="n">
        <f aca="false">H43*1000</f>
        <v>48000</v>
      </c>
      <c r="J43" s="31" t="n">
        <v>28000</v>
      </c>
      <c r="K43" s="31"/>
      <c r="L43" s="32" t="n">
        <f aca="false">I43-J43-K43</f>
        <v>20000</v>
      </c>
      <c r="M43" s="33" t="n">
        <v>800</v>
      </c>
      <c r="N43" s="33" t="n">
        <v>800</v>
      </c>
      <c r="O43" s="33" t="n">
        <v>800</v>
      </c>
      <c r="P43" s="33" t="n">
        <v>800</v>
      </c>
      <c r="Q43" s="33" t="n">
        <v>800</v>
      </c>
      <c r="R43" s="33" t="n">
        <v>800</v>
      </c>
      <c r="S43" s="33" t="n">
        <v>800</v>
      </c>
      <c r="T43" s="33" t="n">
        <v>800</v>
      </c>
      <c r="U43" s="33" t="n">
        <v>800</v>
      </c>
      <c r="V43" s="33" t="n">
        <v>800</v>
      </c>
      <c r="W43" s="33" t="n">
        <v>800</v>
      </c>
      <c r="X43" s="33" t="n">
        <v>800</v>
      </c>
      <c r="Y43" s="32" t="n">
        <f aca="false">SUM(L43:X43)</f>
        <v>29600</v>
      </c>
      <c r="Z43" s="8" t="n">
        <f aca="false">VLOOKUP(A43,справочник!$E$2:$F$322,2,0)</f>
        <v>0</v>
      </c>
    </row>
    <row collapsed="false" customFormat="false" customHeight="false" hidden="true" ht="15" outlineLevel="0" r="44">
      <c r="A44" s="19" t="n">
        <f aca="false">VLOOKUP(B44,справочник!$B$2:$E$322,4,0)</f>
        <v>98</v>
      </c>
      <c r="B44" s="0" t="e">
        <f aca="false">CONCATENATE(C44;D44)</f>
        <v>#VALUE!</v>
      </c>
      <c r="C44" s="24" t="n">
        <v>103</v>
      </c>
      <c r="D44" s="29" t="s">
        <v>103</v>
      </c>
      <c r="E44" s="24" t="s">
        <v>412</v>
      </c>
      <c r="F44" s="30" t="n">
        <v>40897</v>
      </c>
      <c r="G44" s="30" t="n">
        <v>40878</v>
      </c>
      <c r="H44" s="31" t="n">
        <f aca="false">INT(($H$327-G44)/30)</f>
        <v>49</v>
      </c>
      <c r="I44" s="24" t="n">
        <f aca="false">H44*1000</f>
        <v>49000</v>
      </c>
      <c r="J44" s="31" t="n">
        <f aca="false">29000+1000</f>
        <v>30000</v>
      </c>
      <c r="K44" s="31"/>
      <c r="L44" s="32" t="n">
        <f aca="false">I44-J44-K44</f>
        <v>19000</v>
      </c>
      <c r="M44" s="33" t="n">
        <v>800</v>
      </c>
      <c r="N44" s="33" t="n">
        <v>800</v>
      </c>
      <c r="O44" s="33" t="n">
        <v>800</v>
      </c>
      <c r="P44" s="33" t="n">
        <v>800</v>
      </c>
      <c r="Q44" s="33" t="n">
        <v>800</v>
      </c>
      <c r="R44" s="33" t="n">
        <v>800</v>
      </c>
      <c r="S44" s="33" t="n">
        <v>800</v>
      </c>
      <c r="T44" s="33" t="n">
        <v>800</v>
      </c>
      <c r="U44" s="33" t="n">
        <v>800</v>
      </c>
      <c r="V44" s="33" t="n">
        <v>800</v>
      </c>
      <c r="W44" s="33" t="n">
        <v>800</v>
      </c>
      <c r="X44" s="33" t="n">
        <v>800</v>
      </c>
      <c r="Y44" s="32" t="n">
        <f aca="false">SUM(L44:X44)</f>
        <v>28600</v>
      </c>
      <c r="Z44" s="8" t="n">
        <f aca="false">VLOOKUP(A44,справочник!$E$2:$F$322,2,0)</f>
        <v>0</v>
      </c>
    </row>
    <row collapsed="false" customFormat="false" customHeight="false" hidden="true" ht="15" outlineLevel="0" r="45">
      <c r="A45" s="19" t="n">
        <f aca="false">VLOOKUP(B45,справочник!$B$2:$E$322,4,0)</f>
        <v>274</v>
      </c>
      <c r="B45" s="0" t="e">
        <f aca="false">CONCATENATE(C45;D45)</f>
        <v>#VALUE!</v>
      </c>
      <c r="C45" s="24" t="n">
        <v>287</v>
      </c>
      <c r="D45" s="29" t="s">
        <v>314</v>
      </c>
      <c r="E45" s="36"/>
      <c r="F45" s="34" t="n">
        <v>42023</v>
      </c>
      <c r="G45" s="34" t="n">
        <v>42036</v>
      </c>
      <c r="H45" s="35" t="n">
        <f aca="false">INT(($H$327-G45)/30)</f>
        <v>11</v>
      </c>
      <c r="I45" s="36" t="n">
        <f aca="false">H45*1000</f>
        <v>11000</v>
      </c>
      <c r="J45" s="35" t="n">
        <v>2000</v>
      </c>
      <c r="K45" s="35"/>
      <c r="L45" s="37" t="n">
        <f aca="false">I45-J45-K45</f>
        <v>9000</v>
      </c>
      <c r="M45" s="33" t="n">
        <v>800</v>
      </c>
      <c r="N45" s="33" t="n">
        <v>800</v>
      </c>
      <c r="O45" s="33" t="n">
        <v>800</v>
      </c>
      <c r="P45" s="33" t="n">
        <v>800</v>
      </c>
      <c r="Q45" s="33" t="n">
        <v>800</v>
      </c>
      <c r="R45" s="33" t="n">
        <v>800</v>
      </c>
      <c r="S45" s="33" t="n">
        <v>800</v>
      </c>
      <c r="T45" s="33" t="n">
        <v>800</v>
      </c>
      <c r="U45" s="33" t="n">
        <v>800</v>
      </c>
      <c r="V45" s="33" t="n">
        <v>800</v>
      </c>
      <c r="W45" s="33" t="n">
        <v>800</v>
      </c>
      <c r="X45" s="33" t="n">
        <v>800</v>
      </c>
      <c r="Y45" s="32" t="n">
        <f aca="false">SUM(L45:X45)</f>
        <v>18600</v>
      </c>
      <c r="Z45" s="8" t="n">
        <f aca="false">VLOOKUP(A45,справочник!$E$2:$F$322,2,0)</f>
        <v>1</v>
      </c>
    </row>
    <row collapsed="false" customFormat="false" customHeight="false" hidden="true" ht="15" outlineLevel="0" r="46">
      <c r="A46" s="19" t="n">
        <f aca="false">VLOOKUP(B46,справочник!$B$2:$E$322,4,0)</f>
        <v>274</v>
      </c>
      <c r="B46" s="0" t="e">
        <f aca="false">CONCATENATE(C46;D46)</f>
        <v>#VALUE!</v>
      </c>
      <c r="C46" s="24" t="n">
        <v>295</v>
      </c>
      <c r="D46" s="29" t="s">
        <v>314</v>
      </c>
      <c r="E46" s="36"/>
      <c r="F46" s="34" t="n">
        <v>42023</v>
      </c>
      <c r="G46" s="34" t="n">
        <v>42036</v>
      </c>
      <c r="H46" s="35" t="n">
        <f aca="false">INT(($H$327-G46)/30)</f>
        <v>11</v>
      </c>
      <c r="I46" s="36" t="n">
        <f aca="false">H46*1000</f>
        <v>11000</v>
      </c>
      <c r="J46" s="35"/>
      <c r="K46" s="35"/>
      <c r="L46" s="37" t="n">
        <f aca="false">I46-J46-K46</f>
        <v>11000</v>
      </c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2" t="n">
        <f aca="false">SUM(L46:X46)</f>
        <v>11000</v>
      </c>
      <c r="Z46" s="8" t="n">
        <f aca="false">VLOOKUP(A46,справочник!$E$2:$F$322,2,0)</f>
        <v>1</v>
      </c>
    </row>
    <row collapsed="false" customFormat="false" customHeight="false" hidden="true" ht="15" outlineLevel="0" r="47">
      <c r="A47" s="19" t="n">
        <f aca="false">VLOOKUP(B47,справочник!$B$2:$E$322,4,0)</f>
        <v>175</v>
      </c>
      <c r="B47" s="0" t="e">
        <f aca="false">CONCATENATE(C47;D47)</f>
        <v>#VALUE!</v>
      </c>
      <c r="C47" s="24" t="n">
        <v>183</v>
      </c>
      <c r="D47" s="29" t="s">
        <v>150</v>
      </c>
      <c r="E47" s="24" t="s">
        <v>413</v>
      </c>
      <c r="F47" s="34" t="n">
        <v>41865</v>
      </c>
      <c r="G47" s="34" t="n">
        <v>41883</v>
      </c>
      <c r="H47" s="35" t="n">
        <f aca="false">INT(($H$327-G47)/30)</f>
        <v>16</v>
      </c>
      <c r="I47" s="36" t="n">
        <f aca="false">H47*1000</f>
        <v>16000</v>
      </c>
      <c r="J47" s="35"/>
      <c r="K47" s="35"/>
      <c r="L47" s="37" t="n">
        <f aca="false">I47-J47-K47</f>
        <v>16000</v>
      </c>
      <c r="M47" s="33" t="n">
        <v>800</v>
      </c>
      <c r="N47" s="33" t="n">
        <v>800</v>
      </c>
      <c r="O47" s="33" t="n">
        <v>800</v>
      </c>
      <c r="P47" s="33" t="n">
        <v>800</v>
      </c>
      <c r="Q47" s="33" t="n">
        <v>800</v>
      </c>
      <c r="R47" s="33" t="n">
        <v>800</v>
      </c>
      <c r="S47" s="33" t="n">
        <v>800</v>
      </c>
      <c r="T47" s="33" t="n">
        <v>800</v>
      </c>
      <c r="U47" s="33" t="n">
        <v>800</v>
      </c>
      <c r="V47" s="33" t="n">
        <v>800</v>
      </c>
      <c r="W47" s="33" t="n">
        <v>800</v>
      </c>
      <c r="X47" s="33" t="n">
        <v>800</v>
      </c>
      <c r="Y47" s="32" t="n">
        <f aca="false">SUM(L47:X47)</f>
        <v>25600</v>
      </c>
      <c r="Z47" s="8" t="n">
        <f aca="false">VLOOKUP(A47,справочник!$E$2:$F$322,2,0)</f>
        <v>1</v>
      </c>
    </row>
    <row collapsed="false" customFormat="false" customHeight="false" hidden="true" ht="15" outlineLevel="0" r="48">
      <c r="A48" s="19" t="n">
        <f aca="false">VLOOKUP(B48,справочник!$B$2:$E$322,4,0)</f>
        <v>175</v>
      </c>
      <c r="B48" s="0" t="e">
        <f aca="false">CONCATENATE(C48;D48)</f>
        <v>#VALUE!</v>
      </c>
      <c r="C48" s="24" t="n">
        <v>187</v>
      </c>
      <c r="D48" s="29" t="s">
        <v>150</v>
      </c>
      <c r="E48" s="24" t="s">
        <v>414</v>
      </c>
      <c r="F48" s="34" t="n">
        <v>41865</v>
      </c>
      <c r="G48" s="34" t="n">
        <v>41883</v>
      </c>
      <c r="H48" s="35" t="n">
        <f aca="false">INT(($H$327-G48)/30)</f>
        <v>16</v>
      </c>
      <c r="I48" s="36" t="n">
        <f aca="false">H48*1000</f>
        <v>16000</v>
      </c>
      <c r="J48" s="35"/>
      <c r="K48" s="35"/>
      <c r="L48" s="37" t="n">
        <f aca="false">I48-J48-K48</f>
        <v>16000</v>
      </c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2" t="n">
        <f aca="false">SUM(L48:X48)</f>
        <v>16000</v>
      </c>
      <c r="Z48" s="8" t="n">
        <f aca="false">VLOOKUP(A48,справочник!$E$2:$F$322,2,0)</f>
        <v>1</v>
      </c>
    </row>
    <row collapsed="false" customFormat="false" customHeight="false" hidden="true" ht="15" outlineLevel="0" r="49">
      <c r="A49" s="19" t="n">
        <f aca="false">VLOOKUP(B49,справочник!$B$2:$E$322,4,0)</f>
        <v>303</v>
      </c>
      <c r="B49" s="0" t="e">
        <f aca="false">CONCATENATE(C49;D49)</f>
        <v>#VALUE!</v>
      </c>
      <c r="C49" s="24" t="n">
        <v>318</v>
      </c>
      <c r="D49" s="29" t="s">
        <v>74</v>
      </c>
      <c r="E49" s="24" t="s">
        <v>415</v>
      </c>
      <c r="F49" s="34" t="n">
        <v>42002</v>
      </c>
      <c r="G49" s="34" t="n">
        <v>42005</v>
      </c>
      <c r="H49" s="35" t="n">
        <f aca="false">INT(($H$327-G49)/30)</f>
        <v>12</v>
      </c>
      <c r="I49" s="36" t="n">
        <f aca="false">H49*1000</f>
        <v>12000</v>
      </c>
      <c r="J49" s="35"/>
      <c r="K49" s="35"/>
      <c r="L49" s="37" t="n">
        <f aca="false">I49-J49-K49</f>
        <v>12000</v>
      </c>
      <c r="M49" s="33" t="n">
        <v>800</v>
      </c>
      <c r="N49" s="33" t="n">
        <v>800</v>
      </c>
      <c r="O49" s="33" t="n">
        <v>800</v>
      </c>
      <c r="P49" s="33" t="n">
        <v>800</v>
      </c>
      <c r="Q49" s="33" t="n">
        <v>800</v>
      </c>
      <c r="R49" s="33" t="n">
        <v>800</v>
      </c>
      <c r="S49" s="33" t="n">
        <v>800</v>
      </c>
      <c r="T49" s="33" t="n">
        <v>800</v>
      </c>
      <c r="U49" s="33" t="n">
        <v>800</v>
      </c>
      <c r="V49" s="33" t="n">
        <v>800</v>
      </c>
      <c r="W49" s="33" t="n">
        <v>800</v>
      </c>
      <c r="X49" s="33" t="n">
        <v>800</v>
      </c>
      <c r="Y49" s="32" t="n">
        <f aca="false">SUM(L49:X49)</f>
        <v>21600</v>
      </c>
      <c r="Z49" s="8" t="n">
        <f aca="false">VLOOKUP(A49,справочник!$E$2:$F$322,2,0)</f>
        <v>1</v>
      </c>
    </row>
    <row collapsed="false" customFormat="false" customHeight="false" hidden="true" ht="15" outlineLevel="0" r="50">
      <c r="A50" s="19" t="n">
        <f aca="false">VLOOKUP(B50,справочник!$B$2:$E$322,4,0)</f>
        <v>303</v>
      </c>
      <c r="B50" s="0" t="e">
        <f aca="false">CONCATENATE(C50;D50)</f>
        <v>#VALUE!</v>
      </c>
      <c r="C50" s="24" t="n">
        <v>319</v>
      </c>
      <c r="D50" s="29" t="s">
        <v>74</v>
      </c>
      <c r="E50" s="24" t="s">
        <v>416</v>
      </c>
      <c r="F50" s="34" t="n">
        <v>42002</v>
      </c>
      <c r="G50" s="34" t="n">
        <v>42005</v>
      </c>
      <c r="H50" s="35" t="n">
        <f aca="false">INT(($H$327-G50)/30)</f>
        <v>12</v>
      </c>
      <c r="I50" s="36" t="n">
        <f aca="false">H50*1000</f>
        <v>12000</v>
      </c>
      <c r="J50" s="35"/>
      <c r="K50" s="35"/>
      <c r="L50" s="37" t="n">
        <f aca="false">I50-J50-K50</f>
        <v>12000</v>
      </c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2" t="n">
        <f aca="false">SUM(L50:X50)</f>
        <v>12000</v>
      </c>
      <c r="Z50" s="8" t="n">
        <f aca="false">VLOOKUP(A50,справочник!$E$2:$F$322,2,0)</f>
        <v>1</v>
      </c>
    </row>
    <row collapsed="false" customFormat="false" customHeight="false" hidden="true" ht="15" outlineLevel="0" r="51">
      <c r="A51" s="19" t="n">
        <f aca="false">VLOOKUP(B51,справочник!$B$2:$E$322,4,0)</f>
        <v>90</v>
      </c>
      <c r="B51" s="0" t="e">
        <f aca="false">CONCATENATE(C51;D51)</f>
        <v>#VALUE!</v>
      </c>
      <c r="C51" s="24" t="n">
        <v>95</v>
      </c>
      <c r="D51" s="29" t="s">
        <v>286</v>
      </c>
      <c r="E51" s="24" t="s">
        <v>417</v>
      </c>
      <c r="F51" s="30" t="n">
        <v>40795</v>
      </c>
      <c r="G51" s="30" t="n">
        <v>40787</v>
      </c>
      <c r="H51" s="31" t="n">
        <f aca="false">INT(($H$327-G51)/30)</f>
        <v>52</v>
      </c>
      <c r="I51" s="24" t="n">
        <f aca="false">H51*1000</f>
        <v>52000</v>
      </c>
      <c r="J51" s="31" t="n">
        <f aca="false">36000+4000+12000</f>
        <v>52000</v>
      </c>
      <c r="K51" s="31"/>
      <c r="L51" s="32" t="n">
        <f aca="false">I51-J51-K51</f>
        <v>0</v>
      </c>
      <c r="M51" s="33" t="n">
        <v>800</v>
      </c>
      <c r="N51" s="33" t="n">
        <v>800</v>
      </c>
      <c r="O51" s="33" t="n">
        <v>800</v>
      </c>
      <c r="P51" s="33" t="n">
        <v>800</v>
      </c>
      <c r="Q51" s="33" t="n">
        <v>800</v>
      </c>
      <c r="R51" s="33" t="n">
        <v>800</v>
      </c>
      <c r="S51" s="33" t="n">
        <v>800</v>
      </c>
      <c r="T51" s="33" t="n">
        <v>800</v>
      </c>
      <c r="U51" s="33" t="n">
        <v>800</v>
      </c>
      <c r="V51" s="33" t="n">
        <v>800</v>
      </c>
      <c r="W51" s="33" t="n">
        <v>800</v>
      </c>
      <c r="X51" s="33" t="n">
        <v>800</v>
      </c>
      <c r="Y51" s="32" t="n">
        <f aca="false">SUM(L51:X51)</f>
        <v>9600</v>
      </c>
      <c r="Z51" s="8" t="n">
        <f aca="false">VLOOKUP(A51,справочник!$E$2:$F$322,2,0)</f>
        <v>0</v>
      </c>
    </row>
    <row collapsed="false" customFormat="false" customHeight="false" hidden="true" ht="15" outlineLevel="0" r="52">
      <c r="A52" s="19" t="n">
        <f aca="false">VLOOKUP(B52,справочник!$B$2:$E$322,4,0)</f>
        <v>206</v>
      </c>
      <c r="B52" s="0" t="e">
        <f aca="false">CONCATENATE(C52;D52)</f>
        <v>#VALUE!</v>
      </c>
      <c r="C52" s="24" t="n">
        <v>216</v>
      </c>
      <c r="D52" s="29" t="s">
        <v>159</v>
      </c>
      <c r="E52" s="24" t="s">
        <v>418</v>
      </c>
      <c r="F52" s="30" t="n">
        <v>40953</v>
      </c>
      <c r="G52" s="30" t="n">
        <v>40940</v>
      </c>
      <c r="H52" s="31" t="n">
        <f aca="false">INT(($H$327-G52)/30)</f>
        <v>47</v>
      </c>
      <c r="I52" s="24" t="n">
        <f aca="false">H52*1000</f>
        <v>47000</v>
      </c>
      <c r="J52" s="31" t="n">
        <v>38000</v>
      </c>
      <c r="K52" s="31"/>
      <c r="L52" s="32" t="n">
        <f aca="false">I52-J52-K52</f>
        <v>9000</v>
      </c>
      <c r="M52" s="33" t="n">
        <v>800</v>
      </c>
      <c r="N52" s="33" t="n">
        <v>800</v>
      </c>
      <c r="O52" s="33" t="n">
        <v>800</v>
      </c>
      <c r="P52" s="33" t="n">
        <v>800</v>
      </c>
      <c r="Q52" s="33" t="n">
        <v>800</v>
      </c>
      <c r="R52" s="33" t="n">
        <v>800</v>
      </c>
      <c r="S52" s="33" t="n">
        <v>800</v>
      </c>
      <c r="T52" s="33" t="n">
        <v>800</v>
      </c>
      <c r="U52" s="33" t="n">
        <v>800</v>
      </c>
      <c r="V52" s="33" t="n">
        <v>800</v>
      </c>
      <c r="W52" s="33" t="n">
        <v>800</v>
      </c>
      <c r="X52" s="33" t="n">
        <v>800</v>
      </c>
      <c r="Y52" s="32" t="n">
        <f aca="false">SUM(L52:X52)</f>
        <v>18600</v>
      </c>
      <c r="Z52" s="8" t="n">
        <f aca="false">VLOOKUP(A52,справочник!$E$2:$F$322,2,0)</f>
        <v>0</v>
      </c>
    </row>
    <row collapsed="false" customFormat="false" customHeight="false" hidden="true" ht="15" outlineLevel="0" r="53">
      <c r="A53" s="19" t="n">
        <f aca="false">VLOOKUP(B53,справочник!$B$2:$E$322,4,0)</f>
        <v>101</v>
      </c>
      <c r="B53" s="0" t="e">
        <f aca="false">CONCATENATE(C53;D53)</f>
        <v>#VALUE!</v>
      </c>
      <c r="C53" s="24" t="n">
        <v>106</v>
      </c>
      <c r="D53" s="29" t="s">
        <v>196</v>
      </c>
      <c r="E53" s="24" t="s">
        <v>419</v>
      </c>
      <c r="F53" s="30" t="n">
        <v>40816</v>
      </c>
      <c r="G53" s="30" t="n">
        <v>40787</v>
      </c>
      <c r="H53" s="31" t="n">
        <f aca="false">INT(($H$327-G53)/30)</f>
        <v>52</v>
      </c>
      <c r="I53" s="24" t="n">
        <f aca="false">H53*1000</f>
        <v>52000</v>
      </c>
      <c r="J53" s="31" t="n">
        <f aca="false">42000+1000</f>
        <v>43000</v>
      </c>
      <c r="K53" s="31"/>
      <c r="L53" s="32" t="n">
        <f aca="false">I53-J53-K53</f>
        <v>9000</v>
      </c>
      <c r="M53" s="33" t="n">
        <v>800</v>
      </c>
      <c r="N53" s="33" t="n">
        <v>800</v>
      </c>
      <c r="O53" s="33" t="n">
        <v>800</v>
      </c>
      <c r="P53" s="33" t="n">
        <v>800</v>
      </c>
      <c r="Q53" s="33" t="n">
        <v>800</v>
      </c>
      <c r="R53" s="33" t="n">
        <v>800</v>
      </c>
      <c r="S53" s="33" t="n">
        <v>800</v>
      </c>
      <c r="T53" s="33" t="n">
        <v>800</v>
      </c>
      <c r="U53" s="33" t="n">
        <v>800</v>
      </c>
      <c r="V53" s="33" t="n">
        <v>800</v>
      </c>
      <c r="W53" s="33" t="n">
        <v>800</v>
      </c>
      <c r="X53" s="33" t="n">
        <v>800</v>
      </c>
      <c r="Y53" s="32" t="n">
        <f aca="false">SUM(L53:X53)</f>
        <v>18600</v>
      </c>
      <c r="Z53" s="8" t="n">
        <f aca="false">VLOOKUP(A53,справочник!$E$2:$F$322,2,0)</f>
        <v>0</v>
      </c>
    </row>
    <row collapsed="false" customFormat="false" customHeight="false" hidden="false" ht="15" outlineLevel="0" r="54">
      <c r="A54" s="19" t="n">
        <f aca="false">VLOOKUP(B54,справочник!$B$2:$E$322,4,0)</f>
        <v>86</v>
      </c>
      <c r="B54" s="0" t="e">
        <f aca="false">CONCATENATE(C54;D54)</f>
        <v>#VALUE!</v>
      </c>
      <c r="C54" s="24" t="n">
        <v>91</v>
      </c>
      <c r="D54" s="29" t="s">
        <v>277</v>
      </c>
      <c r="E54" s="24" t="s">
        <v>420</v>
      </c>
      <c r="F54" s="30" t="n">
        <v>40847</v>
      </c>
      <c r="G54" s="30" t="n">
        <v>40848</v>
      </c>
      <c r="H54" s="31" t="n">
        <f aca="false">INT(($H$327-G54)/30)</f>
        <v>50</v>
      </c>
      <c r="I54" s="24" t="n">
        <f aca="false">H54*1000</f>
        <v>50000</v>
      </c>
      <c r="J54" s="31" t="n">
        <f aca="false">34000+13000</f>
        <v>47000</v>
      </c>
      <c r="K54" s="31" t="n">
        <v>4000</v>
      </c>
      <c r="L54" s="32" t="n">
        <f aca="false">I54-J54-K54</f>
        <v>-1000</v>
      </c>
      <c r="M54" s="33" t="n">
        <v>800</v>
      </c>
      <c r="N54" s="33" t="n">
        <v>800</v>
      </c>
      <c r="O54" s="33" t="n">
        <v>800</v>
      </c>
      <c r="P54" s="33" t="n">
        <v>800</v>
      </c>
      <c r="Q54" s="33" t="n">
        <v>800</v>
      </c>
      <c r="R54" s="33" t="n">
        <v>800</v>
      </c>
      <c r="S54" s="33" t="n">
        <v>800</v>
      </c>
      <c r="T54" s="33" t="n">
        <v>800</v>
      </c>
      <c r="U54" s="33" t="n">
        <v>800</v>
      </c>
      <c r="V54" s="33" t="n">
        <v>800</v>
      </c>
      <c r="W54" s="33" t="n">
        <v>800</v>
      </c>
      <c r="X54" s="33" t="n">
        <v>800</v>
      </c>
      <c r="Y54" s="32" t="n">
        <f aca="false">SUM(L54:X54)</f>
        <v>8600</v>
      </c>
      <c r="Z54" s="8" t="n">
        <f aca="false">VLOOKUP(A54,справочник!$E$2:$F$322,2,0)</f>
        <v>0</v>
      </c>
    </row>
    <row collapsed="false" customFormat="false" customHeight="false" hidden="true" ht="15" outlineLevel="0" r="55">
      <c r="A55" s="19" t="n">
        <f aca="false">VLOOKUP(B55,справочник!$B$2:$E$322,4,0)</f>
        <v>43</v>
      </c>
      <c r="B55" s="0" t="e">
        <f aca="false">CONCATENATE(C55;D55)</f>
        <v>#VALUE!</v>
      </c>
      <c r="C55" s="24" t="n">
        <v>43</v>
      </c>
      <c r="D55" s="29" t="s">
        <v>89</v>
      </c>
      <c r="E55" s="24" t="s">
        <v>421</v>
      </c>
      <c r="F55" s="30" t="n">
        <v>40786</v>
      </c>
      <c r="G55" s="30" t="n">
        <v>40787</v>
      </c>
      <c r="H55" s="31" t="n">
        <f aca="false">INT(($H$327-G55)/30)</f>
        <v>52</v>
      </c>
      <c r="I55" s="24" t="n">
        <f aca="false">H55*1000</f>
        <v>52000</v>
      </c>
      <c r="J55" s="31" t="n">
        <f aca="false">27000+2000</f>
        <v>29000</v>
      </c>
      <c r="K55" s="31"/>
      <c r="L55" s="32" t="n">
        <f aca="false">I55-J55-K55</f>
        <v>23000</v>
      </c>
      <c r="M55" s="33" t="n">
        <v>800</v>
      </c>
      <c r="N55" s="33" t="n">
        <v>800</v>
      </c>
      <c r="O55" s="33" t="n">
        <v>800</v>
      </c>
      <c r="P55" s="33" t="n">
        <v>800</v>
      </c>
      <c r="Q55" s="33" t="n">
        <v>800</v>
      </c>
      <c r="R55" s="33" t="n">
        <v>800</v>
      </c>
      <c r="S55" s="33" t="n">
        <v>800</v>
      </c>
      <c r="T55" s="33" t="n">
        <v>800</v>
      </c>
      <c r="U55" s="33" t="n">
        <v>800</v>
      </c>
      <c r="V55" s="33" t="n">
        <v>800</v>
      </c>
      <c r="W55" s="33" t="n">
        <v>800</v>
      </c>
      <c r="X55" s="33" t="n">
        <v>800</v>
      </c>
      <c r="Y55" s="32" t="n">
        <f aca="false">SUM(L55:X55)</f>
        <v>32600</v>
      </c>
      <c r="Z55" s="8" t="n">
        <f aca="false">VLOOKUP(A55,справочник!$E$2:$F$322,2,0)</f>
        <v>0</v>
      </c>
    </row>
    <row collapsed="false" customFormat="false" customHeight="false" hidden="true" ht="15" outlineLevel="0" r="56">
      <c r="A56" s="19" t="n">
        <f aca="false">VLOOKUP(B56,справочник!$B$2:$E$322,4,0)</f>
        <v>25</v>
      </c>
      <c r="B56" s="0" t="e">
        <f aca="false">CONCATENATE(C56;D56)</f>
        <v>#VALUE!</v>
      </c>
      <c r="C56" s="24" t="n">
        <v>25</v>
      </c>
      <c r="D56" s="29" t="s">
        <v>310</v>
      </c>
      <c r="E56" s="24" t="s">
        <v>422</v>
      </c>
      <c r="F56" s="30" t="n">
        <v>40955</v>
      </c>
      <c r="G56" s="30" t="n">
        <v>40940</v>
      </c>
      <c r="H56" s="31" t="n">
        <f aca="false">INT(($H$327-G56)/30)</f>
        <v>47</v>
      </c>
      <c r="I56" s="24" t="n">
        <f aca="false">H56*1000</f>
        <v>47000</v>
      </c>
      <c r="J56" s="31" t="n">
        <f aca="false">33000+11000</f>
        <v>44000</v>
      </c>
      <c r="K56" s="31" t="n">
        <v>3000</v>
      </c>
      <c r="L56" s="32" t="n">
        <f aca="false">I56-J56-K56</f>
        <v>0</v>
      </c>
      <c r="M56" s="33" t="n">
        <v>800</v>
      </c>
      <c r="N56" s="33" t="n">
        <v>800</v>
      </c>
      <c r="O56" s="33" t="n">
        <v>800</v>
      </c>
      <c r="P56" s="33" t="n">
        <v>800</v>
      </c>
      <c r="Q56" s="33" t="n">
        <v>800</v>
      </c>
      <c r="R56" s="33" t="n">
        <v>800</v>
      </c>
      <c r="S56" s="33" t="n">
        <v>800</v>
      </c>
      <c r="T56" s="33" t="n">
        <v>800</v>
      </c>
      <c r="U56" s="33" t="n">
        <v>800</v>
      </c>
      <c r="V56" s="33" t="n">
        <v>800</v>
      </c>
      <c r="W56" s="33" t="n">
        <v>800</v>
      </c>
      <c r="X56" s="33" t="n">
        <v>800</v>
      </c>
      <c r="Y56" s="32" t="n">
        <f aca="false">SUM(L56:X56)</f>
        <v>9600</v>
      </c>
      <c r="Z56" s="8" t="n">
        <f aca="false">VLOOKUP(A56,справочник!$E$2:$F$322,2,0)</f>
        <v>0</v>
      </c>
    </row>
    <row collapsed="false" customFormat="false" customHeight="false" hidden="true" ht="15" outlineLevel="0" r="57">
      <c r="A57" s="19" t="n">
        <f aca="false">VLOOKUP(B57,справочник!$B$2:$E$322,4,0)</f>
        <v>138</v>
      </c>
      <c r="B57" s="0" t="e">
        <f aca="false">CONCATENATE(C57;D57)</f>
        <v>#VALUE!</v>
      </c>
      <c r="C57" s="24" t="n">
        <v>146</v>
      </c>
      <c r="D57" s="29" t="s">
        <v>302</v>
      </c>
      <c r="E57" s="24" t="s">
        <v>423</v>
      </c>
      <c r="F57" s="30" t="n">
        <v>40784</v>
      </c>
      <c r="G57" s="30" t="n">
        <v>40756</v>
      </c>
      <c r="H57" s="31" t="n">
        <f aca="false">INT(($H$327-G57)/30)</f>
        <v>53</v>
      </c>
      <c r="I57" s="24" t="n">
        <f aca="false">H57*1000</f>
        <v>53000</v>
      </c>
      <c r="J57" s="31" t="n">
        <f aca="false">53000</f>
        <v>53000</v>
      </c>
      <c r="K57" s="31"/>
      <c r="L57" s="32" t="n">
        <f aca="false">I57-J57-K57</f>
        <v>0</v>
      </c>
      <c r="M57" s="33" t="n">
        <v>800</v>
      </c>
      <c r="N57" s="33" t="n">
        <v>800</v>
      </c>
      <c r="O57" s="33" t="n">
        <v>800</v>
      </c>
      <c r="P57" s="33" t="n">
        <v>800</v>
      </c>
      <c r="Q57" s="33" t="n">
        <v>800</v>
      </c>
      <c r="R57" s="33" t="n">
        <v>800</v>
      </c>
      <c r="S57" s="33" t="n">
        <v>800</v>
      </c>
      <c r="T57" s="33" t="n">
        <v>800</v>
      </c>
      <c r="U57" s="33" t="n">
        <v>800</v>
      </c>
      <c r="V57" s="33" t="n">
        <v>800</v>
      </c>
      <c r="W57" s="33" t="n">
        <v>800</v>
      </c>
      <c r="X57" s="33" t="n">
        <v>800</v>
      </c>
      <c r="Y57" s="32" t="n">
        <f aca="false">SUM(L57:X57)</f>
        <v>9600</v>
      </c>
      <c r="Z57" s="8" t="n">
        <f aca="false">VLOOKUP(A57,справочник!$E$2:$F$322,2,0)</f>
        <v>0</v>
      </c>
    </row>
    <row collapsed="false" customFormat="false" customHeight="false" hidden="true" ht="15" outlineLevel="0" r="58">
      <c r="A58" s="19" t="n">
        <f aca="false">VLOOKUP(B58,справочник!$B$2:$E$322,4,0)</f>
        <v>228</v>
      </c>
      <c r="B58" s="0" t="e">
        <f aca="false">CONCATENATE(C58;D58)</f>
        <v>#VALUE!</v>
      </c>
      <c r="C58" s="24" t="n">
        <v>237</v>
      </c>
      <c r="D58" s="29" t="s">
        <v>85</v>
      </c>
      <c r="E58" s="24" t="s">
        <v>424</v>
      </c>
      <c r="F58" s="30" t="n">
        <v>41703</v>
      </c>
      <c r="G58" s="30" t="n">
        <v>41730</v>
      </c>
      <c r="H58" s="31" t="n">
        <f aca="false">INT(($H$327-G58)/30)</f>
        <v>21</v>
      </c>
      <c r="I58" s="24" t="n">
        <f aca="false">H58*1000</f>
        <v>21000</v>
      </c>
      <c r="J58" s="31"/>
      <c r="K58" s="31"/>
      <c r="L58" s="32" t="n">
        <f aca="false">I58-J58-K58</f>
        <v>21000</v>
      </c>
      <c r="M58" s="33" t="n">
        <v>800</v>
      </c>
      <c r="N58" s="33" t="n">
        <v>800</v>
      </c>
      <c r="O58" s="33" t="n">
        <v>800</v>
      </c>
      <c r="P58" s="33" t="n">
        <v>800</v>
      </c>
      <c r="Q58" s="33" t="n">
        <v>800</v>
      </c>
      <c r="R58" s="33" t="n">
        <v>800</v>
      </c>
      <c r="S58" s="33" t="n">
        <v>800</v>
      </c>
      <c r="T58" s="33" t="n">
        <v>800</v>
      </c>
      <c r="U58" s="33" t="n">
        <v>800</v>
      </c>
      <c r="V58" s="33" t="n">
        <v>800</v>
      </c>
      <c r="W58" s="33" t="n">
        <v>800</v>
      </c>
      <c r="X58" s="33" t="n">
        <v>800</v>
      </c>
      <c r="Y58" s="32" t="n">
        <f aca="false">SUM(L58:X58)</f>
        <v>30600</v>
      </c>
      <c r="Z58" s="8" t="n">
        <f aca="false">VLOOKUP(A58,справочник!$E$2:$F$322,2,0)</f>
        <v>0</v>
      </c>
    </row>
    <row collapsed="false" customFormat="false" customHeight="false" hidden="true" ht="15" outlineLevel="0" r="59">
      <c r="A59" s="19" t="n">
        <f aca="false">VLOOKUP(B59,справочник!$B$2:$E$322,4,0)</f>
        <v>37</v>
      </c>
      <c r="B59" s="0" t="e">
        <f aca="false">CONCATENATE(C59;D59)</f>
        <v>#VALUE!</v>
      </c>
      <c r="C59" s="24" t="n">
        <v>37</v>
      </c>
      <c r="D59" s="29" t="s">
        <v>218</v>
      </c>
      <c r="E59" s="24" t="s">
        <v>425</v>
      </c>
      <c r="F59" s="30" t="n">
        <v>40795</v>
      </c>
      <c r="G59" s="30" t="n">
        <v>40787</v>
      </c>
      <c r="H59" s="31" t="n">
        <f aca="false">INT(($H$327-G59)/30)</f>
        <v>52</v>
      </c>
      <c r="I59" s="24" t="n">
        <f aca="false">H59*1000</f>
        <v>52000</v>
      </c>
      <c r="J59" s="31" t="n">
        <f aca="false">48000+4000</f>
        <v>52000</v>
      </c>
      <c r="K59" s="31"/>
      <c r="L59" s="32" t="n">
        <f aca="false">I59-J59-K59</f>
        <v>0</v>
      </c>
      <c r="M59" s="33" t="n">
        <v>800</v>
      </c>
      <c r="N59" s="33" t="n">
        <v>800</v>
      </c>
      <c r="O59" s="33" t="n">
        <v>800</v>
      </c>
      <c r="P59" s="33" t="n">
        <v>800</v>
      </c>
      <c r="Q59" s="33" t="n">
        <v>800</v>
      </c>
      <c r="R59" s="33" t="n">
        <v>800</v>
      </c>
      <c r="S59" s="33" t="n">
        <v>800</v>
      </c>
      <c r="T59" s="33" t="n">
        <v>800</v>
      </c>
      <c r="U59" s="33" t="n">
        <v>800</v>
      </c>
      <c r="V59" s="33" t="n">
        <v>800</v>
      </c>
      <c r="W59" s="33" t="n">
        <v>800</v>
      </c>
      <c r="X59" s="33" t="n">
        <v>800</v>
      </c>
      <c r="Y59" s="32" t="n">
        <f aca="false">SUM(L59:X59)</f>
        <v>9600</v>
      </c>
      <c r="Z59" s="8" t="n">
        <f aca="false">VLOOKUP(A59,справочник!$E$2:$F$322,2,0)</f>
        <v>0</v>
      </c>
    </row>
    <row collapsed="false" customFormat="false" customHeight="false" hidden="true" ht="15" outlineLevel="0" r="60">
      <c r="A60" s="19" t="n">
        <f aca="false">VLOOKUP(B60,справочник!$B$2:$E$322,4,0)</f>
        <v>126</v>
      </c>
      <c r="B60" s="0" t="e">
        <f aca="false">CONCATENATE(C60;D60)</f>
        <v>#VALUE!</v>
      </c>
      <c r="C60" s="24" t="n">
        <v>131</v>
      </c>
      <c r="D60" s="29" t="s">
        <v>244</v>
      </c>
      <c r="E60" s="24" t="s">
        <v>426</v>
      </c>
      <c r="F60" s="30" t="n">
        <v>41183</v>
      </c>
      <c r="G60" s="30" t="n">
        <v>41244</v>
      </c>
      <c r="H60" s="31" t="n">
        <f aca="false">INT(($H$327-G60)/30)</f>
        <v>37</v>
      </c>
      <c r="I60" s="24" t="n">
        <f aca="false">H60*1000</f>
        <v>37000</v>
      </c>
      <c r="J60" s="31" t="n">
        <f aca="false">24000</f>
        <v>24000</v>
      </c>
      <c r="K60" s="31" t="n">
        <v>13000</v>
      </c>
      <c r="L60" s="32" t="n">
        <f aca="false">I60-J60-K60</f>
        <v>0</v>
      </c>
      <c r="M60" s="33" t="n">
        <v>800</v>
      </c>
      <c r="N60" s="33" t="n">
        <v>800</v>
      </c>
      <c r="O60" s="33" t="n">
        <v>800</v>
      </c>
      <c r="P60" s="33" t="n">
        <v>800</v>
      </c>
      <c r="Q60" s="33" t="n">
        <v>800</v>
      </c>
      <c r="R60" s="33" t="n">
        <v>800</v>
      </c>
      <c r="S60" s="33" t="n">
        <v>800</v>
      </c>
      <c r="T60" s="33" t="n">
        <v>800</v>
      </c>
      <c r="U60" s="33" t="n">
        <v>800</v>
      </c>
      <c r="V60" s="33" t="n">
        <v>800</v>
      </c>
      <c r="W60" s="33" t="n">
        <v>800</v>
      </c>
      <c r="X60" s="33" t="n">
        <v>800</v>
      </c>
      <c r="Y60" s="32" t="n">
        <f aca="false">SUM(L60:X60)</f>
        <v>9600</v>
      </c>
      <c r="Z60" s="8" t="n">
        <f aca="false">VLOOKUP(A60,справочник!$E$2:$F$322,2,0)</f>
        <v>0</v>
      </c>
    </row>
    <row collapsed="false" customFormat="false" customHeight="false" hidden="true" ht="15" outlineLevel="0" r="61">
      <c r="A61" s="19" t="n">
        <f aca="false">VLOOKUP(B61,справочник!$B$2:$E$322,4,0)</f>
        <v>58</v>
      </c>
      <c r="B61" s="0" t="e">
        <f aca="false">CONCATENATE(C61;D61)</f>
        <v>#VALUE!</v>
      </c>
      <c r="C61" s="24" t="n">
        <v>60</v>
      </c>
      <c r="D61" s="29" t="s">
        <v>273</v>
      </c>
      <c r="E61" s="24" t="s">
        <v>427</v>
      </c>
      <c r="F61" s="30" t="n">
        <v>41303</v>
      </c>
      <c r="G61" s="30" t="n">
        <v>41306</v>
      </c>
      <c r="H61" s="31" t="n">
        <f aca="false">INT(($H$327-G61)/30)</f>
        <v>35</v>
      </c>
      <c r="I61" s="24" t="n">
        <f aca="false">H61*1000</f>
        <v>35000</v>
      </c>
      <c r="J61" s="31" t="n">
        <f aca="false">31000</f>
        <v>31000</v>
      </c>
      <c r="K61" s="31"/>
      <c r="L61" s="32" t="n">
        <f aca="false">I61-J61-K61</f>
        <v>4000</v>
      </c>
      <c r="M61" s="33" t="n">
        <v>800</v>
      </c>
      <c r="N61" s="33" t="n">
        <v>800</v>
      </c>
      <c r="O61" s="33" t="n">
        <v>800</v>
      </c>
      <c r="P61" s="33" t="n">
        <v>800</v>
      </c>
      <c r="Q61" s="33" t="n">
        <v>800</v>
      </c>
      <c r="R61" s="33" t="n">
        <v>800</v>
      </c>
      <c r="S61" s="33" t="n">
        <v>800</v>
      </c>
      <c r="T61" s="33" t="n">
        <v>800</v>
      </c>
      <c r="U61" s="33" t="n">
        <v>800</v>
      </c>
      <c r="V61" s="33" t="n">
        <v>800</v>
      </c>
      <c r="W61" s="33" t="n">
        <v>800</v>
      </c>
      <c r="X61" s="33" t="n">
        <v>800</v>
      </c>
      <c r="Y61" s="32" t="n">
        <f aca="false">SUM(L61:X61)</f>
        <v>13600</v>
      </c>
      <c r="Z61" s="8" t="n">
        <f aca="false">VLOOKUP(A61,справочник!$E$2:$F$322,2,0)</f>
        <v>0</v>
      </c>
    </row>
    <row collapsed="false" customFormat="false" customHeight="false" hidden="true" ht="15" outlineLevel="0" r="62">
      <c r="A62" s="19" t="n">
        <f aca="false">VLOOKUP(B62,справочник!$B$2:$E$322,4,0)</f>
        <v>117</v>
      </c>
      <c r="B62" s="0" t="e">
        <f aca="false">CONCATENATE(C62;D62)</f>
        <v>#VALUE!</v>
      </c>
      <c r="C62" s="24" t="n">
        <v>122</v>
      </c>
      <c r="D62" s="29" t="s">
        <v>100</v>
      </c>
      <c r="E62" s="24" t="s">
        <v>428</v>
      </c>
      <c r="F62" s="30" t="n">
        <v>41407</v>
      </c>
      <c r="G62" s="30" t="n">
        <v>41426</v>
      </c>
      <c r="H62" s="31" t="n">
        <f aca="false">INT(($H$327-G62)/30)</f>
        <v>31</v>
      </c>
      <c r="I62" s="24" t="n">
        <f aca="false">H62*1000</f>
        <v>31000</v>
      </c>
      <c r="J62" s="31" t="n">
        <f aca="false">12000</f>
        <v>12000</v>
      </c>
      <c r="K62" s="31"/>
      <c r="L62" s="32" t="n">
        <f aca="false">I62-J62-K62</f>
        <v>19000</v>
      </c>
      <c r="M62" s="33" t="n">
        <v>800</v>
      </c>
      <c r="N62" s="33" t="n">
        <v>800</v>
      </c>
      <c r="O62" s="33" t="n">
        <v>800</v>
      </c>
      <c r="P62" s="33" t="n">
        <v>800</v>
      </c>
      <c r="Q62" s="33" t="n">
        <v>800</v>
      </c>
      <c r="R62" s="33" t="n">
        <v>800</v>
      </c>
      <c r="S62" s="33" t="n">
        <v>800</v>
      </c>
      <c r="T62" s="33" t="n">
        <v>800</v>
      </c>
      <c r="U62" s="33" t="n">
        <v>800</v>
      </c>
      <c r="V62" s="33" t="n">
        <v>800</v>
      </c>
      <c r="W62" s="33" t="n">
        <v>800</v>
      </c>
      <c r="X62" s="33" t="n">
        <v>800</v>
      </c>
      <c r="Y62" s="32" t="n">
        <f aca="false">SUM(L62:X62)</f>
        <v>28600</v>
      </c>
      <c r="Z62" s="8" t="n">
        <f aca="false">VLOOKUP(A62,справочник!$E$2:$F$322,2,0)</f>
        <v>0</v>
      </c>
    </row>
    <row collapsed="false" customFormat="false" customHeight="false" hidden="true" ht="15" outlineLevel="0" r="63">
      <c r="A63" s="19" t="n">
        <f aca="false">VLOOKUP(B63,справочник!$B$2:$E$322,4,0)</f>
        <v>61</v>
      </c>
      <c r="B63" s="0" t="e">
        <f aca="false">CONCATENATE(C63;D63)</f>
        <v>#VALUE!</v>
      </c>
      <c r="C63" s="24" t="n">
        <v>63</v>
      </c>
      <c r="D63" s="29" t="s">
        <v>88</v>
      </c>
      <c r="E63" s="24" t="s">
        <v>429</v>
      </c>
      <c r="F63" s="30" t="n">
        <v>40921</v>
      </c>
      <c r="G63" s="30" t="n">
        <v>40909</v>
      </c>
      <c r="H63" s="31" t="n">
        <f aca="false">INT(($H$327-G63)/30)</f>
        <v>48</v>
      </c>
      <c r="I63" s="24" t="n">
        <f aca="false">H63*1000</f>
        <v>48000</v>
      </c>
      <c r="J63" s="31" t="n">
        <f aca="false">27000</f>
        <v>27000</v>
      </c>
      <c r="K63" s="31"/>
      <c r="L63" s="32" t="n">
        <f aca="false">I63-J63-K63</f>
        <v>21000</v>
      </c>
      <c r="M63" s="33" t="n">
        <v>800</v>
      </c>
      <c r="N63" s="33" t="n">
        <v>800</v>
      </c>
      <c r="O63" s="33" t="n">
        <v>800</v>
      </c>
      <c r="P63" s="33" t="n">
        <v>800</v>
      </c>
      <c r="Q63" s="33" t="n">
        <v>800</v>
      </c>
      <c r="R63" s="33" t="n">
        <v>800</v>
      </c>
      <c r="S63" s="33" t="n">
        <v>800</v>
      </c>
      <c r="T63" s="33" t="n">
        <v>800</v>
      </c>
      <c r="U63" s="33" t="n">
        <v>800</v>
      </c>
      <c r="V63" s="33" t="n">
        <v>800</v>
      </c>
      <c r="W63" s="33" t="n">
        <v>800</v>
      </c>
      <c r="X63" s="33" t="n">
        <v>800</v>
      </c>
      <c r="Y63" s="32" t="n">
        <f aca="false">SUM(L63:X63)</f>
        <v>30600</v>
      </c>
      <c r="Z63" s="8" t="n">
        <f aca="false">VLOOKUP(A63,справочник!$E$2:$F$322,2,0)</f>
        <v>0</v>
      </c>
    </row>
    <row collapsed="false" customFormat="false" customHeight="false" hidden="true" ht="15" outlineLevel="0" r="64">
      <c r="A64" s="19" t="n">
        <f aca="false">VLOOKUP(B64,справочник!$B$2:$E$322,4,0)</f>
        <v>294</v>
      </c>
      <c r="B64" s="0" t="e">
        <f aca="false">CONCATENATE(C64;D64)</f>
        <v>#VALUE!</v>
      </c>
      <c r="C64" s="24" t="n">
        <v>309</v>
      </c>
      <c r="D64" s="29" t="s">
        <v>316</v>
      </c>
      <c r="E64" s="24" t="s">
        <v>430</v>
      </c>
      <c r="F64" s="30" t="n">
        <v>40953</v>
      </c>
      <c r="G64" s="30" t="n">
        <v>40940</v>
      </c>
      <c r="H64" s="31" t="n">
        <f aca="false">INT(($H$327-G64)/30)</f>
        <v>47</v>
      </c>
      <c r="I64" s="24" t="n">
        <f aca="false">H64*1000</f>
        <v>47000</v>
      </c>
      <c r="J64" s="31" t="n">
        <v>47000</v>
      </c>
      <c r="K64" s="31"/>
      <c r="L64" s="32" t="n">
        <f aca="false">I64-J64-K64</f>
        <v>0</v>
      </c>
      <c r="M64" s="33" t="n">
        <v>800</v>
      </c>
      <c r="N64" s="33" t="n">
        <v>800</v>
      </c>
      <c r="O64" s="33" t="n">
        <v>800</v>
      </c>
      <c r="P64" s="33" t="n">
        <v>800</v>
      </c>
      <c r="Q64" s="33" t="n">
        <v>800</v>
      </c>
      <c r="R64" s="33" t="n">
        <v>800</v>
      </c>
      <c r="S64" s="33" t="n">
        <v>800</v>
      </c>
      <c r="T64" s="33" t="n">
        <v>800</v>
      </c>
      <c r="U64" s="33" t="n">
        <v>800</v>
      </c>
      <c r="V64" s="33" t="n">
        <v>800</v>
      </c>
      <c r="W64" s="33" t="n">
        <v>800</v>
      </c>
      <c r="X64" s="33" t="n">
        <v>800</v>
      </c>
      <c r="Y64" s="32" t="n">
        <f aca="false">SUM(L64:X64)</f>
        <v>9600</v>
      </c>
      <c r="Z64" s="8" t="n">
        <f aca="false">VLOOKUP(A64,справочник!$E$2:$F$322,2,0)</f>
        <v>0</v>
      </c>
    </row>
    <row collapsed="false" customFormat="false" customHeight="false" hidden="true" ht="15" outlineLevel="0" r="65">
      <c r="A65" s="19" t="n">
        <f aca="false">VLOOKUP(B65,справочник!$B$2:$E$322,4,0)</f>
        <v>286</v>
      </c>
      <c r="B65" s="0" t="e">
        <f aca="false">CONCATENATE(C65;D65)</f>
        <v>#VALUE!</v>
      </c>
      <c r="C65" s="24" t="n">
        <v>298</v>
      </c>
      <c r="D65" s="29" t="s">
        <v>320</v>
      </c>
      <c r="E65" s="24" t="s">
        <v>431</v>
      </c>
      <c r="F65" s="30" t="n">
        <v>41791</v>
      </c>
      <c r="G65" s="30" t="n">
        <v>41791</v>
      </c>
      <c r="H65" s="31" t="n">
        <f aca="false">INT(($H$327-G65)/30)</f>
        <v>19</v>
      </c>
      <c r="I65" s="24" t="n">
        <f aca="false">H65*1000</f>
        <v>19000</v>
      </c>
      <c r="J65" s="31" t="n">
        <v>19000</v>
      </c>
      <c r="K65" s="31"/>
      <c r="L65" s="32" t="n">
        <f aca="false">I65-J65-K65</f>
        <v>0</v>
      </c>
      <c r="M65" s="33" t="n">
        <v>800</v>
      </c>
      <c r="N65" s="33" t="n">
        <v>800</v>
      </c>
      <c r="O65" s="33" t="n">
        <v>800</v>
      </c>
      <c r="P65" s="33" t="n">
        <v>800</v>
      </c>
      <c r="Q65" s="33" t="n">
        <v>800</v>
      </c>
      <c r="R65" s="33" t="n">
        <v>800</v>
      </c>
      <c r="S65" s="33" t="n">
        <v>800</v>
      </c>
      <c r="T65" s="33" t="n">
        <v>800</v>
      </c>
      <c r="U65" s="33" t="n">
        <v>800</v>
      </c>
      <c r="V65" s="33" t="n">
        <v>800</v>
      </c>
      <c r="W65" s="33" t="n">
        <v>800</v>
      </c>
      <c r="X65" s="33" t="n">
        <v>800</v>
      </c>
      <c r="Y65" s="32" t="n">
        <f aca="false">SUM(L65:X65)</f>
        <v>9600</v>
      </c>
      <c r="Z65" s="8" t="n">
        <f aca="false">VLOOKUP(A65,справочник!$E$2:$F$322,2,0)</f>
        <v>0</v>
      </c>
    </row>
    <row collapsed="false" customFormat="false" customHeight="false" hidden="true" ht="15" outlineLevel="0" r="66">
      <c r="A66" s="19" t="n">
        <f aca="false">VLOOKUP(B66,справочник!$B$2:$E$322,4,0)</f>
        <v>64</v>
      </c>
      <c r="B66" s="0" t="e">
        <f aca="false">CONCATENATE(C66;D66)</f>
        <v>#VALUE!</v>
      </c>
      <c r="C66" s="24" t="n">
        <v>66</v>
      </c>
      <c r="D66" s="29" t="s">
        <v>204</v>
      </c>
      <c r="E66" s="24" t="s">
        <v>432</v>
      </c>
      <c r="F66" s="30" t="n">
        <v>40772</v>
      </c>
      <c r="G66" s="30" t="n">
        <v>40756</v>
      </c>
      <c r="H66" s="31" t="n">
        <f aca="false">INT(($H$327-G66)/30)</f>
        <v>53</v>
      </c>
      <c r="I66" s="24" t="n">
        <f aca="false">H66*1000</f>
        <v>53000</v>
      </c>
      <c r="J66" s="31" t="n">
        <f aca="false">1000+45000</f>
        <v>46000</v>
      </c>
      <c r="K66" s="31"/>
      <c r="L66" s="32" t="n">
        <f aca="false">I66-J66-K66</f>
        <v>7000</v>
      </c>
      <c r="M66" s="33" t="n">
        <v>800</v>
      </c>
      <c r="N66" s="33" t="n">
        <v>800</v>
      </c>
      <c r="O66" s="33" t="n">
        <v>800</v>
      </c>
      <c r="P66" s="33" t="n">
        <v>800</v>
      </c>
      <c r="Q66" s="33" t="n">
        <v>800</v>
      </c>
      <c r="R66" s="33" t="n">
        <v>800</v>
      </c>
      <c r="S66" s="33" t="n">
        <v>800</v>
      </c>
      <c r="T66" s="33" t="n">
        <v>800</v>
      </c>
      <c r="U66" s="33" t="n">
        <v>800</v>
      </c>
      <c r="V66" s="33" t="n">
        <v>800</v>
      </c>
      <c r="W66" s="33" t="n">
        <v>800</v>
      </c>
      <c r="X66" s="33" t="n">
        <v>800</v>
      </c>
      <c r="Y66" s="32" t="n">
        <f aca="false">SUM(L66:X66)</f>
        <v>16600</v>
      </c>
      <c r="Z66" s="8" t="n">
        <f aca="false">VLOOKUP(A66,справочник!$E$2:$F$322,2,0)</f>
        <v>0</v>
      </c>
    </row>
    <row collapsed="false" customFormat="false" customHeight="false" hidden="true" ht="15" outlineLevel="0" r="67">
      <c r="A67" s="19" t="n">
        <f aca="false">VLOOKUP(B67,справочник!$B$2:$E$322,4,0)</f>
        <v>94</v>
      </c>
      <c r="B67" s="0" t="e">
        <f aca="false">CONCATENATE(C67;D67)</f>
        <v>#VALUE!</v>
      </c>
      <c r="C67" s="24" t="n">
        <v>99</v>
      </c>
      <c r="D67" s="29" t="s">
        <v>173</v>
      </c>
      <c r="E67" s="24" t="s">
        <v>433</v>
      </c>
      <c r="F67" s="30" t="n">
        <v>40774</v>
      </c>
      <c r="G67" s="30" t="n">
        <v>40756</v>
      </c>
      <c r="H67" s="31" t="n">
        <f aca="false">INT(($H$327-G67)/30)</f>
        <v>53</v>
      </c>
      <c r="I67" s="24" t="n">
        <f aca="false">H67*1000</f>
        <v>53000</v>
      </c>
      <c r="J67" s="31" t="n">
        <f aca="false">42000+5000</f>
        <v>47000</v>
      </c>
      <c r="K67" s="31"/>
      <c r="L67" s="32" t="n">
        <f aca="false">I67-J67-K67</f>
        <v>6000</v>
      </c>
      <c r="M67" s="33" t="n">
        <v>800</v>
      </c>
      <c r="N67" s="33" t="n">
        <v>800</v>
      </c>
      <c r="O67" s="33" t="n">
        <v>800</v>
      </c>
      <c r="P67" s="33" t="n">
        <v>800</v>
      </c>
      <c r="Q67" s="33" t="n">
        <v>800</v>
      </c>
      <c r="R67" s="33" t="n">
        <v>800</v>
      </c>
      <c r="S67" s="33" t="n">
        <v>800</v>
      </c>
      <c r="T67" s="33" t="n">
        <v>800</v>
      </c>
      <c r="U67" s="33" t="n">
        <v>800</v>
      </c>
      <c r="V67" s="33" t="n">
        <v>800</v>
      </c>
      <c r="W67" s="33" t="n">
        <v>800</v>
      </c>
      <c r="X67" s="33" t="n">
        <v>800</v>
      </c>
      <c r="Y67" s="32" t="n">
        <f aca="false">SUM(L67:X67)</f>
        <v>15600</v>
      </c>
      <c r="Z67" s="8" t="n">
        <f aca="false">VLOOKUP(A67,справочник!$E$2:$F$322,2,0)</f>
        <v>0</v>
      </c>
    </row>
    <row collapsed="false" customFormat="false" customHeight="false" hidden="true" ht="15" outlineLevel="0" r="68">
      <c r="A68" s="19" t="n">
        <f aca="false">VLOOKUP(B68,справочник!$B$2:$E$322,4,0)</f>
        <v>39</v>
      </c>
      <c r="B68" s="0" t="e">
        <f aca="false">CONCATENATE(C68;D68)</f>
        <v>#VALUE!</v>
      </c>
      <c r="C68" s="24" t="n">
        <v>39</v>
      </c>
      <c r="D68" s="29" t="s">
        <v>140</v>
      </c>
      <c r="E68" s="24" t="s">
        <v>434</v>
      </c>
      <c r="F68" s="30" t="n">
        <v>40698</v>
      </c>
      <c r="G68" s="30" t="n">
        <v>40695</v>
      </c>
      <c r="H68" s="31" t="n">
        <f aca="false">INT(($H$327-G68)/30)</f>
        <v>55</v>
      </c>
      <c r="I68" s="24" t="n">
        <f aca="false">H68*1000</f>
        <v>55000</v>
      </c>
      <c r="J68" s="31" t="n">
        <f aca="false">1000+42000</f>
        <v>43000</v>
      </c>
      <c r="K68" s="31"/>
      <c r="L68" s="32" t="n">
        <f aca="false">I68-J68-K68</f>
        <v>12000</v>
      </c>
      <c r="M68" s="33" t="n">
        <v>800</v>
      </c>
      <c r="N68" s="33" t="n">
        <v>800</v>
      </c>
      <c r="O68" s="33" t="n">
        <v>800</v>
      </c>
      <c r="P68" s="33" t="n">
        <v>800</v>
      </c>
      <c r="Q68" s="33" t="n">
        <v>800</v>
      </c>
      <c r="R68" s="33" t="n">
        <v>800</v>
      </c>
      <c r="S68" s="33" t="n">
        <v>800</v>
      </c>
      <c r="T68" s="33" t="n">
        <v>800</v>
      </c>
      <c r="U68" s="33" t="n">
        <v>800</v>
      </c>
      <c r="V68" s="33" t="n">
        <v>800</v>
      </c>
      <c r="W68" s="33" t="n">
        <v>800</v>
      </c>
      <c r="X68" s="33" t="n">
        <v>800</v>
      </c>
      <c r="Y68" s="32" t="n">
        <f aca="false">SUM(L68:X68)</f>
        <v>21600</v>
      </c>
      <c r="Z68" s="8" t="n">
        <f aca="false">VLOOKUP(A68,справочник!$E$2:$F$322,2,0)</f>
        <v>0</v>
      </c>
    </row>
    <row collapsed="false" customFormat="false" customHeight="false" hidden="true" ht="15" outlineLevel="0" r="69">
      <c r="A69" s="19" t="n">
        <f aca="false">VLOOKUP(B69,справочник!$B$2:$E$322,4,0)</f>
        <v>276</v>
      </c>
      <c r="B69" s="0" t="e">
        <f aca="false">CONCATENATE(C69;D69)</f>
        <v>#VALUE!</v>
      </c>
      <c r="C69" s="24" t="n">
        <v>289</v>
      </c>
      <c r="D69" s="29" t="s">
        <v>317</v>
      </c>
      <c r="E69" s="24" t="s">
        <v>435</v>
      </c>
      <c r="F69" s="30" t="n">
        <v>40890</v>
      </c>
      <c r="G69" s="30" t="n">
        <v>40878</v>
      </c>
      <c r="H69" s="31" t="n">
        <f aca="false">INT(($H$327-G69)/30)</f>
        <v>49</v>
      </c>
      <c r="I69" s="24" t="n">
        <f aca="false">H69*1000</f>
        <v>49000</v>
      </c>
      <c r="J69" s="31" t="n">
        <f aca="false">1000+36000</f>
        <v>37000</v>
      </c>
      <c r="K69" s="31"/>
      <c r="L69" s="32" t="n">
        <f aca="false">I69-J69-K69</f>
        <v>12000</v>
      </c>
      <c r="M69" s="33" t="n">
        <v>800</v>
      </c>
      <c r="N69" s="33" t="n">
        <v>800</v>
      </c>
      <c r="O69" s="33" t="n">
        <v>800</v>
      </c>
      <c r="P69" s="33" t="n">
        <v>800</v>
      </c>
      <c r="Q69" s="33" t="n">
        <v>800</v>
      </c>
      <c r="R69" s="33" t="n">
        <v>800</v>
      </c>
      <c r="S69" s="33" t="n">
        <v>800</v>
      </c>
      <c r="T69" s="33" t="n">
        <v>800</v>
      </c>
      <c r="U69" s="33" t="n">
        <v>800</v>
      </c>
      <c r="V69" s="33" t="n">
        <v>800</v>
      </c>
      <c r="W69" s="33" t="n">
        <v>800</v>
      </c>
      <c r="X69" s="33" t="n">
        <v>800</v>
      </c>
      <c r="Y69" s="32" t="n">
        <f aca="false">SUM(L69:X69)</f>
        <v>21600</v>
      </c>
      <c r="Z69" s="8" t="n">
        <f aca="false">VLOOKUP(A69,справочник!$E$2:$F$322,2,0)</f>
        <v>0</v>
      </c>
    </row>
    <row collapsed="false" customFormat="false" customHeight="false" hidden="true" ht="15" outlineLevel="0" r="70">
      <c r="A70" s="19" t="n">
        <f aca="false">VLOOKUP(B70,справочник!$B$2:$E$322,4,0)</f>
        <v>148</v>
      </c>
      <c r="B70" s="0" t="e">
        <f aca="false">CONCATENATE(C70;D70)</f>
        <v>#VALUE!</v>
      </c>
      <c r="C70" s="24" t="n">
        <v>156</v>
      </c>
      <c r="D70" s="29" t="s">
        <v>67</v>
      </c>
      <c r="E70" s="24" t="s">
        <v>436</v>
      </c>
      <c r="F70" s="30" t="n">
        <v>41008</v>
      </c>
      <c r="G70" s="30" t="n">
        <v>41000</v>
      </c>
      <c r="H70" s="31" t="n">
        <f aca="false">INT(($H$327-G70)/30)</f>
        <v>45</v>
      </c>
      <c r="I70" s="24" t="n">
        <f aca="false">H70*1000</f>
        <v>45000</v>
      </c>
      <c r="J70" s="31" t="n">
        <f aca="false">12000</f>
        <v>12000</v>
      </c>
      <c r="K70" s="31"/>
      <c r="L70" s="32" t="n">
        <f aca="false">I70-J70-K70</f>
        <v>33000</v>
      </c>
      <c r="M70" s="33" t="n">
        <v>800</v>
      </c>
      <c r="N70" s="33" t="n">
        <v>800</v>
      </c>
      <c r="O70" s="33" t="n">
        <v>800</v>
      </c>
      <c r="P70" s="33" t="n">
        <v>800</v>
      </c>
      <c r="Q70" s="33" t="n">
        <v>800</v>
      </c>
      <c r="R70" s="33" t="n">
        <v>800</v>
      </c>
      <c r="S70" s="33" t="n">
        <v>800</v>
      </c>
      <c r="T70" s="33" t="n">
        <v>800</v>
      </c>
      <c r="U70" s="33" t="n">
        <v>800</v>
      </c>
      <c r="V70" s="33" t="n">
        <v>800</v>
      </c>
      <c r="W70" s="33" t="n">
        <v>800</v>
      </c>
      <c r="X70" s="33" t="n">
        <v>800</v>
      </c>
      <c r="Y70" s="32" t="n">
        <f aca="false">SUM(L70:X70)</f>
        <v>42600</v>
      </c>
      <c r="Z70" s="8" t="n">
        <f aca="false">VLOOKUP(A70,справочник!$E$2:$F$322,2,0)</f>
        <v>0</v>
      </c>
    </row>
    <row collapsed="false" customFormat="false" customHeight="false" hidden="true" ht="15" outlineLevel="0" r="71">
      <c r="A71" s="19" t="n">
        <f aca="false">VLOOKUP(B71,справочник!$B$2:$E$322,4,0)</f>
        <v>308</v>
      </c>
      <c r="B71" s="0" t="e">
        <f aca="false">CONCATENATE(C71;D71)</f>
        <v>#VALUE!</v>
      </c>
      <c r="C71" s="24" t="n">
        <v>323</v>
      </c>
      <c r="D71" s="29" t="s">
        <v>163</v>
      </c>
      <c r="E71" s="24" t="s">
        <v>437</v>
      </c>
      <c r="F71" s="30" t="n">
        <v>42025</v>
      </c>
      <c r="G71" s="30" t="n">
        <v>42036</v>
      </c>
      <c r="H71" s="31" t="n">
        <f aca="false">INT(($H$327-G71)/30)</f>
        <v>11</v>
      </c>
      <c r="I71" s="24" t="n">
        <f aca="false">H71*1000</f>
        <v>11000</v>
      </c>
      <c r="J71" s="31" t="n">
        <v>3000</v>
      </c>
      <c r="K71" s="31"/>
      <c r="L71" s="32" t="n">
        <f aca="false">I71-J71-K71</f>
        <v>8000</v>
      </c>
      <c r="M71" s="33" t="n">
        <v>800</v>
      </c>
      <c r="N71" s="33" t="n">
        <v>800</v>
      </c>
      <c r="O71" s="33" t="n">
        <v>800</v>
      </c>
      <c r="P71" s="33" t="n">
        <v>800</v>
      </c>
      <c r="Q71" s="33" t="n">
        <v>800</v>
      </c>
      <c r="R71" s="33" t="n">
        <v>800</v>
      </c>
      <c r="S71" s="33" t="n">
        <v>800</v>
      </c>
      <c r="T71" s="33" t="n">
        <v>800</v>
      </c>
      <c r="U71" s="33" t="n">
        <v>800</v>
      </c>
      <c r="V71" s="33" t="n">
        <v>800</v>
      </c>
      <c r="W71" s="33" t="n">
        <v>800</v>
      </c>
      <c r="X71" s="33" t="n">
        <v>800</v>
      </c>
      <c r="Y71" s="32" t="n">
        <f aca="false">SUM(L71:X71)</f>
        <v>17600</v>
      </c>
      <c r="Z71" s="8" t="n">
        <f aca="false">VLOOKUP(A71,справочник!$E$2:$F$322,2,0)</f>
        <v>0</v>
      </c>
    </row>
    <row collapsed="false" customFormat="false" customHeight="false" hidden="true" ht="15" outlineLevel="0" r="72">
      <c r="A72" s="19" t="n">
        <f aca="false">VLOOKUP(B72,справочник!$B$2:$E$322,4,0)</f>
        <v>318</v>
      </c>
      <c r="B72" s="0" t="e">
        <f aca="false">CONCATENATE(C72;D72)</f>
        <v>#VALUE!</v>
      </c>
      <c r="C72" s="24" t="s">
        <v>438</v>
      </c>
      <c r="D72" s="29" t="s">
        <v>315</v>
      </c>
      <c r="E72" s="24" t="s">
        <v>439</v>
      </c>
      <c r="F72" s="30" t="n">
        <v>40694</v>
      </c>
      <c r="G72" s="30" t="n">
        <v>40725</v>
      </c>
      <c r="H72" s="31" t="n">
        <f aca="false">INT(($H$327-G72)/30)</f>
        <v>54</v>
      </c>
      <c r="I72" s="24" t="n">
        <f aca="false">H72*1000*2</f>
        <v>108000</v>
      </c>
      <c r="J72" s="31" t="n">
        <f aca="false">2000+102000</f>
        <v>104000</v>
      </c>
      <c r="K72" s="31" t="n">
        <v>4000</v>
      </c>
      <c r="L72" s="38" t="n">
        <f aca="false">I72-J72-K72</f>
        <v>0</v>
      </c>
      <c r="M72" s="33" t="n">
        <v>800</v>
      </c>
      <c r="N72" s="33" t="n">
        <v>800</v>
      </c>
      <c r="O72" s="33" t="n">
        <v>800</v>
      </c>
      <c r="P72" s="33" t="n">
        <v>800</v>
      </c>
      <c r="Q72" s="33" t="n">
        <v>800</v>
      </c>
      <c r="R72" s="33" t="n">
        <v>800</v>
      </c>
      <c r="S72" s="33" t="n">
        <v>800</v>
      </c>
      <c r="T72" s="33" t="n">
        <v>800</v>
      </c>
      <c r="U72" s="33" t="n">
        <v>800</v>
      </c>
      <c r="V72" s="33" t="n">
        <v>800</v>
      </c>
      <c r="W72" s="33" t="n">
        <v>800</v>
      </c>
      <c r="X72" s="33" t="n">
        <v>800</v>
      </c>
      <c r="Y72" s="32" t="n">
        <f aca="false">SUM(L72:X72)</f>
        <v>9600</v>
      </c>
      <c r="Z72" s="8" t="n">
        <f aca="false">VLOOKUP(A72,справочник!$E$2:$F$322,2,0)</f>
        <v>0</v>
      </c>
    </row>
    <row collapsed="false" customFormat="false" customHeight="false" hidden="true" ht="15" outlineLevel="0" r="73">
      <c r="A73" s="19" t="n">
        <f aca="false">VLOOKUP(B73,справочник!$B$2:$E$322,4,0)</f>
        <v>236</v>
      </c>
      <c r="B73" s="0" t="e">
        <f aca="false">CONCATENATE(C73;D73)</f>
        <v>#VALUE!</v>
      </c>
      <c r="C73" s="24" t="n">
        <v>245</v>
      </c>
      <c r="D73" s="29" t="s">
        <v>311</v>
      </c>
      <c r="E73" s="24" t="s">
        <v>440</v>
      </c>
      <c r="F73" s="30" t="n">
        <v>40945</v>
      </c>
      <c r="G73" s="30" t="n">
        <v>40940</v>
      </c>
      <c r="H73" s="31" t="n">
        <f aca="false">INT(($H$327-G73)/30)</f>
        <v>47</v>
      </c>
      <c r="I73" s="24" t="n">
        <f aca="false">H73*1000</f>
        <v>47000</v>
      </c>
      <c r="J73" s="31" t="n">
        <f aca="false">18000+11000</f>
        <v>29000</v>
      </c>
      <c r="K73" s="31"/>
      <c r="L73" s="32" t="n">
        <f aca="false">I73-J73-K73</f>
        <v>18000</v>
      </c>
      <c r="M73" s="33" t="n">
        <v>800</v>
      </c>
      <c r="N73" s="33" t="n">
        <v>800</v>
      </c>
      <c r="O73" s="33" t="n">
        <v>800</v>
      </c>
      <c r="P73" s="33" t="n">
        <v>800</v>
      </c>
      <c r="Q73" s="33" t="n">
        <v>800</v>
      </c>
      <c r="R73" s="33" t="n">
        <v>800</v>
      </c>
      <c r="S73" s="33" t="n">
        <v>800</v>
      </c>
      <c r="T73" s="33" t="n">
        <v>800</v>
      </c>
      <c r="U73" s="33" t="n">
        <v>800</v>
      </c>
      <c r="V73" s="33" t="n">
        <v>800</v>
      </c>
      <c r="W73" s="33" t="n">
        <v>800</v>
      </c>
      <c r="X73" s="33" t="n">
        <v>800</v>
      </c>
      <c r="Y73" s="32" t="n">
        <f aca="false">SUM(L73:X73)</f>
        <v>27600</v>
      </c>
      <c r="Z73" s="8" t="n">
        <f aca="false">VLOOKUP(A73,справочник!$E$2:$F$322,2,0)</f>
        <v>0</v>
      </c>
    </row>
    <row collapsed="false" customFormat="false" customHeight="false" hidden="true" ht="15" outlineLevel="0" r="74">
      <c r="A74" s="19" t="n">
        <f aca="false">VLOOKUP(B74,справочник!$B$2:$E$322,4,0)</f>
        <v>226</v>
      </c>
      <c r="B74" s="0" t="e">
        <f aca="false">CONCATENATE(C74;D74)</f>
        <v>#VALUE!</v>
      </c>
      <c r="C74" s="24" t="n">
        <v>235</v>
      </c>
      <c r="D74" s="29" t="s">
        <v>95</v>
      </c>
      <c r="E74" s="24" t="s">
        <v>441</v>
      </c>
      <c r="F74" s="30" t="n">
        <v>41739</v>
      </c>
      <c r="G74" s="30" t="n">
        <v>41760</v>
      </c>
      <c r="H74" s="31" t="n">
        <f aca="false">INT(($H$327-G74)/30)</f>
        <v>20</v>
      </c>
      <c r="I74" s="24" t="n">
        <f aca="false">H74*1000</f>
        <v>20000</v>
      </c>
      <c r="J74" s="31"/>
      <c r="K74" s="31"/>
      <c r="L74" s="32" t="n">
        <f aca="false">I74-J74-K74</f>
        <v>20000</v>
      </c>
      <c r="M74" s="33" t="n">
        <v>800</v>
      </c>
      <c r="N74" s="33" t="n">
        <v>800</v>
      </c>
      <c r="O74" s="33" t="n">
        <v>800</v>
      </c>
      <c r="P74" s="33" t="n">
        <v>800</v>
      </c>
      <c r="Q74" s="33" t="n">
        <v>800</v>
      </c>
      <c r="R74" s="33" t="n">
        <v>800</v>
      </c>
      <c r="S74" s="33" t="n">
        <v>800</v>
      </c>
      <c r="T74" s="33" t="n">
        <v>800</v>
      </c>
      <c r="U74" s="33" t="n">
        <v>800</v>
      </c>
      <c r="V74" s="33" t="n">
        <v>800</v>
      </c>
      <c r="W74" s="33" t="n">
        <v>800</v>
      </c>
      <c r="X74" s="33" t="n">
        <v>800</v>
      </c>
      <c r="Y74" s="32" t="n">
        <f aca="false">SUM(L74:X74)</f>
        <v>29600</v>
      </c>
      <c r="Z74" s="8" t="n">
        <f aca="false">VLOOKUP(A74,справочник!$E$2:$F$322,2,0)</f>
        <v>0</v>
      </c>
    </row>
    <row collapsed="false" customFormat="false" customHeight="false" hidden="true" ht="15" outlineLevel="0" r="75">
      <c r="A75" s="19" t="n">
        <f aca="false">VLOOKUP(B75,справочник!$B$2:$E$322,4,0)</f>
        <v>285</v>
      </c>
      <c r="B75" s="0" t="e">
        <f aca="false">CONCATENATE(C75;D75)</f>
        <v>#VALUE!</v>
      </c>
      <c r="C75" s="24" t="n">
        <v>297</v>
      </c>
      <c r="D75" s="29" t="s">
        <v>321</v>
      </c>
      <c r="E75" s="24" t="s">
        <v>442</v>
      </c>
      <c r="F75" s="24"/>
      <c r="G75" s="24"/>
      <c r="H75" s="31"/>
      <c r="I75" s="24" t="n">
        <v>19000</v>
      </c>
      <c r="J75" s="31" t="n">
        <v>19000</v>
      </c>
      <c r="K75" s="31"/>
      <c r="L75" s="32" t="n">
        <f aca="false">I75-J75-K75</f>
        <v>0</v>
      </c>
      <c r="M75" s="33" t="n">
        <v>800</v>
      </c>
      <c r="N75" s="33" t="n">
        <v>800</v>
      </c>
      <c r="O75" s="33" t="n">
        <v>800</v>
      </c>
      <c r="P75" s="33" t="n">
        <v>800</v>
      </c>
      <c r="Q75" s="33" t="n">
        <v>800</v>
      </c>
      <c r="R75" s="33" t="n">
        <v>800</v>
      </c>
      <c r="S75" s="33" t="n">
        <v>800</v>
      </c>
      <c r="T75" s="33" t="n">
        <v>800</v>
      </c>
      <c r="U75" s="33" t="n">
        <v>800</v>
      </c>
      <c r="V75" s="33" t="n">
        <v>800</v>
      </c>
      <c r="W75" s="33" t="n">
        <v>800</v>
      </c>
      <c r="X75" s="33" t="n">
        <v>800</v>
      </c>
      <c r="Y75" s="32" t="n">
        <f aca="false">SUM(L75:X75)</f>
        <v>9600</v>
      </c>
      <c r="Z75" s="8" t="n">
        <f aca="false">VLOOKUP(A75,справочник!$E$2:$F$322,2,0)</f>
        <v>0</v>
      </c>
    </row>
    <row collapsed="false" customFormat="false" customHeight="false" hidden="true" ht="15" outlineLevel="0" r="76">
      <c r="A76" s="19" t="n">
        <f aca="false">VLOOKUP(B76,справочник!$B$2:$E$322,4,0)</f>
        <v>24</v>
      </c>
      <c r="B76" s="0" t="e">
        <f aca="false">CONCATENATE(C76;D76)</f>
        <v>#VALUE!</v>
      </c>
      <c r="C76" s="24" t="n">
        <v>24</v>
      </c>
      <c r="D76" s="29" t="s">
        <v>155</v>
      </c>
      <c r="E76" s="24" t="s">
        <v>443</v>
      </c>
      <c r="F76" s="30" t="n">
        <v>41141</v>
      </c>
      <c r="G76" s="30" t="n">
        <v>41153</v>
      </c>
      <c r="H76" s="31" t="n">
        <f aca="false">INT(($H$327-G76)/30)</f>
        <v>40</v>
      </c>
      <c r="I76" s="24" t="n">
        <f aca="false">H76*1000</f>
        <v>40000</v>
      </c>
      <c r="J76" s="31" t="n">
        <v>30000</v>
      </c>
      <c r="K76" s="31"/>
      <c r="L76" s="32" t="n">
        <f aca="false">I76-J76-K76</f>
        <v>10000</v>
      </c>
      <c r="M76" s="33" t="n">
        <v>800</v>
      </c>
      <c r="N76" s="33" t="n">
        <v>800</v>
      </c>
      <c r="O76" s="33" t="n">
        <v>800</v>
      </c>
      <c r="P76" s="33" t="n">
        <v>800</v>
      </c>
      <c r="Q76" s="33" t="n">
        <v>800</v>
      </c>
      <c r="R76" s="33" t="n">
        <v>800</v>
      </c>
      <c r="S76" s="33" t="n">
        <v>800</v>
      </c>
      <c r="T76" s="33" t="n">
        <v>800</v>
      </c>
      <c r="U76" s="33" t="n">
        <v>800</v>
      </c>
      <c r="V76" s="33" t="n">
        <v>800</v>
      </c>
      <c r="W76" s="33" t="n">
        <v>800</v>
      </c>
      <c r="X76" s="33" t="n">
        <v>800</v>
      </c>
      <c r="Y76" s="32" t="n">
        <f aca="false">SUM(L76:X76)</f>
        <v>19600</v>
      </c>
      <c r="Z76" s="8" t="n">
        <f aca="false">VLOOKUP(A76,справочник!$E$2:$F$322,2,0)</f>
        <v>0</v>
      </c>
    </row>
    <row collapsed="false" customFormat="false" customHeight="false" hidden="true" ht="15" outlineLevel="0" r="77">
      <c r="A77" s="19" t="n">
        <f aca="false">VLOOKUP(B77,справочник!$B$2:$E$322,4,0)</f>
        <v>50</v>
      </c>
      <c r="B77" s="0" t="e">
        <f aca="false">CONCATENATE(C77;D77)</f>
        <v>#VALUE!</v>
      </c>
      <c r="C77" s="24" t="n">
        <v>50</v>
      </c>
      <c r="D77" s="29" t="s">
        <v>238</v>
      </c>
      <c r="E77" s="24" t="s">
        <v>444</v>
      </c>
      <c r="F77" s="30" t="n">
        <v>40793</v>
      </c>
      <c r="G77" s="30" t="n">
        <v>40787</v>
      </c>
      <c r="H77" s="31" t="n">
        <f aca="false">INT(($H$327-G77)/30)</f>
        <v>52</v>
      </c>
      <c r="I77" s="24" t="n">
        <f aca="false">H77*1000</f>
        <v>52000</v>
      </c>
      <c r="J77" s="31" t="n">
        <f aca="false">1000+41000</f>
        <v>42000</v>
      </c>
      <c r="K77" s="31"/>
      <c r="L77" s="32" t="n">
        <f aca="false">I77-J77-K77</f>
        <v>10000</v>
      </c>
      <c r="M77" s="33" t="n">
        <v>800</v>
      </c>
      <c r="N77" s="33" t="n">
        <v>800</v>
      </c>
      <c r="O77" s="33" t="n">
        <v>800</v>
      </c>
      <c r="P77" s="33" t="n">
        <v>800</v>
      </c>
      <c r="Q77" s="33" t="n">
        <v>800</v>
      </c>
      <c r="R77" s="33" t="n">
        <v>800</v>
      </c>
      <c r="S77" s="33" t="n">
        <v>800</v>
      </c>
      <c r="T77" s="33" t="n">
        <v>800</v>
      </c>
      <c r="U77" s="33" t="n">
        <v>800</v>
      </c>
      <c r="V77" s="33" t="n">
        <v>800</v>
      </c>
      <c r="W77" s="33" t="n">
        <v>800</v>
      </c>
      <c r="X77" s="33" t="n">
        <v>800</v>
      </c>
      <c r="Y77" s="32" t="n">
        <f aca="false">SUM(L77:X77)</f>
        <v>19600</v>
      </c>
      <c r="Z77" s="8" t="n">
        <f aca="false">VLOOKUP(A77,справочник!$E$2:$F$322,2,0)</f>
        <v>0</v>
      </c>
    </row>
    <row collapsed="false" customFormat="false" customHeight="false" hidden="true" ht="15" outlineLevel="0" r="78">
      <c r="A78" s="19" t="n">
        <f aca="false">VLOOKUP(B78,справочник!$B$2:$E$322,4,0)</f>
        <v>122</v>
      </c>
      <c r="B78" s="0" t="e">
        <f aca="false">CONCATENATE(C78;D78)</f>
        <v>#VALUE!</v>
      </c>
      <c r="C78" s="24" t="n">
        <v>127</v>
      </c>
      <c r="D78" s="29" t="s">
        <v>202</v>
      </c>
      <c r="E78" s="24" t="s">
        <v>445</v>
      </c>
      <c r="F78" s="30" t="n">
        <v>40938</v>
      </c>
      <c r="G78" s="30" t="n">
        <v>40940</v>
      </c>
      <c r="H78" s="31" t="n">
        <f aca="false">INT(($H$327-G78)/30)</f>
        <v>47</v>
      </c>
      <c r="I78" s="24" t="n">
        <f aca="false">H78*1000</f>
        <v>47000</v>
      </c>
      <c r="J78" s="31" t="n">
        <v>37000</v>
      </c>
      <c r="K78" s="39" t="n">
        <v>10000</v>
      </c>
      <c r="L78" s="32" t="n">
        <f aca="false">I78-J78-K78</f>
        <v>0</v>
      </c>
      <c r="M78" s="33" t="n">
        <v>800</v>
      </c>
      <c r="N78" s="33" t="n">
        <v>800</v>
      </c>
      <c r="O78" s="33" t="n">
        <v>800</v>
      </c>
      <c r="P78" s="33" t="n">
        <v>800</v>
      </c>
      <c r="Q78" s="33" t="n">
        <v>800</v>
      </c>
      <c r="R78" s="33" t="n">
        <v>800</v>
      </c>
      <c r="S78" s="33" t="n">
        <v>800</v>
      </c>
      <c r="T78" s="33" t="n">
        <v>800</v>
      </c>
      <c r="U78" s="33" t="n">
        <v>800</v>
      </c>
      <c r="V78" s="33" t="n">
        <v>800</v>
      </c>
      <c r="W78" s="33" t="n">
        <v>800</v>
      </c>
      <c r="X78" s="33" t="n">
        <v>800</v>
      </c>
      <c r="Y78" s="32" t="n">
        <f aca="false">SUM(L78:X78)</f>
        <v>9600</v>
      </c>
      <c r="Z78" s="8" t="n">
        <f aca="false">VLOOKUP(A78,справочник!$E$2:$F$322,2,0)</f>
        <v>0</v>
      </c>
    </row>
    <row collapsed="false" customFormat="false" customHeight="false" hidden="true" ht="15" outlineLevel="0" r="79">
      <c r="A79" s="19" t="n">
        <f aca="false">VLOOKUP(B79,справочник!$B$2:$E$322,4,0)</f>
        <v>301</v>
      </c>
      <c r="B79" s="0" t="e">
        <f aca="false">CONCATENATE(C79;D79)</f>
        <v>#VALUE!</v>
      </c>
      <c r="C79" s="24" t="n">
        <v>316</v>
      </c>
      <c r="D79" s="29" t="s">
        <v>133</v>
      </c>
      <c r="E79" s="24" t="s">
        <v>446</v>
      </c>
      <c r="F79" s="30" t="n">
        <v>41969</v>
      </c>
      <c r="G79" s="30" t="n">
        <v>41974</v>
      </c>
      <c r="H79" s="31" t="n">
        <f aca="false">INT(($H$327-G79)/30)</f>
        <v>13</v>
      </c>
      <c r="I79" s="24" t="n">
        <f aca="false">H79*1000</f>
        <v>13000</v>
      </c>
      <c r="J79" s="31" t="n">
        <v>1000</v>
      </c>
      <c r="K79" s="31"/>
      <c r="L79" s="32" t="n">
        <f aca="false">I79-J79-K79</f>
        <v>12000</v>
      </c>
      <c r="M79" s="33" t="n">
        <v>800</v>
      </c>
      <c r="N79" s="33" t="n">
        <v>800</v>
      </c>
      <c r="O79" s="33" t="n">
        <v>800</v>
      </c>
      <c r="P79" s="33" t="n">
        <v>800</v>
      </c>
      <c r="Q79" s="33" t="n">
        <v>800</v>
      </c>
      <c r="R79" s="33" t="n">
        <v>800</v>
      </c>
      <c r="S79" s="33" t="n">
        <v>800</v>
      </c>
      <c r="T79" s="33" t="n">
        <v>800</v>
      </c>
      <c r="U79" s="33" t="n">
        <v>800</v>
      </c>
      <c r="V79" s="33" t="n">
        <v>800</v>
      </c>
      <c r="W79" s="33" t="n">
        <v>800</v>
      </c>
      <c r="X79" s="33" t="n">
        <v>800</v>
      </c>
      <c r="Y79" s="32" t="n">
        <f aca="false">SUM(L79:X79)</f>
        <v>21600</v>
      </c>
      <c r="Z79" s="8" t="n">
        <f aca="false">VLOOKUP(A79,справочник!$E$2:$F$322,2,0)</f>
        <v>0</v>
      </c>
    </row>
    <row collapsed="false" customFormat="false" customHeight="false" hidden="true" ht="15" outlineLevel="0" r="80">
      <c r="A80" s="19" t="n">
        <f aca="false">VLOOKUP(B80,справочник!$B$2:$E$322,4,0)</f>
        <v>18</v>
      </c>
      <c r="B80" s="0" t="e">
        <f aca="false">CONCATENATE(C80;D80)</f>
        <v>#VALUE!</v>
      </c>
      <c r="C80" s="24" t="n">
        <v>18</v>
      </c>
      <c r="D80" s="29" t="s">
        <v>220</v>
      </c>
      <c r="E80" s="24" t="s">
        <v>447</v>
      </c>
      <c r="F80" s="30" t="n">
        <v>41429</v>
      </c>
      <c r="G80" s="30" t="n">
        <v>41487</v>
      </c>
      <c r="H80" s="31" t="n">
        <f aca="false">INT(($H$327-G80)/30)</f>
        <v>29</v>
      </c>
      <c r="I80" s="24" t="n">
        <f aca="false">H80*1000</f>
        <v>29000</v>
      </c>
      <c r="J80" s="31" t="n">
        <v>29000</v>
      </c>
      <c r="K80" s="31"/>
      <c r="L80" s="32" t="n">
        <f aca="false">I80-J80-K80</f>
        <v>0</v>
      </c>
      <c r="M80" s="33" t="n">
        <v>800</v>
      </c>
      <c r="N80" s="33" t="n">
        <v>800</v>
      </c>
      <c r="O80" s="33" t="n">
        <v>800</v>
      </c>
      <c r="P80" s="33" t="n">
        <v>800</v>
      </c>
      <c r="Q80" s="33" t="n">
        <v>800</v>
      </c>
      <c r="R80" s="33" t="n">
        <v>800</v>
      </c>
      <c r="S80" s="33" t="n">
        <v>800</v>
      </c>
      <c r="T80" s="33" t="n">
        <v>800</v>
      </c>
      <c r="U80" s="33" t="n">
        <v>800</v>
      </c>
      <c r="V80" s="33" t="n">
        <v>800</v>
      </c>
      <c r="W80" s="33" t="n">
        <v>800</v>
      </c>
      <c r="X80" s="33" t="n">
        <v>800</v>
      </c>
      <c r="Y80" s="32" t="n">
        <f aca="false">SUM(L80:X80)</f>
        <v>9600</v>
      </c>
      <c r="Z80" s="8" t="n">
        <f aca="false">VLOOKUP(A80,справочник!$E$2:$F$322,2,0)</f>
        <v>0</v>
      </c>
    </row>
    <row collapsed="false" customFormat="false" customHeight="false" hidden="true" ht="15" outlineLevel="0" r="81">
      <c r="A81" s="19" t="n">
        <f aca="false">VLOOKUP(B81,справочник!$B$2:$E$322,4,0)</f>
        <v>155</v>
      </c>
      <c r="B81" s="0" t="e">
        <f aca="false">CONCATENATE(C81;D81)</f>
        <v>#VALUE!</v>
      </c>
      <c r="C81" s="24" t="n">
        <v>163</v>
      </c>
      <c r="D81" s="29" t="s">
        <v>301</v>
      </c>
      <c r="E81" s="24" t="s">
        <v>448</v>
      </c>
      <c r="F81" s="30" t="n">
        <v>41491</v>
      </c>
      <c r="G81" s="30" t="n">
        <v>41518</v>
      </c>
      <c r="H81" s="31" t="n">
        <f aca="false">INT(($H$327-G81)/30)</f>
        <v>28</v>
      </c>
      <c r="I81" s="24" t="n">
        <f aca="false">H81*1000</f>
        <v>28000</v>
      </c>
      <c r="J81" s="31" t="n">
        <v>28000</v>
      </c>
      <c r="K81" s="31" t="n">
        <v>2000</v>
      </c>
      <c r="L81" s="32" t="n">
        <f aca="false">I81-J81-K81</f>
        <v>-2000</v>
      </c>
      <c r="M81" s="33" t="n">
        <v>800</v>
      </c>
      <c r="N81" s="33" t="n">
        <v>800</v>
      </c>
      <c r="O81" s="33" t="n">
        <v>800</v>
      </c>
      <c r="P81" s="33" t="n">
        <v>800</v>
      </c>
      <c r="Q81" s="33" t="n">
        <v>800</v>
      </c>
      <c r="R81" s="33" t="n">
        <v>800</v>
      </c>
      <c r="S81" s="33" t="n">
        <v>800</v>
      </c>
      <c r="T81" s="33" t="n">
        <v>800</v>
      </c>
      <c r="U81" s="33" t="n">
        <v>800</v>
      </c>
      <c r="V81" s="33" t="n">
        <v>800</v>
      </c>
      <c r="W81" s="33" t="n">
        <v>800</v>
      </c>
      <c r="X81" s="33" t="n">
        <v>800</v>
      </c>
      <c r="Y81" s="32" t="n">
        <f aca="false">SUM(L81:X81)</f>
        <v>7600</v>
      </c>
      <c r="Z81" s="8" t="n">
        <f aca="false">VLOOKUP(A81,справочник!$E$2:$F$322,2,0)</f>
        <v>0</v>
      </c>
    </row>
    <row collapsed="false" customFormat="false" customHeight="false" hidden="true" ht="15" outlineLevel="0" r="82">
      <c r="A82" s="19" t="n">
        <f aca="false">VLOOKUP(B82,справочник!$B$2:$E$322,4,0)</f>
        <v>44</v>
      </c>
      <c r="B82" s="0" t="e">
        <f aca="false">CONCATENATE(C82;D82)</f>
        <v>#VALUE!</v>
      </c>
      <c r="C82" s="24" t="n">
        <v>44</v>
      </c>
      <c r="D82" s="29" t="s">
        <v>197</v>
      </c>
      <c r="E82" s="40" t="s">
        <v>393</v>
      </c>
      <c r="F82" s="41" t="n">
        <v>41100</v>
      </c>
      <c r="G82" s="41" t="n">
        <v>41091</v>
      </c>
      <c r="H82" s="31" t="n">
        <f aca="false">INT(($H$327-G82)/30)</f>
        <v>42</v>
      </c>
      <c r="I82" s="24" t="n">
        <f aca="false">H82*1000</f>
        <v>42000</v>
      </c>
      <c r="J82" s="31" t="n">
        <f aca="false">21000+6000</f>
        <v>27000</v>
      </c>
      <c r="K82" s="31" t="n">
        <v>13000</v>
      </c>
      <c r="L82" s="32" t="n">
        <f aca="false">I82-J82-K82</f>
        <v>2000</v>
      </c>
      <c r="M82" s="33" t="n">
        <v>800</v>
      </c>
      <c r="N82" s="33" t="n">
        <v>800</v>
      </c>
      <c r="O82" s="33" t="n">
        <v>800</v>
      </c>
      <c r="P82" s="33" t="n">
        <v>800</v>
      </c>
      <c r="Q82" s="33" t="n">
        <v>800</v>
      </c>
      <c r="R82" s="33" t="n">
        <v>800</v>
      </c>
      <c r="S82" s="33" t="n">
        <v>800</v>
      </c>
      <c r="T82" s="33" t="n">
        <v>800</v>
      </c>
      <c r="U82" s="33" t="n">
        <v>800</v>
      </c>
      <c r="V82" s="33" t="n">
        <v>800</v>
      </c>
      <c r="W82" s="33" t="n">
        <v>800</v>
      </c>
      <c r="X82" s="33" t="n">
        <v>800</v>
      </c>
      <c r="Y82" s="32" t="n">
        <f aca="false">SUM(L82:X82)</f>
        <v>11600</v>
      </c>
      <c r="Z82" s="8" t="n">
        <f aca="false">VLOOKUP(A82,справочник!$E$2:$F$322,2,0)</f>
        <v>0</v>
      </c>
    </row>
    <row collapsed="false" customFormat="false" customHeight="false" hidden="true" ht="15" outlineLevel="0" r="83">
      <c r="A83" s="19" t="n">
        <f aca="false">VLOOKUP(B83,справочник!$B$2:$E$322,4,0)</f>
        <v>132</v>
      </c>
      <c r="B83" s="0" t="e">
        <f aca="false">CONCATENATE(C83;D83)</f>
        <v>#VALUE!</v>
      </c>
      <c r="C83" s="24" t="n">
        <v>139</v>
      </c>
      <c r="D83" s="29" t="s">
        <v>129</v>
      </c>
      <c r="E83" s="24" t="s">
        <v>449</v>
      </c>
      <c r="F83" s="30" t="n">
        <v>40690</v>
      </c>
      <c r="G83" s="30" t="n">
        <v>40695</v>
      </c>
      <c r="H83" s="31" t="n">
        <f aca="false">INT(($H$327-G83)/30)</f>
        <v>55</v>
      </c>
      <c r="I83" s="24" t="n">
        <f aca="false">H83*1000</f>
        <v>55000</v>
      </c>
      <c r="J83" s="31" t="n">
        <f aca="false">41000+1000</f>
        <v>42000</v>
      </c>
      <c r="K83" s="31"/>
      <c r="L83" s="32" t="n">
        <f aca="false">I83-J83-K83</f>
        <v>13000</v>
      </c>
      <c r="M83" s="33" t="n">
        <v>800</v>
      </c>
      <c r="N83" s="33" t="n">
        <v>800</v>
      </c>
      <c r="O83" s="33" t="n">
        <v>800</v>
      </c>
      <c r="P83" s="33" t="n">
        <v>800</v>
      </c>
      <c r="Q83" s="33" t="n">
        <v>800</v>
      </c>
      <c r="R83" s="33" t="n">
        <v>800</v>
      </c>
      <c r="S83" s="33" t="n">
        <v>800</v>
      </c>
      <c r="T83" s="33" t="n">
        <v>800</v>
      </c>
      <c r="U83" s="33" t="n">
        <v>800</v>
      </c>
      <c r="V83" s="33" t="n">
        <v>800</v>
      </c>
      <c r="W83" s="33" t="n">
        <v>800</v>
      </c>
      <c r="X83" s="33" t="n">
        <v>800</v>
      </c>
      <c r="Y83" s="32" t="n">
        <f aca="false">SUM(L83:X83)</f>
        <v>22600</v>
      </c>
      <c r="Z83" s="8" t="n">
        <f aca="false">VLOOKUP(A83,справочник!$E$2:$F$322,2,0)</f>
        <v>0</v>
      </c>
    </row>
    <row collapsed="false" customFormat="false" customHeight="false" hidden="true" ht="15" outlineLevel="0" r="84">
      <c r="A84" s="19" t="n">
        <f aca="false">VLOOKUP(B84,справочник!$B$2:$E$322,4,0)</f>
        <v>159</v>
      </c>
      <c r="B84" s="0" t="e">
        <f aca="false">CONCATENATE(C84;D84)</f>
        <v>#VALUE!</v>
      </c>
      <c r="C84" s="24" t="n">
        <v>167</v>
      </c>
      <c r="D84" s="29" t="s">
        <v>215</v>
      </c>
      <c r="E84" s="24" t="s">
        <v>450</v>
      </c>
      <c r="F84" s="30" t="n">
        <v>41044</v>
      </c>
      <c r="G84" s="30" t="n">
        <v>41030</v>
      </c>
      <c r="H84" s="31" t="n">
        <f aca="false">INT(($H$327-G84)/30)</f>
        <v>44</v>
      </c>
      <c r="I84" s="24" t="n">
        <f aca="false">H84*1000</f>
        <v>44000</v>
      </c>
      <c r="J84" s="31" t="n">
        <f aca="false">32000</f>
        <v>32000</v>
      </c>
      <c r="K84" s="31"/>
      <c r="L84" s="32" t="n">
        <f aca="false">I84-J84-K84</f>
        <v>12000</v>
      </c>
      <c r="M84" s="33" t="n">
        <v>800</v>
      </c>
      <c r="N84" s="33" t="n">
        <v>800</v>
      </c>
      <c r="O84" s="33" t="n">
        <v>800</v>
      </c>
      <c r="P84" s="33" t="n">
        <v>800</v>
      </c>
      <c r="Q84" s="33" t="n">
        <v>800</v>
      </c>
      <c r="R84" s="33" t="n">
        <v>800</v>
      </c>
      <c r="S84" s="33" t="n">
        <v>800</v>
      </c>
      <c r="T84" s="33" t="n">
        <v>800</v>
      </c>
      <c r="U84" s="33" t="n">
        <v>800</v>
      </c>
      <c r="V84" s="33" t="n">
        <v>800</v>
      </c>
      <c r="W84" s="33" t="n">
        <v>800</v>
      </c>
      <c r="X84" s="33" t="n">
        <v>800</v>
      </c>
      <c r="Y84" s="32" t="n">
        <f aca="false">SUM(L84:X84)</f>
        <v>21600</v>
      </c>
      <c r="Z84" s="8" t="n">
        <f aca="false">VLOOKUP(A84,справочник!$E$2:$F$322,2,0)</f>
        <v>0</v>
      </c>
    </row>
    <row collapsed="false" customFormat="false" customHeight="false" hidden="true" ht="15" outlineLevel="0" r="85">
      <c r="A85" s="19" t="n">
        <f aca="false">VLOOKUP(B85,справочник!$B$2:$E$322,4,0)</f>
        <v>181</v>
      </c>
      <c r="B85" s="0" t="e">
        <f aca="false">CONCATENATE(C85;D85)</f>
        <v>#VALUE!</v>
      </c>
      <c r="C85" s="24" t="n">
        <v>189</v>
      </c>
      <c r="D85" s="29" t="s">
        <v>263</v>
      </c>
      <c r="E85" s="24" t="s">
        <v>451</v>
      </c>
      <c r="F85" s="30" t="n">
        <v>41734</v>
      </c>
      <c r="G85" s="30" t="n">
        <v>41760</v>
      </c>
      <c r="H85" s="31" t="n">
        <f aca="false">INT(($H$327-G85)/30)</f>
        <v>20</v>
      </c>
      <c r="I85" s="24" t="n">
        <f aca="false">H85*1000</f>
        <v>20000</v>
      </c>
      <c r="J85" s="31" t="n">
        <v>17000</v>
      </c>
      <c r="K85" s="31"/>
      <c r="L85" s="32" t="n">
        <f aca="false">I85-J85-K85</f>
        <v>3000</v>
      </c>
      <c r="M85" s="33" t="n">
        <v>800</v>
      </c>
      <c r="N85" s="33" t="n">
        <v>800</v>
      </c>
      <c r="O85" s="33" t="n">
        <v>800</v>
      </c>
      <c r="P85" s="33" t="n">
        <v>800</v>
      </c>
      <c r="Q85" s="33" t="n">
        <v>800</v>
      </c>
      <c r="R85" s="33" t="n">
        <v>800</v>
      </c>
      <c r="S85" s="33" t="n">
        <v>800</v>
      </c>
      <c r="T85" s="33" t="n">
        <v>800</v>
      </c>
      <c r="U85" s="33" t="n">
        <v>800</v>
      </c>
      <c r="V85" s="33" t="n">
        <v>800</v>
      </c>
      <c r="W85" s="33" t="n">
        <v>800</v>
      </c>
      <c r="X85" s="33" t="n">
        <v>800</v>
      </c>
      <c r="Y85" s="32" t="n">
        <f aca="false">SUM(L85:X85)</f>
        <v>12600</v>
      </c>
      <c r="Z85" s="8" t="n">
        <f aca="false">VLOOKUP(A85,справочник!$E$2:$F$322,2,0)</f>
        <v>0</v>
      </c>
    </row>
    <row collapsed="false" customFormat="false" customHeight="false" hidden="true" ht="15" outlineLevel="0" r="86">
      <c r="A86" s="19" t="n">
        <f aca="false">VLOOKUP(B86,справочник!$B$2:$E$322,4,0)</f>
        <v>284</v>
      </c>
      <c r="B86" s="0" t="e">
        <f aca="false">CONCATENATE(C86;D86)</f>
        <v>#VALUE!</v>
      </c>
      <c r="C86" s="24" t="n">
        <v>296</v>
      </c>
      <c r="D86" s="29" t="s">
        <v>180</v>
      </c>
      <c r="E86" s="24" t="s">
        <v>452</v>
      </c>
      <c r="F86" s="30" t="n">
        <v>41549</v>
      </c>
      <c r="G86" s="30" t="n">
        <v>41579</v>
      </c>
      <c r="H86" s="31" t="n">
        <f aca="false">INT(($H$327-G86)/30)</f>
        <v>26</v>
      </c>
      <c r="I86" s="24" t="n">
        <f aca="false">H86*1000</f>
        <v>26000</v>
      </c>
      <c r="J86" s="31" t="n">
        <f aca="false">12000</f>
        <v>12000</v>
      </c>
      <c r="K86" s="31" t="n">
        <v>5000</v>
      </c>
      <c r="L86" s="32" t="n">
        <f aca="false">I86-J86-K86</f>
        <v>9000</v>
      </c>
      <c r="M86" s="33" t="n">
        <v>800</v>
      </c>
      <c r="N86" s="33" t="n">
        <v>800</v>
      </c>
      <c r="O86" s="33" t="n">
        <v>800</v>
      </c>
      <c r="P86" s="33" t="n">
        <v>800</v>
      </c>
      <c r="Q86" s="33" t="n">
        <v>800</v>
      </c>
      <c r="R86" s="33" t="n">
        <v>800</v>
      </c>
      <c r="S86" s="33" t="n">
        <v>800</v>
      </c>
      <c r="T86" s="33" t="n">
        <v>800</v>
      </c>
      <c r="U86" s="33" t="n">
        <v>800</v>
      </c>
      <c r="V86" s="33" t="n">
        <v>800</v>
      </c>
      <c r="W86" s="33" t="n">
        <v>800</v>
      </c>
      <c r="X86" s="33" t="n">
        <v>800</v>
      </c>
      <c r="Y86" s="32" t="n">
        <f aca="false">SUM(L86:X86)</f>
        <v>18600</v>
      </c>
      <c r="Z86" s="8" t="n">
        <f aca="false">VLOOKUP(A86,справочник!$E$2:$F$322,2,0)</f>
        <v>0</v>
      </c>
    </row>
    <row collapsed="false" customFormat="false" customHeight="false" hidden="true" ht="25.5" outlineLevel="0" r="87">
      <c r="A87" s="19" t="n">
        <f aca="false">VLOOKUP(B87,справочник!$B$2:$E$322,4,0)</f>
        <v>264</v>
      </c>
      <c r="B87" s="0" t="e">
        <f aca="false">CONCATENATE(C87;D87)</f>
        <v>#VALUE!</v>
      </c>
      <c r="C87" s="24" t="n">
        <v>277</v>
      </c>
      <c r="D87" s="29" t="s">
        <v>233</v>
      </c>
      <c r="E87" s="24" t="s">
        <v>453</v>
      </c>
      <c r="F87" s="30" t="n">
        <v>41093</v>
      </c>
      <c r="G87" s="30" t="n">
        <v>41091</v>
      </c>
      <c r="H87" s="31" t="n">
        <f aca="false">INT(($H$327-G87)/30)</f>
        <v>42</v>
      </c>
      <c r="I87" s="24" t="n">
        <f aca="false">H87*1000</f>
        <v>42000</v>
      </c>
      <c r="J87" s="31" t="n">
        <f aca="false">38000</f>
        <v>38000</v>
      </c>
      <c r="K87" s="31"/>
      <c r="L87" s="32" t="n">
        <f aca="false">I87-J87-K87</f>
        <v>4000</v>
      </c>
      <c r="M87" s="33" t="n">
        <v>800</v>
      </c>
      <c r="N87" s="33" t="n">
        <v>800</v>
      </c>
      <c r="O87" s="33" t="n">
        <v>800</v>
      </c>
      <c r="P87" s="33" t="n">
        <v>800</v>
      </c>
      <c r="Q87" s="33" t="n">
        <v>800</v>
      </c>
      <c r="R87" s="33" t="n">
        <v>800</v>
      </c>
      <c r="S87" s="33" t="n">
        <v>800</v>
      </c>
      <c r="T87" s="33" t="n">
        <v>800</v>
      </c>
      <c r="U87" s="33" t="n">
        <v>800</v>
      </c>
      <c r="V87" s="33" t="n">
        <v>800</v>
      </c>
      <c r="W87" s="33" t="n">
        <v>800</v>
      </c>
      <c r="X87" s="33" t="n">
        <v>800</v>
      </c>
      <c r="Y87" s="32" t="n">
        <f aca="false">SUM(L87:X87)</f>
        <v>13600</v>
      </c>
      <c r="Z87" s="8" t="n">
        <f aca="false">VLOOKUP(A87,справочник!$E$2:$F$322,2,0)</f>
        <v>0</v>
      </c>
    </row>
    <row collapsed="false" customFormat="false" customHeight="false" hidden="true" ht="15" outlineLevel="0" r="88">
      <c r="A88" s="19" t="n">
        <f aca="false">VLOOKUP(B88,справочник!$B$2:$E$322,4,0)</f>
        <v>32</v>
      </c>
      <c r="B88" s="0" t="e">
        <f aca="false">CONCATENATE(C88;D88)</f>
        <v>#VALUE!</v>
      </c>
      <c r="C88" s="24" t="n">
        <v>32</v>
      </c>
      <c r="D88" s="29" t="s">
        <v>290</v>
      </c>
      <c r="E88" s="24" t="s">
        <v>454</v>
      </c>
      <c r="F88" s="30" t="n">
        <v>40695</v>
      </c>
      <c r="G88" s="30" t="n">
        <v>40695</v>
      </c>
      <c r="H88" s="31" t="n">
        <f aca="false">INT(($H$327-G88)/30)</f>
        <v>55</v>
      </c>
      <c r="I88" s="24" t="n">
        <f aca="false">H88*1000</f>
        <v>55000</v>
      </c>
      <c r="J88" s="31" t="n">
        <f aca="false">7000+48000</f>
        <v>55000</v>
      </c>
      <c r="K88" s="31"/>
      <c r="L88" s="32" t="n">
        <f aca="false">I88-J88-K88</f>
        <v>0</v>
      </c>
      <c r="M88" s="33" t="n">
        <v>800</v>
      </c>
      <c r="N88" s="33" t="n">
        <v>800</v>
      </c>
      <c r="O88" s="33" t="n">
        <v>800</v>
      </c>
      <c r="P88" s="33" t="n">
        <v>800</v>
      </c>
      <c r="Q88" s="33" t="n">
        <v>800</v>
      </c>
      <c r="R88" s="33" t="n">
        <v>800</v>
      </c>
      <c r="S88" s="33" t="n">
        <v>800</v>
      </c>
      <c r="T88" s="33" t="n">
        <v>800</v>
      </c>
      <c r="U88" s="33" t="n">
        <v>800</v>
      </c>
      <c r="V88" s="33" t="n">
        <v>800</v>
      </c>
      <c r="W88" s="33" t="n">
        <v>800</v>
      </c>
      <c r="X88" s="33" t="n">
        <v>800</v>
      </c>
      <c r="Y88" s="32" t="n">
        <f aca="false">SUM(L88:X88)</f>
        <v>9600</v>
      </c>
      <c r="Z88" s="8" t="n">
        <f aca="false">VLOOKUP(A88,справочник!$E$2:$F$322,2,0)</f>
        <v>0</v>
      </c>
    </row>
    <row collapsed="false" customFormat="false" customHeight="false" hidden="true" ht="15" outlineLevel="0" r="89">
      <c r="A89" s="19" t="n">
        <f aca="false">VLOOKUP(B89,справочник!$B$2:$E$322,4,0)</f>
        <v>49</v>
      </c>
      <c r="B89" s="0" t="e">
        <f aca="false">CONCATENATE(C89;D89)</f>
        <v>#VALUE!</v>
      </c>
      <c r="C89" s="24" t="n">
        <v>49</v>
      </c>
      <c r="D89" s="29" t="s">
        <v>274</v>
      </c>
      <c r="E89" s="24" t="s">
        <v>455</v>
      </c>
      <c r="F89" s="30" t="n">
        <v>40729</v>
      </c>
      <c r="G89" s="30" t="n">
        <v>40756</v>
      </c>
      <c r="H89" s="31" t="n">
        <f aca="false">INT(($H$327-G89)/30)</f>
        <v>53</v>
      </c>
      <c r="I89" s="24" t="n">
        <f aca="false">H89*1000</f>
        <v>53000</v>
      </c>
      <c r="J89" s="31" t="n">
        <f aca="false">42000</f>
        <v>42000</v>
      </c>
      <c r="K89" s="31"/>
      <c r="L89" s="32" t="n">
        <f aca="false">I89-J89-K89</f>
        <v>11000</v>
      </c>
      <c r="M89" s="33" t="n">
        <v>800</v>
      </c>
      <c r="N89" s="33" t="n">
        <v>800</v>
      </c>
      <c r="O89" s="33" t="n">
        <v>800</v>
      </c>
      <c r="P89" s="33" t="n">
        <v>800</v>
      </c>
      <c r="Q89" s="33" t="n">
        <v>800</v>
      </c>
      <c r="R89" s="33" t="n">
        <v>800</v>
      </c>
      <c r="S89" s="33" t="n">
        <v>800</v>
      </c>
      <c r="T89" s="33" t="n">
        <v>800</v>
      </c>
      <c r="U89" s="33" t="n">
        <v>800</v>
      </c>
      <c r="V89" s="33" t="n">
        <v>800</v>
      </c>
      <c r="W89" s="33" t="n">
        <v>800</v>
      </c>
      <c r="X89" s="33" t="n">
        <v>800</v>
      </c>
      <c r="Y89" s="32" t="n">
        <f aca="false">SUM(L89:X89)</f>
        <v>20600</v>
      </c>
      <c r="Z89" s="8" t="n">
        <f aca="false">VLOOKUP(A89,справочник!$E$2:$F$322,2,0)</f>
        <v>0</v>
      </c>
    </row>
    <row collapsed="false" customFormat="false" customHeight="false" hidden="true" ht="15" outlineLevel="0" r="90">
      <c r="A90" s="19" t="n">
        <f aca="false">VLOOKUP(B90,справочник!$B$2:$E$322,4,0)</f>
        <v>234</v>
      </c>
      <c r="B90" s="0" t="e">
        <f aca="false">CONCATENATE(C90;D90)</f>
        <v>#VALUE!</v>
      </c>
      <c r="C90" s="24" t="n">
        <v>243</v>
      </c>
      <c r="D90" s="29" t="s">
        <v>280</v>
      </c>
      <c r="E90" s="36" t="s">
        <v>456</v>
      </c>
      <c r="F90" s="34" t="n">
        <v>41248</v>
      </c>
      <c r="G90" s="34" t="n">
        <v>41365</v>
      </c>
      <c r="H90" s="35" t="n">
        <v>3</v>
      </c>
      <c r="I90" s="36" t="n">
        <f aca="false">H90*1000</f>
        <v>3000</v>
      </c>
      <c r="J90" s="35"/>
      <c r="K90" s="35" t="n">
        <v>3000</v>
      </c>
      <c r="L90" s="37" t="n">
        <f aca="false">I90-J90-K90</f>
        <v>0</v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2" t="n">
        <f aca="false">SUM(L90:X90)</f>
        <v>0</v>
      </c>
      <c r="Z90" s="8" t="n">
        <f aca="false">VLOOKUP(A90,справочник!$E$2:$F$322,2,0)</f>
        <v>1</v>
      </c>
    </row>
    <row collapsed="false" customFormat="false" customHeight="false" hidden="true" ht="15" outlineLevel="0" r="91">
      <c r="A91" s="19" t="n">
        <f aca="false">VLOOKUP(B91,справочник!$B$2:$E$322,4,0)</f>
        <v>234</v>
      </c>
      <c r="B91" s="0" t="e">
        <f aca="false">CONCATENATE(C91;D91)</f>
        <v>#VALUE!</v>
      </c>
      <c r="C91" s="24" t="n">
        <v>244</v>
      </c>
      <c r="D91" s="29" t="s">
        <v>280</v>
      </c>
      <c r="E91" s="36"/>
      <c r="F91" s="34" t="n">
        <v>41248</v>
      </c>
      <c r="G91" s="34" t="n">
        <v>41365</v>
      </c>
      <c r="H91" s="35" t="n">
        <v>3</v>
      </c>
      <c r="I91" s="36" t="n">
        <f aca="false">H91*1000</f>
        <v>3000</v>
      </c>
      <c r="J91" s="35"/>
      <c r="K91" s="35" t="n">
        <v>3000</v>
      </c>
      <c r="L91" s="37" t="n">
        <f aca="false">I91-J91-K91</f>
        <v>0</v>
      </c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2" t="n">
        <f aca="false">SUM(L91:X91)</f>
        <v>0</v>
      </c>
      <c r="Z91" s="8" t="n">
        <f aca="false">VLOOKUP(A91,справочник!$E$2:$F$322,2,0)</f>
        <v>1</v>
      </c>
    </row>
    <row collapsed="false" customFormat="false" customHeight="false" hidden="true" ht="15" outlineLevel="0" r="92">
      <c r="A92" s="19" t="n">
        <f aca="false">VLOOKUP(B92,справочник!$B$2:$E$322,4,0)</f>
        <v>234</v>
      </c>
      <c r="B92" s="0" t="e">
        <f aca="false">CONCATENATE(C92;D92)</f>
        <v>#VALUE!</v>
      </c>
      <c r="C92" s="24" t="s">
        <v>457</v>
      </c>
      <c r="D92" s="29" t="s">
        <v>280</v>
      </c>
      <c r="E92" s="36"/>
      <c r="F92" s="34" t="n">
        <v>41456</v>
      </c>
      <c r="G92" s="34" t="n">
        <v>41456</v>
      </c>
      <c r="H92" s="35" t="n">
        <f aca="false">INT(($H$327-G92)/30)</f>
        <v>30</v>
      </c>
      <c r="I92" s="36" t="n">
        <f aca="false">H92*1000</f>
        <v>30000</v>
      </c>
      <c r="J92" s="35"/>
      <c r="K92" s="35" t="n">
        <v>30000</v>
      </c>
      <c r="L92" s="37" t="n">
        <f aca="false">I92-J92-K92</f>
        <v>0</v>
      </c>
      <c r="M92" s="33" t="n">
        <v>800</v>
      </c>
      <c r="N92" s="33" t="n">
        <v>800</v>
      </c>
      <c r="O92" s="33" t="n">
        <v>800</v>
      </c>
      <c r="P92" s="33" t="n">
        <v>800</v>
      </c>
      <c r="Q92" s="33" t="n">
        <v>800</v>
      </c>
      <c r="R92" s="33" t="n">
        <v>800</v>
      </c>
      <c r="S92" s="33" t="n">
        <v>800</v>
      </c>
      <c r="T92" s="33" t="n">
        <v>800</v>
      </c>
      <c r="U92" s="33" t="n">
        <v>800</v>
      </c>
      <c r="V92" s="33" t="n">
        <v>800</v>
      </c>
      <c r="W92" s="33" t="n">
        <v>800</v>
      </c>
      <c r="X92" s="33" t="n">
        <v>800</v>
      </c>
      <c r="Y92" s="32" t="n">
        <f aca="false">SUM(L92:X92)</f>
        <v>9600</v>
      </c>
      <c r="Z92" s="8" t="n">
        <f aca="false">VLOOKUP(A92,справочник!$E$2:$F$322,2,0)</f>
        <v>1</v>
      </c>
    </row>
    <row collapsed="false" customFormat="false" customHeight="false" hidden="true" ht="15" outlineLevel="0" r="93">
      <c r="A93" s="19" t="n">
        <f aca="false">VLOOKUP(B93,справочник!$B$2:$E$322,4,0)</f>
        <v>254</v>
      </c>
      <c r="B93" s="0" t="e">
        <f aca="false">CONCATENATE(C93;D93)</f>
        <v>#VALUE!</v>
      </c>
      <c r="C93" s="24" t="n">
        <v>267</v>
      </c>
      <c r="D93" s="29" t="s">
        <v>183</v>
      </c>
      <c r="E93" s="24" t="s">
        <v>458</v>
      </c>
      <c r="F93" s="30" t="n">
        <v>40953</v>
      </c>
      <c r="G93" s="30" t="n">
        <v>40940</v>
      </c>
      <c r="H93" s="31" t="n">
        <f aca="false">INT(($H$327-G93)/30)</f>
        <v>47</v>
      </c>
      <c r="I93" s="24" t="n">
        <f aca="false">H93*1000</f>
        <v>47000</v>
      </c>
      <c r="J93" s="31" t="n">
        <f aca="false">39000+5000</f>
        <v>44000</v>
      </c>
      <c r="K93" s="31"/>
      <c r="L93" s="32" t="n">
        <f aca="false">I93-J93-K93</f>
        <v>3000</v>
      </c>
      <c r="M93" s="33" t="n">
        <v>800</v>
      </c>
      <c r="N93" s="33" t="n">
        <v>800</v>
      </c>
      <c r="O93" s="33" t="n">
        <v>800</v>
      </c>
      <c r="P93" s="33" t="n">
        <v>800</v>
      </c>
      <c r="Q93" s="33" t="n">
        <v>800</v>
      </c>
      <c r="R93" s="33" t="n">
        <v>800</v>
      </c>
      <c r="S93" s="33" t="n">
        <v>800</v>
      </c>
      <c r="T93" s="33" t="n">
        <v>800</v>
      </c>
      <c r="U93" s="33" t="n">
        <v>800</v>
      </c>
      <c r="V93" s="33" t="n">
        <v>800</v>
      </c>
      <c r="W93" s="33" t="n">
        <v>800</v>
      </c>
      <c r="X93" s="33" t="n">
        <v>800</v>
      </c>
      <c r="Y93" s="32" t="n">
        <f aca="false">SUM(L93:X93)</f>
        <v>12600</v>
      </c>
      <c r="Z93" s="8" t="n">
        <f aca="false">VLOOKUP(A93,справочник!$E$2:$F$322,2,0)</f>
        <v>0</v>
      </c>
    </row>
    <row collapsed="false" customFormat="false" customHeight="false" hidden="true" ht="15" outlineLevel="0" r="94">
      <c r="A94" s="19" t="n">
        <f aca="false">VLOOKUP(B94,справочник!$B$2:$E$322,4,0)</f>
        <v>230</v>
      </c>
      <c r="B94" s="0" t="e">
        <f aca="false">CONCATENATE(C94;D94)</f>
        <v>#VALUE!</v>
      </c>
      <c r="C94" s="24" t="n">
        <v>239</v>
      </c>
      <c r="D94" s="29" t="s">
        <v>168</v>
      </c>
      <c r="E94" s="36" t="s">
        <v>459</v>
      </c>
      <c r="F94" s="34" t="n">
        <v>41590</v>
      </c>
      <c r="G94" s="34" t="n">
        <v>41579</v>
      </c>
      <c r="H94" s="35" t="n">
        <f aca="false">INT(($H$327-G94)/30)</f>
        <v>26</v>
      </c>
      <c r="I94" s="36" t="n">
        <f aca="false">H94*1000</f>
        <v>26000</v>
      </c>
      <c r="J94" s="35" t="n">
        <v>26000</v>
      </c>
      <c r="K94" s="35"/>
      <c r="L94" s="37" t="n">
        <f aca="false">I94-J94-K94</f>
        <v>0</v>
      </c>
      <c r="M94" s="33" t="n">
        <v>800</v>
      </c>
      <c r="N94" s="33" t="n">
        <v>800</v>
      </c>
      <c r="O94" s="33" t="n">
        <v>800</v>
      </c>
      <c r="P94" s="33" t="n">
        <v>800</v>
      </c>
      <c r="Q94" s="33" t="n">
        <v>800</v>
      </c>
      <c r="R94" s="33" t="n">
        <v>800</v>
      </c>
      <c r="S94" s="33" t="n">
        <v>800</v>
      </c>
      <c r="T94" s="33" t="n">
        <v>800</v>
      </c>
      <c r="U94" s="33" t="n">
        <v>800</v>
      </c>
      <c r="V94" s="33" t="n">
        <v>800</v>
      </c>
      <c r="W94" s="33" t="n">
        <v>800</v>
      </c>
      <c r="X94" s="33" t="n">
        <v>800</v>
      </c>
      <c r="Y94" s="32" t="n">
        <f aca="false">SUM(L94:X94)</f>
        <v>9600</v>
      </c>
      <c r="Z94" s="8" t="n">
        <f aca="false">VLOOKUP(A94,справочник!$E$2:$F$322,2,0)</f>
        <v>1</v>
      </c>
    </row>
    <row collapsed="false" customFormat="false" customHeight="false" hidden="true" ht="15" outlineLevel="0" r="95">
      <c r="A95" s="19" t="n">
        <f aca="false">VLOOKUP(B95,справочник!$B$2:$E$322,4,0)</f>
        <v>230</v>
      </c>
      <c r="B95" s="0" t="e">
        <f aca="false">CONCATENATE(C95;D95)</f>
        <v>#VALUE!</v>
      </c>
      <c r="C95" s="24" t="n">
        <v>257</v>
      </c>
      <c r="D95" s="29" t="s">
        <v>168</v>
      </c>
      <c r="E95" s="36" t="s">
        <v>460</v>
      </c>
      <c r="F95" s="34" t="n">
        <v>41882</v>
      </c>
      <c r="G95" s="34" t="n">
        <v>41944</v>
      </c>
      <c r="H95" s="35" t="n">
        <f aca="false">INT(($H$327-G95)/30)</f>
        <v>14</v>
      </c>
      <c r="I95" s="36" t="n">
        <f aca="false">H95*1000</f>
        <v>14000</v>
      </c>
      <c r="J95" s="35" t="n">
        <v>0</v>
      </c>
      <c r="K95" s="35" t="n">
        <v>4000</v>
      </c>
      <c r="L95" s="37" t="n">
        <f aca="false">I95-J95-K95</f>
        <v>10000</v>
      </c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2" t="n">
        <f aca="false">SUM(L95:X95)</f>
        <v>10000</v>
      </c>
      <c r="Z95" s="8" t="n">
        <f aca="false">VLOOKUP(A95,справочник!$E$2:$F$322,2,0)</f>
        <v>1</v>
      </c>
    </row>
    <row collapsed="false" customFormat="false" customHeight="false" hidden="true" ht="15" outlineLevel="0" r="96">
      <c r="A96" s="19" t="n">
        <f aca="false">VLOOKUP(B96,справочник!$B$2:$E$322,4,0)</f>
        <v>4</v>
      </c>
      <c r="B96" s="0" t="e">
        <f aca="false">CONCATENATE(C96;D96)</f>
        <v>#VALUE!</v>
      </c>
      <c r="C96" s="24" t="n">
        <v>4</v>
      </c>
      <c r="D96" s="29" t="s">
        <v>241</v>
      </c>
      <c r="E96" s="24" t="s">
        <v>461</v>
      </c>
      <c r="F96" s="30" t="n">
        <v>41436</v>
      </c>
      <c r="G96" s="30" t="n">
        <v>41456</v>
      </c>
      <c r="H96" s="31" t="n">
        <f aca="false">INT(($H$327-G96)/30)</f>
        <v>30</v>
      </c>
      <c r="I96" s="24" t="n">
        <f aca="false">H96*1000</f>
        <v>30000</v>
      </c>
      <c r="J96" s="31" t="n">
        <v>27000</v>
      </c>
      <c r="K96" s="31"/>
      <c r="L96" s="32" t="n">
        <f aca="false">I96-J96-K96</f>
        <v>3000</v>
      </c>
      <c r="M96" s="33" t="n">
        <v>800</v>
      </c>
      <c r="N96" s="33" t="n">
        <v>800</v>
      </c>
      <c r="O96" s="33" t="n">
        <v>800</v>
      </c>
      <c r="P96" s="33" t="n">
        <v>800</v>
      </c>
      <c r="Q96" s="33" t="n">
        <v>800</v>
      </c>
      <c r="R96" s="33" t="n">
        <v>800</v>
      </c>
      <c r="S96" s="33" t="n">
        <v>800</v>
      </c>
      <c r="T96" s="33" t="n">
        <v>800</v>
      </c>
      <c r="U96" s="33" t="n">
        <v>800</v>
      </c>
      <c r="V96" s="33" t="n">
        <v>800</v>
      </c>
      <c r="W96" s="33" t="n">
        <v>800</v>
      </c>
      <c r="X96" s="33" t="n">
        <v>800</v>
      </c>
      <c r="Y96" s="32" t="n">
        <f aca="false">SUM(L96:X96)</f>
        <v>12600</v>
      </c>
      <c r="Z96" s="8" t="n">
        <f aca="false">VLOOKUP(A96,справочник!$E$2:$F$322,2,0)</f>
        <v>0</v>
      </c>
    </row>
    <row collapsed="false" customFormat="false" customHeight="false" hidden="true" ht="15" outlineLevel="0" r="97">
      <c r="A97" s="19" t="n">
        <f aca="false">VLOOKUP(B97,справочник!$B$2:$E$322,4,0)</f>
        <v>213</v>
      </c>
      <c r="B97" s="0" t="e">
        <f aca="false">CONCATENATE(C97;D97)</f>
        <v>#VALUE!</v>
      </c>
      <c r="C97" s="24" t="n">
        <v>222</v>
      </c>
      <c r="D97" s="29" t="s">
        <v>104</v>
      </c>
      <c r="E97" s="24" t="s">
        <v>462</v>
      </c>
      <c r="F97" s="30" t="n">
        <v>41766</v>
      </c>
      <c r="G97" s="30" t="n">
        <v>41791</v>
      </c>
      <c r="H97" s="31" t="n">
        <f aca="false">INT(($H$327-G97)/30)</f>
        <v>19</v>
      </c>
      <c r="I97" s="24" t="n">
        <f aca="false">H97*1000</f>
        <v>19000</v>
      </c>
      <c r="J97" s="31" t="n">
        <v>500</v>
      </c>
      <c r="K97" s="31"/>
      <c r="L97" s="32" t="n">
        <f aca="false">I97-J97-K97</f>
        <v>18500</v>
      </c>
      <c r="M97" s="33" t="n">
        <v>800</v>
      </c>
      <c r="N97" s="33" t="n">
        <v>800</v>
      </c>
      <c r="O97" s="33" t="n">
        <v>800</v>
      </c>
      <c r="P97" s="33" t="n">
        <v>800</v>
      </c>
      <c r="Q97" s="33" t="n">
        <v>800</v>
      </c>
      <c r="R97" s="33" t="n">
        <v>800</v>
      </c>
      <c r="S97" s="33" t="n">
        <v>800</v>
      </c>
      <c r="T97" s="33" t="n">
        <v>800</v>
      </c>
      <c r="U97" s="33" t="n">
        <v>800</v>
      </c>
      <c r="V97" s="33" t="n">
        <v>800</v>
      </c>
      <c r="W97" s="33" t="n">
        <v>800</v>
      </c>
      <c r="X97" s="33" t="n">
        <v>800</v>
      </c>
      <c r="Y97" s="32" t="n">
        <f aca="false">SUM(L97:X97)</f>
        <v>28100</v>
      </c>
      <c r="Z97" s="8" t="n">
        <f aca="false">VLOOKUP(A97,справочник!$E$2:$F$322,2,0)</f>
        <v>0</v>
      </c>
    </row>
    <row collapsed="false" customFormat="false" customHeight="false" hidden="true" ht="15" outlineLevel="0" r="98">
      <c r="A98" s="19" t="n">
        <f aca="false">VLOOKUP(B98,справочник!$B$2:$E$322,4,0)</f>
        <v>127</v>
      </c>
      <c r="B98" s="0" t="e">
        <f aca="false">CONCATENATE(C98;D98)</f>
        <v>#VALUE!</v>
      </c>
      <c r="C98" s="24" t="n">
        <v>132</v>
      </c>
      <c r="D98" s="29" t="s">
        <v>30</v>
      </c>
      <c r="E98" s="24" t="s">
        <v>463</v>
      </c>
      <c r="F98" s="30" t="n">
        <v>40701</v>
      </c>
      <c r="G98" s="30" t="n">
        <v>40695</v>
      </c>
      <c r="H98" s="31" t="n">
        <f aca="false">INT(($H$327-G98)/30)</f>
        <v>55</v>
      </c>
      <c r="I98" s="24" t="n">
        <f aca="false">H98*1000</f>
        <v>55000</v>
      </c>
      <c r="J98" s="31" t="n">
        <f aca="false">36000+7000</f>
        <v>43000</v>
      </c>
      <c r="K98" s="31"/>
      <c r="L98" s="32" t="n">
        <v>0</v>
      </c>
      <c r="M98" s="33" t="n">
        <v>800</v>
      </c>
      <c r="N98" s="33" t="n">
        <v>800</v>
      </c>
      <c r="O98" s="33" t="n">
        <v>800</v>
      </c>
      <c r="P98" s="33" t="n">
        <v>800</v>
      </c>
      <c r="Q98" s="33" t="n">
        <v>800</v>
      </c>
      <c r="R98" s="33" t="n">
        <v>800</v>
      </c>
      <c r="S98" s="33" t="n">
        <v>800</v>
      </c>
      <c r="T98" s="33" t="n">
        <v>800</v>
      </c>
      <c r="U98" s="33" t="n">
        <v>800</v>
      </c>
      <c r="V98" s="33" t="n">
        <v>800</v>
      </c>
      <c r="W98" s="33" t="n">
        <v>800</v>
      </c>
      <c r="X98" s="33" t="n">
        <v>800</v>
      </c>
      <c r="Y98" s="32" t="n">
        <f aca="false">SUM(L98:X98)</f>
        <v>9600</v>
      </c>
      <c r="Z98" s="8" t="n">
        <f aca="false">VLOOKUP(A98,справочник!$E$2:$F$322,2,0)</f>
        <v>0</v>
      </c>
    </row>
    <row collapsed="false" customFormat="false" customHeight="false" hidden="true" ht="15" outlineLevel="0" r="99">
      <c r="A99" s="19" t="n">
        <f aca="false">VLOOKUP(B99,справочник!$B$2:$E$322,4,0)</f>
        <v>66</v>
      </c>
      <c r="B99" s="0" t="e">
        <f aca="false">CONCATENATE(C99;D99)</f>
        <v>#VALUE!</v>
      </c>
      <c r="C99" s="24" t="n">
        <v>68</v>
      </c>
      <c r="D99" s="29" t="s">
        <v>192</v>
      </c>
      <c r="E99" s="24" t="s">
        <v>464</v>
      </c>
      <c r="F99" s="30" t="n">
        <v>41100</v>
      </c>
      <c r="G99" s="30" t="n">
        <v>41091</v>
      </c>
      <c r="H99" s="31" t="n">
        <f aca="false">INT(($H$327-G99)/30)</f>
        <v>42</v>
      </c>
      <c r="I99" s="24" t="n">
        <f aca="false">H99*1000</f>
        <v>42000</v>
      </c>
      <c r="J99" s="31" t="n">
        <v>39780</v>
      </c>
      <c r="K99" s="31"/>
      <c r="L99" s="32" t="n">
        <f aca="false">I99-J99-K99</f>
        <v>2220</v>
      </c>
      <c r="M99" s="33" t="n">
        <v>800</v>
      </c>
      <c r="N99" s="33" t="n">
        <v>800</v>
      </c>
      <c r="O99" s="33" t="n">
        <v>800</v>
      </c>
      <c r="P99" s="33" t="n">
        <v>800</v>
      </c>
      <c r="Q99" s="33" t="n">
        <v>800</v>
      </c>
      <c r="R99" s="33" t="n">
        <v>800</v>
      </c>
      <c r="S99" s="33" t="n">
        <v>800</v>
      </c>
      <c r="T99" s="33" t="n">
        <v>800</v>
      </c>
      <c r="U99" s="33" t="n">
        <v>800</v>
      </c>
      <c r="V99" s="33" t="n">
        <v>800</v>
      </c>
      <c r="W99" s="33" t="n">
        <v>800</v>
      </c>
      <c r="X99" s="33" t="n">
        <v>800</v>
      </c>
      <c r="Y99" s="32" t="n">
        <f aca="false">SUM(L99:X99)</f>
        <v>11820</v>
      </c>
      <c r="Z99" s="8" t="n">
        <f aca="false">VLOOKUP(A99,справочник!$E$2:$F$322,2,0)</f>
        <v>0</v>
      </c>
    </row>
    <row collapsed="false" customFormat="false" customHeight="false" hidden="true" ht="15" outlineLevel="0" r="100">
      <c r="A100" s="19" t="n">
        <f aca="false">VLOOKUP(B100,справочник!$B$2:$E$322,4,0)</f>
        <v>36</v>
      </c>
      <c r="B100" s="0" t="e">
        <f aca="false">CONCATENATE(C100;D100)</f>
        <v>#VALUE!</v>
      </c>
      <c r="C100" s="24" t="n">
        <v>36</v>
      </c>
      <c r="D100" s="29" t="s">
        <v>154</v>
      </c>
      <c r="E100" s="24" t="s">
        <v>465</v>
      </c>
      <c r="F100" s="30" t="n">
        <v>40736</v>
      </c>
      <c r="G100" s="30" t="n">
        <v>40756</v>
      </c>
      <c r="H100" s="31" t="n">
        <f aca="false">INT(($H$327-G100)/30)</f>
        <v>53</v>
      </c>
      <c r="I100" s="24" t="n">
        <f aca="false">H100*1000</f>
        <v>53000</v>
      </c>
      <c r="J100" s="31" t="n">
        <f aca="false">42000+1000</f>
        <v>43000</v>
      </c>
      <c r="K100" s="31"/>
      <c r="L100" s="32" t="n">
        <f aca="false">I100-J100-K100</f>
        <v>10000</v>
      </c>
      <c r="M100" s="33" t="n">
        <v>800</v>
      </c>
      <c r="N100" s="33" t="n">
        <v>800</v>
      </c>
      <c r="O100" s="33" t="n">
        <v>800</v>
      </c>
      <c r="P100" s="33" t="n">
        <v>800</v>
      </c>
      <c r="Q100" s="33" t="n">
        <v>800</v>
      </c>
      <c r="R100" s="33" t="n">
        <v>800</v>
      </c>
      <c r="S100" s="33" t="n">
        <v>800</v>
      </c>
      <c r="T100" s="33" t="n">
        <v>800</v>
      </c>
      <c r="U100" s="33" t="n">
        <v>800</v>
      </c>
      <c r="V100" s="33" t="n">
        <v>800</v>
      </c>
      <c r="W100" s="33" t="n">
        <v>800</v>
      </c>
      <c r="X100" s="33" t="n">
        <v>800</v>
      </c>
      <c r="Y100" s="32" t="n">
        <f aca="false">SUM(L100:X100)</f>
        <v>19600</v>
      </c>
      <c r="Z100" s="8" t="n">
        <f aca="false">VLOOKUP(A100,справочник!$E$2:$F$322,2,0)</f>
        <v>0</v>
      </c>
    </row>
    <row collapsed="false" customFormat="false" customHeight="false" hidden="true" ht="15" outlineLevel="0" r="101">
      <c r="A101" s="19" t="n">
        <f aca="false">VLOOKUP(B101,справочник!$B$2:$E$322,4,0)</f>
        <v>38</v>
      </c>
      <c r="B101" s="0" t="e">
        <f aca="false">CONCATENATE(C101;D101)</f>
        <v>#VALUE!</v>
      </c>
      <c r="C101" s="24" t="n">
        <v>255</v>
      </c>
      <c r="D101" s="29" t="s">
        <v>175</v>
      </c>
      <c r="E101" s="36" t="s">
        <v>466</v>
      </c>
      <c r="F101" s="34" t="n">
        <v>40770</v>
      </c>
      <c r="G101" s="34" t="n">
        <v>40787</v>
      </c>
      <c r="H101" s="35" t="n">
        <f aca="false">INT(($H$327-G101)/30)</f>
        <v>52</v>
      </c>
      <c r="I101" s="36" t="n">
        <f aca="false">H101*1000</f>
        <v>52000</v>
      </c>
      <c r="J101" s="35" t="n">
        <f aca="false">5000+18000+29000</f>
        <v>52000</v>
      </c>
      <c r="K101" s="35"/>
      <c r="L101" s="37" t="n">
        <f aca="false">I101-J101-K101</f>
        <v>0</v>
      </c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2" t="n">
        <f aca="false">SUM(L101:X101)</f>
        <v>0</v>
      </c>
      <c r="Z101" s="8" t="n">
        <f aca="false">VLOOKUP(A101,справочник!$E$2:$F$322,2,0)</f>
        <v>1</v>
      </c>
    </row>
    <row collapsed="false" customFormat="false" customHeight="false" hidden="true" ht="15" outlineLevel="0" r="102">
      <c r="A102" s="19" t="n">
        <f aca="false">VLOOKUP(B102,справочник!$B$2:$E$322,4,0)</f>
        <v>38</v>
      </c>
      <c r="B102" s="0" t="e">
        <f aca="false">CONCATENATE(C102;D102)</f>
        <v>#VALUE!</v>
      </c>
      <c r="C102" s="24" t="n">
        <v>38</v>
      </c>
      <c r="D102" s="29" t="s">
        <v>175</v>
      </c>
      <c r="E102" s="36" t="s">
        <v>467</v>
      </c>
      <c r="F102" s="34" t="n">
        <v>41100</v>
      </c>
      <c r="G102" s="34" t="n">
        <v>41091</v>
      </c>
      <c r="H102" s="35" t="n">
        <f aca="false">INT(($H$327-G102)/30)</f>
        <v>42</v>
      </c>
      <c r="I102" s="36" t="n">
        <f aca="false">H102*1000</f>
        <v>42000</v>
      </c>
      <c r="J102" s="35" t="n">
        <v>35000</v>
      </c>
      <c r="K102" s="35"/>
      <c r="L102" s="37" t="n">
        <f aca="false">I102-J102-K102</f>
        <v>7000</v>
      </c>
      <c r="M102" s="33" t="n">
        <v>800</v>
      </c>
      <c r="N102" s="33" t="n">
        <v>800</v>
      </c>
      <c r="O102" s="33" t="n">
        <v>800</v>
      </c>
      <c r="P102" s="33" t="n">
        <v>800</v>
      </c>
      <c r="Q102" s="33" t="n">
        <v>800</v>
      </c>
      <c r="R102" s="33" t="n">
        <v>800</v>
      </c>
      <c r="S102" s="33" t="n">
        <v>800</v>
      </c>
      <c r="T102" s="33" t="n">
        <v>800</v>
      </c>
      <c r="U102" s="33" t="n">
        <v>800</v>
      </c>
      <c r="V102" s="33" t="n">
        <v>800</v>
      </c>
      <c r="W102" s="33" t="n">
        <v>800</v>
      </c>
      <c r="X102" s="33" t="n">
        <v>800</v>
      </c>
      <c r="Y102" s="32" t="n">
        <f aca="false">SUM(L102:X102)</f>
        <v>16600</v>
      </c>
      <c r="Z102" s="8" t="n">
        <f aca="false">VLOOKUP(A102,справочник!$E$2:$F$322,2,0)</f>
        <v>1</v>
      </c>
    </row>
    <row collapsed="false" customFormat="false" customHeight="false" hidden="true" ht="15" outlineLevel="0" r="103">
      <c r="A103" s="19" t="n">
        <f aca="false">VLOOKUP(B103,справочник!$B$2:$E$322,4,0)</f>
        <v>12</v>
      </c>
      <c r="B103" s="0" t="e">
        <f aca="false">CONCATENATE(C103;D103)</f>
        <v>#VALUE!</v>
      </c>
      <c r="C103" s="24" t="n">
        <v>12</v>
      </c>
      <c r="D103" s="29" t="s">
        <v>71</v>
      </c>
      <c r="E103" s="24" t="s">
        <v>468</v>
      </c>
      <c r="F103" s="30" t="n">
        <v>41414</v>
      </c>
      <c r="G103" s="30" t="n">
        <v>41426</v>
      </c>
      <c r="H103" s="31" t="n">
        <f aca="false">INT(($H$327-G103)/30)</f>
        <v>31</v>
      </c>
      <c r="I103" s="24" t="n">
        <f aca="false">H103*1000</f>
        <v>31000</v>
      </c>
      <c r="J103" s="31" t="n">
        <v>5000</v>
      </c>
      <c r="K103" s="31"/>
      <c r="L103" s="32" t="n">
        <f aca="false">I103-J103-K103</f>
        <v>26000</v>
      </c>
      <c r="M103" s="33" t="n">
        <v>800</v>
      </c>
      <c r="N103" s="33" t="n">
        <v>800</v>
      </c>
      <c r="O103" s="33" t="n">
        <v>800</v>
      </c>
      <c r="P103" s="33" t="n">
        <v>800</v>
      </c>
      <c r="Q103" s="33" t="n">
        <v>800</v>
      </c>
      <c r="R103" s="33" t="n">
        <v>800</v>
      </c>
      <c r="S103" s="33" t="n">
        <v>800</v>
      </c>
      <c r="T103" s="33" t="n">
        <v>800</v>
      </c>
      <c r="U103" s="33" t="n">
        <v>800</v>
      </c>
      <c r="V103" s="33" t="n">
        <v>800</v>
      </c>
      <c r="W103" s="33" t="n">
        <v>800</v>
      </c>
      <c r="X103" s="33" t="n">
        <v>800</v>
      </c>
      <c r="Y103" s="32" t="n">
        <f aca="false">SUM(L103:X103)</f>
        <v>35600</v>
      </c>
      <c r="Z103" s="8" t="n">
        <f aca="false">VLOOKUP(A103,справочник!$E$2:$F$322,2,0)</f>
        <v>0</v>
      </c>
    </row>
    <row collapsed="false" customFormat="false" customHeight="false" hidden="true" ht="15" outlineLevel="0" r="104">
      <c r="A104" s="19" t="n">
        <f aca="false">VLOOKUP(B104,справочник!$B$2:$E$322,4,0)</f>
        <v>63</v>
      </c>
      <c r="B104" s="0" t="e">
        <f aca="false">CONCATENATE(C104;D104)</f>
        <v>#VALUE!</v>
      </c>
      <c r="C104" s="24" t="n">
        <v>65</v>
      </c>
      <c r="D104" s="29" t="s">
        <v>68</v>
      </c>
      <c r="E104" s="24" t="s">
        <v>469</v>
      </c>
      <c r="F104" s="30" t="n">
        <v>41513</v>
      </c>
      <c r="G104" s="30" t="n">
        <v>41518</v>
      </c>
      <c r="H104" s="31" t="n">
        <f aca="false">INT(($H$327-G104)/30)</f>
        <v>28</v>
      </c>
      <c r="I104" s="24" t="n">
        <f aca="false">H104*1000</f>
        <v>28000</v>
      </c>
      <c r="J104" s="31" t="n">
        <v>0</v>
      </c>
      <c r="K104" s="31"/>
      <c r="L104" s="32" t="n">
        <f aca="false">I104-J104-K104</f>
        <v>28000</v>
      </c>
      <c r="M104" s="33" t="n">
        <v>800</v>
      </c>
      <c r="N104" s="33" t="n">
        <v>800</v>
      </c>
      <c r="O104" s="33" t="n">
        <v>800</v>
      </c>
      <c r="P104" s="33" t="n">
        <v>800</v>
      </c>
      <c r="Q104" s="33" t="n">
        <v>800</v>
      </c>
      <c r="R104" s="33" t="n">
        <v>800</v>
      </c>
      <c r="S104" s="33" t="n">
        <v>800</v>
      </c>
      <c r="T104" s="33" t="n">
        <v>800</v>
      </c>
      <c r="U104" s="33" t="n">
        <v>800</v>
      </c>
      <c r="V104" s="33" t="n">
        <v>800</v>
      </c>
      <c r="W104" s="33" t="n">
        <v>800</v>
      </c>
      <c r="X104" s="33" t="n">
        <v>800</v>
      </c>
      <c r="Y104" s="32" t="n">
        <f aca="false">SUM(L104:X104)</f>
        <v>37600</v>
      </c>
      <c r="Z104" s="8" t="n">
        <f aca="false">VLOOKUP(A104,справочник!$E$2:$F$322,2,0)</f>
        <v>0</v>
      </c>
    </row>
    <row collapsed="false" customFormat="false" customHeight="false" hidden="true" ht="15" outlineLevel="0" r="105">
      <c r="A105" s="19" t="n">
        <f aca="false">VLOOKUP(B105,справочник!$B$2:$E$322,4,0)</f>
        <v>16</v>
      </c>
      <c r="B105" s="0" t="e">
        <f aca="false">CONCATENATE(C105;D105)</f>
        <v>#VALUE!</v>
      </c>
      <c r="C105" s="24" t="n">
        <v>16</v>
      </c>
      <c r="D105" s="29" t="s">
        <v>322</v>
      </c>
      <c r="E105" s="24" t="s">
        <v>470</v>
      </c>
      <c r="F105" s="30" t="n">
        <v>41254</v>
      </c>
      <c r="G105" s="30" t="n">
        <v>41275</v>
      </c>
      <c r="H105" s="31" t="n">
        <f aca="false">INT(($H$327-G105)/30)</f>
        <v>36</v>
      </c>
      <c r="I105" s="24" t="n">
        <f aca="false">H105*1000</f>
        <v>36000</v>
      </c>
      <c r="J105" s="31" t="n">
        <v>36000</v>
      </c>
      <c r="K105" s="31"/>
      <c r="L105" s="32" t="n">
        <f aca="false">I105-J105-K105</f>
        <v>0</v>
      </c>
      <c r="M105" s="33" t="n">
        <v>800</v>
      </c>
      <c r="N105" s="33" t="n">
        <v>800</v>
      </c>
      <c r="O105" s="33" t="n">
        <v>800</v>
      </c>
      <c r="P105" s="33" t="n">
        <v>800</v>
      </c>
      <c r="Q105" s="33" t="n">
        <v>800</v>
      </c>
      <c r="R105" s="33" t="n">
        <v>800</v>
      </c>
      <c r="S105" s="33" t="n">
        <v>800</v>
      </c>
      <c r="T105" s="33" t="n">
        <v>800</v>
      </c>
      <c r="U105" s="33" t="n">
        <v>800</v>
      </c>
      <c r="V105" s="33" t="n">
        <v>800</v>
      </c>
      <c r="W105" s="33" t="n">
        <v>800</v>
      </c>
      <c r="X105" s="33" t="n">
        <v>800</v>
      </c>
      <c r="Y105" s="32" t="n">
        <f aca="false">SUM(L105:X105)</f>
        <v>9600</v>
      </c>
      <c r="Z105" s="8" t="n">
        <f aca="false">VLOOKUP(A105,справочник!$E$2:$F$322,2,0)</f>
        <v>0</v>
      </c>
    </row>
    <row collapsed="false" customFormat="false" customHeight="false" hidden="true" ht="15" outlineLevel="0" r="106">
      <c r="A106" s="19" t="n">
        <f aca="false">VLOOKUP(B106,справочник!$B$2:$E$322,4,0)</f>
        <v>121</v>
      </c>
      <c r="B106" s="0" t="e">
        <f aca="false">CONCATENATE(C106;D106)</f>
        <v>#VALUE!</v>
      </c>
      <c r="C106" s="24" t="n">
        <v>126</v>
      </c>
      <c r="D106" s="29" t="s">
        <v>222</v>
      </c>
      <c r="E106" s="24" t="s">
        <v>471</v>
      </c>
      <c r="F106" s="30" t="n">
        <v>41190</v>
      </c>
      <c r="G106" s="30" t="n">
        <v>41214</v>
      </c>
      <c r="H106" s="31" t="n">
        <f aca="false">INT(($H$327-G106)/30)</f>
        <v>38</v>
      </c>
      <c r="I106" s="24" t="n">
        <f aca="false">H106*1000</f>
        <v>38000</v>
      </c>
      <c r="J106" s="31" t="n">
        <v>32000</v>
      </c>
      <c r="K106" s="31"/>
      <c r="L106" s="32" t="n">
        <f aca="false">I106-J106-K106</f>
        <v>6000</v>
      </c>
      <c r="M106" s="33" t="n">
        <v>800</v>
      </c>
      <c r="N106" s="33" t="n">
        <v>800</v>
      </c>
      <c r="O106" s="33" t="n">
        <v>800</v>
      </c>
      <c r="P106" s="33" t="n">
        <v>800</v>
      </c>
      <c r="Q106" s="33" t="n">
        <v>800</v>
      </c>
      <c r="R106" s="33" t="n">
        <v>800</v>
      </c>
      <c r="S106" s="33" t="n">
        <v>800</v>
      </c>
      <c r="T106" s="33" t="n">
        <v>800</v>
      </c>
      <c r="U106" s="33" t="n">
        <v>800</v>
      </c>
      <c r="V106" s="33" t="n">
        <v>800</v>
      </c>
      <c r="W106" s="33" t="n">
        <v>800</v>
      </c>
      <c r="X106" s="33" t="n">
        <v>800</v>
      </c>
      <c r="Y106" s="32" t="n">
        <f aca="false">SUM(L106:X106)</f>
        <v>15600</v>
      </c>
      <c r="Z106" s="8" t="n">
        <f aca="false">VLOOKUP(A106,справочник!$E$2:$F$322,2,0)</f>
        <v>0</v>
      </c>
    </row>
    <row collapsed="false" customFormat="false" customHeight="false" hidden="true" ht="15" outlineLevel="0" r="107">
      <c r="A107" s="19" t="n">
        <f aca="false">VLOOKUP(B107,справочник!$B$2:$E$322,4,0)</f>
        <v>156</v>
      </c>
      <c r="B107" s="0" t="e">
        <f aca="false">CONCATENATE(C107;D107)</f>
        <v>#VALUE!</v>
      </c>
      <c r="C107" s="24" t="n">
        <v>164</v>
      </c>
      <c r="D107" s="29" t="s">
        <v>307</v>
      </c>
      <c r="E107" s="24" t="s">
        <v>472</v>
      </c>
      <c r="F107" s="30" t="n">
        <v>41394</v>
      </c>
      <c r="G107" s="30" t="n">
        <v>41426</v>
      </c>
      <c r="H107" s="31" t="n">
        <f aca="false">INT(($H$327-G107)/30)</f>
        <v>31</v>
      </c>
      <c r="I107" s="24" t="n">
        <f aca="false">H107*1000</f>
        <v>31000</v>
      </c>
      <c r="J107" s="31" t="n">
        <v>28000</v>
      </c>
      <c r="K107" s="31"/>
      <c r="L107" s="32" t="n">
        <f aca="false">I107-J107-K107</f>
        <v>3000</v>
      </c>
      <c r="M107" s="33" t="n">
        <v>800</v>
      </c>
      <c r="N107" s="33" t="n">
        <v>800</v>
      </c>
      <c r="O107" s="33" t="n">
        <v>800</v>
      </c>
      <c r="P107" s="33" t="n">
        <v>800</v>
      </c>
      <c r="Q107" s="33" t="n">
        <v>800</v>
      </c>
      <c r="R107" s="33" t="n">
        <v>800</v>
      </c>
      <c r="S107" s="33" t="n">
        <v>800</v>
      </c>
      <c r="T107" s="33" t="n">
        <v>800</v>
      </c>
      <c r="U107" s="33" t="n">
        <v>800</v>
      </c>
      <c r="V107" s="33" t="n">
        <v>800</v>
      </c>
      <c r="W107" s="33" t="n">
        <v>800</v>
      </c>
      <c r="X107" s="33" t="n">
        <v>800</v>
      </c>
      <c r="Y107" s="32" t="n">
        <f aca="false">SUM(L107:X107)</f>
        <v>12600</v>
      </c>
      <c r="Z107" s="8" t="n">
        <f aca="false">VLOOKUP(A107,справочник!$E$2:$F$322,2,0)</f>
        <v>0</v>
      </c>
    </row>
    <row collapsed="false" customFormat="false" customHeight="false" hidden="true" ht="15" outlineLevel="0" r="108">
      <c r="A108" s="19" t="n">
        <f aca="false">VLOOKUP(B108,справочник!$B$2:$E$322,4,0)</f>
        <v>5</v>
      </c>
      <c r="B108" s="0" t="e">
        <f aca="false">CONCATENATE(C108;D108)</f>
        <v>#VALUE!</v>
      </c>
      <c r="C108" s="24" t="n">
        <v>5</v>
      </c>
      <c r="D108" s="29" t="s">
        <v>149</v>
      </c>
      <c r="E108" s="24" t="s">
        <v>473</v>
      </c>
      <c r="F108" s="30" t="n">
        <v>41071</v>
      </c>
      <c r="G108" s="30" t="n">
        <v>41061</v>
      </c>
      <c r="H108" s="31" t="n">
        <f aca="false">INT(($H$327-G108)/30)</f>
        <v>43</v>
      </c>
      <c r="I108" s="24" t="n">
        <f aca="false">H108*1000</f>
        <v>43000</v>
      </c>
      <c r="J108" s="31" t="n">
        <f aca="false">32000</f>
        <v>32000</v>
      </c>
      <c r="K108" s="31"/>
      <c r="L108" s="32" t="n">
        <f aca="false">I108-J108-K108</f>
        <v>11000</v>
      </c>
      <c r="M108" s="33" t="n">
        <v>800</v>
      </c>
      <c r="N108" s="33" t="n">
        <v>800</v>
      </c>
      <c r="O108" s="33" t="n">
        <v>800</v>
      </c>
      <c r="P108" s="33" t="n">
        <v>800</v>
      </c>
      <c r="Q108" s="33" t="n">
        <v>800</v>
      </c>
      <c r="R108" s="33" t="n">
        <v>800</v>
      </c>
      <c r="S108" s="33" t="n">
        <v>800</v>
      </c>
      <c r="T108" s="33" t="n">
        <v>800</v>
      </c>
      <c r="U108" s="33" t="n">
        <v>800</v>
      </c>
      <c r="V108" s="33" t="n">
        <v>800</v>
      </c>
      <c r="W108" s="33" t="n">
        <v>800</v>
      </c>
      <c r="X108" s="33" t="n">
        <v>800</v>
      </c>
      <c r="Y108" s="32" t="n">
        <f aca="false">SUM(L108:X108)</f>
        <v>20600</v>
      </c>
      <c r="Z108" s="8" t="n">
        <f aca="false">VLOOKUP(A108,справочник!$E$2:$F$322,2,0)</f>
        <v>0</v>
      </c>
    </row>
    <row collapsed="false" customFormat="false" customHeight="false" hidden="true" ht="15" outlineLevel="0" r="109">
      <c r="A109" s="19" t="n">
        <f aca="false">VLOOKUP(B109,справочник!$B$2:$E$322,4,0)</f>
        <v>214</v>
      </c>
      <c r="B109" s="0" t="e">
        <f aca="false">CONCATENATE(C109;D109)</f>
        <v>#VALUE!</v>
      </c>
      <c r="C109" s="24" t="n">
        <v>223</v>
      </c>
      <c r="D109" s="29" t="s">
        <v>295</v>
      </c>
      <c r="E109" s="24" t="s">
        <v>474</v>
      </c>
      <c r="F109" s="30" t="n">
        <v>41807</v>
      </c>
      <c r="G109" s="30" t="n">
        <v>41791</v>
      </c>
      <c r="H109" s="31" t="n">
        <f aca="false">INT(($H$327-G109)/30)</f>
        <v>19</v>
      </c>
      <c r="I109" s="24" t="n">
        <f aca="false">H109*1000</f>
        <v>19000</v>
      </c>
      <c r="J109" s="31" t="n">
        <v>19000</v>
      </c>
      <c r="K109" s="31"/>
      <c r="L109" s="32" t="n">
        <f aca="false">I109-J109-K109</f>
        <v>0</v>
      </c>
      <c r="M109" s="33" t="n">
        <v>800</v>
      </c>
      <c r="N109" s="33" t="n">
        <v>800</v>
      </c>
      <c r="O109" s="33" t="n">
        <v>800</v>
      </c>
      <c r="P109" s="33" t="n">
        <v>800</v>
      </c>
      <c r="Q109" s="33" t="n">
        <v>800</v>
      </c>
      <c r="R109" s="33" t="n">
        <v>800</v>
      </c>
      <c r="S109" s="33" t="n">
        <v>800</v>
      </c>
      <c r="T109" s="33" t="n">
        <v>800</v>
      </c>
      <c r="U109" s="33" t="n">
        <v>800</v>
      </c>
      <c r="V109" s="33" t="n">
        <v>800</v>
      </c>
      <c r="W109" s="33" t="n">
        <v>800</v>
      </c>
      <c r="X109" s="33" t="n">
        <v>800</v>
      </c>
      <c r="Y109" s="32" t="n">
        <f aca="false">SUM(L109:X109)</f>
        <v>9600</v>
      </c>
      <c r="Z109" s="8" t="n">
        <f aca="false">VLOOKUP(A109,справочник!$E$2:$F$322,2,0)</f>
        <v>0</v>
      </c>
    </row>
    <row collapsed="false" customFormat="false" customHeight="false" hidden="true" ht="15" outlineLevel="0" r="110">
      <c r="A110" s="19" t="n">
        <f aca="false">VLOOKUP(B110,справочник!$B$2:$E$322,4,0)</f>
        <v>279</v>
      </c>
      <c r="B110" s="0" t="e">
        <f aca="false">CONCATENATE(C110;D110)</f>
        <v>#VALUE!</v>
      </c>
      <c r="C110" s="24" t="n">
        <v>291</v>
      </c>
      <c r="D110" s="29" t="s">
        <v>170</v>
      </c>
      <c r="E110" s="24" t="s">
        <v>475</v>
      </c>
      <c r="F110" s="30" t="n">
        <v>40890</v>
      </c>
      <c r="G110" s="30" t="n">
        <v>40878</v>
      </c>
      <c r="H110" s="31" t="n">
        <f aca="false">INT(($H$327-G110)/30)</f>
        <v>49</v>
      </c>
      <c r="I110" s="24" t="n">
        <f aca="false">H110*1000</f>
        <v>49000</v>
      </c>
      <c r="J110" s="31" t="n">
        <f aca="false">42000+1000</f>
        <v>43000</v>
      </c>
      <c r="K110" s="31"/>
      <c r="L110" s="32" t="n">
        <f aca="false">I110-J110-K110</f>
        <v>6000</v>
      </c>
      <c r="M110" s="33" t="n">
        <v>800</v>
      </c>
      <c r="N110" s="33" t="n">
        <v>800</v>
      </c>
      <c r="O110" s="33" t="n">
        <v>800</v>
      </c>
      <c r="P110" s="33" t="n">
        <v>800</v>
      </c>
      <c r="Q110" s="33" t="n">
        <v>800</v>
      </c>
      <c r="R110" s="33" t="n">
        <v>800</v>
      </c>
      <c r="S110" s="33" t="n">
        <v>800</v>
      </c>
      <c r="T110" s="33" t="n">
        <v>800</v>
      </c>
      <c r="U110" s="33" t="n">
        <v>800</v>
      </c>
      <c r="V110" s="33" t="n">
        <v>800</v>
      </c>
      <c r="W110" s="33" t="n">
        <v>800</v>
      </c>
      <c r="X110" s="33" t="n">
        <v>800</v>
      </c>
      <c r="Y110" s="32" t="n">
        <f aca="false">SUM(L110:X110)</f>
        <v>15600</v>
      </c>
      <c r="Z110" s="8" t="n">
        <f aca="false">VLOOKUP(A110,справочник!$E$2:$F$322,2,0)</f>
        <v>0</v>
      </c>
    </row>
    <row collapsed="false" customFormat="false" customHeight="false" hidden="true" ht="15" outlineLevel="0" r="111">
      <c r="A111" s="19" t="n">
        <f aca="false">VLOOKUP(B111,справочник!$B$2:$E$322,4,0)</f>
        <v>197</v>
      </c>
      <c r="B111" s="0" t="e">
        <f aca="false">CONCATENATE(C111;D111)</f>
        <v>#VALUE!</v>
      </c>
      <c r="C111" s="24" t="n">
        <v>205</v>
      </c>
      <c r="D111" s="29" t="s">
        <v>52</v>
      </c>
      <c r="E111" s="24" t="s">
        <v>476</v>
      </c>
      <c r="F111" s="30" t="n">
        <v>40862</v>
      </c>
      <c r="G111" s="30" t="n">
        <v>40848</v>
      </c>
      <c r="H111" s="31" t="n">
        <f aca="false">INT(($H$327-G111)/30)</f>
        <v>50</v>
      </c>
      <c r="I111" s="24" t="n">
        <f aca="false">H111*1000</f>
        <v>50000</v>
      </c>
      <c r="J111" s="31" t="n">
        <v>49000</v>
      </c>
      <c r="K111" s="31"/>
      <c r="L111" s="32" t="n">
        <f aca="false">I111-J111-K111</f>
        <v>1000</v>
      </c>
      <c r="M111" s="33" t="n">
        <v>800</v>
      </c>
      <c r="N111" s="33" t="n">
        <v>800</v>
      </c>
      <c r="O111" s="33" t="n">
        <v>800</v>
      </c>
      <c r="P111" s="33" t="n">
        <v>800</v>
      </c>
      <c r="Q111" s="33" t="n">
        <v>800</v>
      </c>
      <c r="R111" s="33" t="n">
        <v>800</v>
      </c>
      <c r="S111" s="33" t="n">
        <v>800</v>
      </c>
      <c r="T111" s="33" t="n">
        <v>800</v>
      </c>
      <c r="U111" s="33" t="n">
        <v>800</v>
      </c>
      <c r="V111" s="33" t="n">
        <v>800</v>
      </c>
      <c r="W111" s="33" t="n">
        <v>800</v>
      </c>
      <c r="X111" s="33" t="n">
        <v>800</v>
      </c>
      <c r="Y111" s="32" t="n">
        <f aca="false">SUM(L111:X111)</f>
        <v>10600</v>
      </c>
      <c r="Z111" s="8" t="n">
        <f aca="false">VLOOKUP(A111,справочник!$E$2:$F$322,2,0)</f>
        <v>0</v>
      </c>
    </row>
    <row collapsed="false" customFormat="false" customHeight="false" hidden="true" ht="15" outlineLevel="0" r="112">
      <c r="A112" s="19" t="n">
        <f aca="false">VLOOKUP(B112,справочник!$B$2:$E$322,4,0)</f>
        <v>295</v>
      </c>
      <c r="B112" s="0" t="e">
        <f aca="false">CONCATENATE(C112;D112)</f>
        <v>#VALUE!</v>
      </c>
      <c r="C112" s="24" t="n">
        <v>310</v>
      </c>
      <c r="D112" s="29" t="s">
        <v>40</v>
      </c>
      <c r="E112" s="24" t="s">
        <v>477</v>
      </c>
      <c r="F112" s="30" t="n">
        <v>41994</v>
      </c>
      <c r="G112" s="30" t="n">
        <v>42005</v>
      </c>
      <c r="H112" s="31" t="n">
        <f aca="false">INT(($H$327-G112)/30)</f>
        <v>12</v>
      </c>
      <c r="I112" s="24" t="n">
        <f aca="false">H112*1000</f>
        <v>12000</v>
      </c>
      <c r="J112" s="31"/>
      <c r="K112" s="31"/>
      <c r="L112" s="32" t="n">
        <f aca="false">I112-J112-K112</f>
        <v>12000</v>
      </c>
      <c r="M112" s="33" t="n">
        <v>800</v>
      </c>
      <c r="N112" s="33" t="n">
        <v>800</v>
      </c>
      <c r="O112" s="33" t="n">
        <v>800</v>
      </c>
      <c r="P112" s="33" t="n">
        <v>800</v>
      </c>
      <c r="Q112" s="33" t="n">
        <v>800</v>
      </c>
      <c r="R112" s="33" t="n">
        <v>800</v>
      </c>
      <c r="S112" s="33" t="n">
        <v>800</v>
      </c>
      <c r="T112" s="33" t="n">
        <v>800</v>
      </c>
      <c r="U112" s="33" t="n">
        <v>800</v>
      </c>
      <c r="V112" s="33" t="n">
        <v>800</v>
      </c>
      <c r="W112" s="33" t="n">
        <v>800</v>
      </c>
      <c r="X112" s="33" t="n">
        <v>800</v>
      </c>
      <c r="Y112" s="32" t="n">
        <f aca="false">SUM(L112:X112)</f>
        <v>21600</v>
      </c>
      <c r="Z112" s="8" t="n">
        <f aca="false">VLOOKUP(A112,справочник!$E$2:$F$322,2,0)</f>
        <v>0</v>
      </c>
    </row>
    <row collapsed="false" customFormat="false" customHeight="false" hidden="true" ht="15" outlineLevel="0" r="113">
      <c r="A113" s="19" t="n">
        <f aca="false">VLOOKUP(B113,справочник!$B$2:$E$322,4,0)</f>
        <v>196</v>
      </c>
      <c r="B113" s="0" t="e">
        <f aca="false">CONCATENATE(C113;D113)</f>
        <v>#VALUE!</v>
      </c>
      <c r="C113" s="24" t="n">
        <v>204</v>
      </c>
      <c r="D113" s="29" t="s">
        <v>281</v>
      </c>
      <c r="E113" s="24" t="s">
        <v>478</v>
      </c>
      <c r="F113" s="30" t="n">
        <v>40945</v>
      </c>
      <c r="G113" s="30" t="n">
        <v>40969</v>
      </c>
      <c r="H113" s="31" t="n">
        <f aca="false">INT(($H$327-G113)/30)</f>
        <v>46</v>
      </c>
      <c r="I113" s="24" t="n">
        <f aca="false">H113*1000</f>
        <v>46000</v>
      </c>
      <c r="J113" s="31" t="n">
        <f aca="false">46000</f>
        <v>46000</v>
      </c>
      <c r="K113" s="31"/>
      <c r="L113" s="32" t="n">
        <f aca="false">I113-J113-K113</f>
        <v>0</v>
      </c>
      <c r="M113" s="33" t="n">
        <v>800</v>
      </c>
      <c r="N113" s="33" t="n">
        <v>800</v>
      </c>
      <c r="O113" s="33" t="n">
        <v>800</v>
      </c>
      <c r="P113" s="33" t="n">
        <v>800</v>
      </c>
      <c r="Q113" s="33" t="n">
        <v>800</v>
      </c>
      <c r="R113" s="33" t="n">
        <v>800</v>
      </c>
      <c r="S113" s="33" t="n">
        <v>800</v>
      </c>
      <c r="T113" s="33" t="n">
        <v>800</v>
      </c>
      <c r="U113" s="33" t="n">
        <v>800</v>
      </c>
      <c r="V113" s="33" t="n">
        <v>800</v>
      </c>
      <c r="W113" s="33" t="n">
        <v>800</v>
      </c>
      <c r="X113" s="33" t="n">
        <v>800</v>
      </c>
      <c r="Y113" s="32" t="n">
        <f aca="false">SUM(L113:X113)</f>
        <v>9600</v>
      </c>
      <c r="Z113" s="8" t="n">
        <f aca="false">VLOOKUP(A113,справочник!$E$2:$F$322,2,0)</f>
        <v>0</v>
      </c>
    </row>
    <row collapsed="false" customFormat="false" customHeight="false" hidden="true" ht="25.5" outlineLevel="0" r="114">
      <c r="A114" s="19" t="n">
        <f aca="false">VLOOKUP(B114,справочник!$B$2:$E$322,4,0)</f>
        <v>124</v>
      </c>
      <c r="B114" s="0" t="e">
        <f aca="false">CONCATENATE(C114;D114)</f>
        <v>#VALUE!</v>
      </c>
      <c r="C114" s="24" t="n">
        <v>129</v>
      </c>
      <c r="D114" s="29" t="s">
        <v>125</v>
      </c>
      <c r="E114" s="24" t="s">
        <v>479</v>
      </c>
      <c r="F114" s="30" t="n">
        <v>41580</v>
      </c>
      <c r="G114" s="30" t="n">
        <v>41609</v>
      </c>
      <c r="H114" s="31" t="n">
        <f aca="false">INT(($H$327-G114)/30)</f>
        <v>25</v>
      </c>
      <c r="I114" s="24" t="n">
        <f aca="false">H114*1000</f>
        <v>25000</v>
      </c>
      <c r="J114" s="31" t="n">
        <f aca="false">5000+1500+5000</f>
        <v>11500</v>
      </c>
      <c r="K114" s="31"/>
      <c r="L114" s="32" t="n">
        <f aca="false">I114-J114-K114</f>
        <v>13500</v>
      </c>
      <c r="M114" s="33" t="n">
        <v>800</v>
      </c>
      <c r="N114" s="33" t="n">
        <v>800</v>
      </c>
      <c r="O114" s="33" t="n">
        <v>800</v>
      </c>
      <c r="P114" s="33" t="n">
        <v>800</v>
      </c>
      <c r="Q114" s="33" t="n">
        <v>800</v>
      </c>
      <c r="R114" s="33" t="n">
        <v>800</v>
      </c>
      <c r="S114" s="33" t="n">
        <v>800</v>
      </c>
      <c r="T114" s="33" t="n">
        <v>800</v>
      </c>
      <c r="U114" s="33" t="n">
        <v>800</v>
      </c>
      <c r="V114" s="33" t="n">
        <v>800</v>
      </c>
      <c r="W114" s="33" t="n">
        <v>800</v>
      </c>
      <c r="X114" s="33" t="n">
        <v>800</v>
      </c>
      <c r="Y114" s="32" t="n">
        <f aca="false">SUM(L114:X114)</f>
        <v>23100</v>
      </c>
      <c r="Z114" s="8" t="n">
        <f aca="false">VLOOKUP(A114,справочник!$E$2:$F$322,2,0)</f>
        <v>0</v>
      </c>
    </row>
    <row collapsed="false" customFormat="false" customHeight="false" hidden="true" ht="15" outlineLevel="0" r="115">
      <c r="A115" s="19" t="n">
        <f aca="false">VLOOKUP(B115,справочник!$B$2:$E$322,4,0)</f>
        <v>250</v>
      </c>
      <c r="B115" s="0" t="e">
        <f aca="false">CONCATENATE(C115;D115)</f>
        <v>#VALUE!</v>
      </c>
      <c r="C115" s="24" t="n">
        <v>261</v>
      </c>
      <c r="D115" s="29" t="s">
        <v>146</v>
      </c>
      <c r="E115" s="24" t="s">
        <v>480</v>
      </c>
      <c r="F115" s="30" t="n">
        <v>41498</v>
      </c>
      <c r="G115" s="30" t="n">
        <v>41518</v>
      </c>
      <c r="H115" s="31" t="n">
        <f aca="false">INT(($H$327-G115)/30)</f>
        <v>28</v>
      </c>
      <c r="I115" s="24" t="n">
        <f aca="false">H115*1000</f>
        <v>28000</v>
      </c>
      <c r="J115" s="31" t="n">
        <v>13000</v>
      </c>
      <c r="K115" s="31" t="n">
        <v>1000</v>
      </c>
      <c r="L115" s="32" t="n">
        <f aca="false">I115-J115-K115</f>
        <v>14000</v>
      </c>
      <c r="M115" s="33" t="n">
        <v>800</v>
      </c>
      <c r="N115" s="33" t="n">
        <v>800</v>
      </c>
      <c r="O115" s="33" t="n">
        <v>800</v>
      </c>
      <c r="P115" s="33" t="n">
        <v>800</v>
      </c>
      <c r="Q115" s="33" t="n">
        <v>800</v>
      </c>
      <c r="R115" s="33" t="n">
        <v>800</v>
      </c>
      <c r="S115" s="33" t="n">
        <v>800</v>
      </c>
      <c r="T115" s="33" t="n">
        <v>800</v>
      </c>
      <c r="U115" s="33" t="n">
        <v>800</v>
      </c>
      <c r="V115" s="33" t="n">
        <v>800</v>
      </c>
      <c r="W115" s="33" t="n">
        <v>800</v>
      </c>
      <c r="X115" s="33" t="n">
        <v>800</v>
      </c>
      <c r="Y115" s="32" t="n">
        <f aca="false">SUM(L115:X115)</f>
        <v>23600</v>
      </c>
      <c r="Z115" s="8" t="n">
        <f aca="false">VLOOKUP(A115,справочник!$E$2:$F$322,2,0)</f>
        <v>0</v>
      </c>
    </row>
    <row collapsed="false" customFormat="false" customHeight="false" hidden="true" ht="15" outlineLevel="0" r="116">
      <c r="A116" s="19" t="n">
        <f aca="false">VLOOKUP(B116,справочник!$B$2:$E$322,4,0)</f>
        <v>153</v>
      </c>
      <c r="B116" s="0" t="e">
        <f aca="false">CONCATENATE(C116;D116)</f>
        <v>#VALUE!</v>
      </c>
      <c r="C116" s="24" t="n">
        <v>161</v>
      </c>
      <c r="D116" s="29" t="s">
        <v>252</v>
      </c>
      <c r="E116" s="24" t="s">
        <v>481</v>
      </c>
      <c r="F116" s="30" t="n">
        <v>40994</v>
      </c>
      <c r="G116" s="30" t="n">
        <v>41000</v>
      </c>
      <c r="H116" s="31" t="n">
        <f aca="false">INT(($H$327-G116)/30)</f>
        <v>45</v>
      </c>
      <c r="I116" s="24" t="n">
        <f aca="false">H116*1000</f>
        <v>45000</v>
      </c>
      <c r="J116" s="31" t="n">
        <v>41000</v>
      </c>
      <c r="K116" s="31"/>
      <c r="L116" s="32" t="n">
        <f aca="false">I116-J116-K116</f>
        <v>4000</v>
      </c>
      <c r="M116" s="33" t="n">
        <v>800</v>
      </c>
      <c r="N116" s="33" t="n">
        <v>800</v>
      </c>
      <c r="O116" s="33" t="n">
        <v>800</v>
      </c>
      <c r="P116" s="33" t="n">
        <v>800</v>
      </c>
      <c r="Q116" s="33" t="n">
        <v>800</v>
      </c>
      <c r="R116" s="33" t="n">
        <v>800</v>
      </c>
      <c r="S116" s="33" t="n">
        <v>800</v>
      </c>
      <c r="T116" s="33" t="n">
        <v>800</v>
      </c>
      <c r="U116" s="33" t="n">
        <v>800</v>
      </c>
      <c r="V116" s="33" t="n">
        <v>800</v>
      </c>
      <c r="W116" s="33" t="n">
        <v>800</v>
      </c>
      <c r="X116" s="33" t="n">
        <v>800</v>
      </c>
      <c r="Y116" s="32" t="n">
        <f aca="false">SUM(L116:X116)</f>
        <v>13600</v>
      </c>
      <c r="Z116" s="8" t="n">
        <f aca="false">VLOOKUP(A116,справочник!$E$2:$F$322,2,0)</f>
        <v>0</v>
      </c>
    </row>
    <row collapsed="false" customFormat="false" customHeight="false" hidden="true" ht="15" outlineLevel="0" r="117">
      <c r="A117" s="19" t="n">
        <f aca="false">VLOOKUP(B117,справочник!$B$2:$E$322,4,0)</f>
        <v>106</v>
      </c>
      <c r="B117" s="0" t="e">
        <f aca="false">CONCATENATE(C117;D117)</f>
        <v>#VALUE!</v>
      </c>
      <c r="C117" s="24" t="n">
        <v>111</v>
      </c>
      <c r="D117" s="29" t="s">
        <v>50</v>
      </c>
      <c r="E117" s="24" t="s">
        <v>482</v>
      </c>
      <c r="F117" s="30" t="n">
        <v>41463</v>
      </c>
      <c r="G117" s="30" t="n">
        <v>41282</v>
      </c>
      <c r="H117" s="31" t="n">
        <f aca="false">INT(($H$327-G117)/30)</f>
        <v>36</v>
      </c>
      <c r="I117" s="24" t="n">
        <f aca="false">H117*1000</f>
        <v>36000</v>
      </c>
      <c r="J117" s="31" t="n">
        <v>1000</v>
      </c>
      <c r="K117" s="31"/>
      <c r="L117" s="32" t="n">
        <f aca="false">I117-J117-K117</f>
        <v>35000</v>
      </c>
      <c r="M117" s="33" t="n">
        <v>800</v>
      </c>
      <c r="N117" s="33" t="n">
        <v>800</v>
      </c>
      <c r="O117" s="33" t="n">
        <v>800</v>
      </c>
      <c r="P117" s="33" t="n">
        <v>800</v>
      </c>
      <c r="Q117" s="33" t="n">
        <v>800</v>
      </c>
      <c r="R117" s="33" t="n">
        <v>800</v>
      </c>
      <c r="S117" s="33" t="n">
        <v>800</v>
      </c>
      <c r="T117" s="33" t="n">
        <v>800</v>
      </c>
      <c r="U117" s="33" t="n">
        <v>800</v>
      </c>
      <c r="V117" s="33" t="n">
        <v>800</v>
      </c>
      <c r="W117" s="33" t="n">
        <v>800</v>
      </c>
      <c r="X117" s="33" t="n">
        <v>800</v>
      </c>
      <c r="Y117" s="32" t="n">
        <f aca="false">SUM(L117:X117)</f>
        <v>44600</v>
      </c>
      <c r="Z117" s="8" t="n">
        <f aca="false">VLOOKUP(A117,справочник!$E$2:$F$322,2,0)</f>
        <v>0</v>
      </c>
    </row>
    <row collapsed="false" customFormat="false" customHeight="false" hidden="true" ht="15" outlineLevel="0" r="118">
      <c r="A118" s="19" t="n">
        <f aca="false">VLOOKUP(B118,справочник!$B$2:$E$322,4,0)</f>
        <v>222</v>
      </c>
      <c r="B118" s="0" t="e">
        <f aca="false">CONCATENATE(C118;D118)</f>
        <v>#VALUE!</v>
      </c>
      <c r="C118" s="24" t="n">
        <v>231</v>
      </c>
      <c r="D118" s="29" t="s">
        <v>38</v>
      </c>
      <c r="E118" s="24" t="s">
        <v>483</v>
      </c>
      <c r="F118" s="30" t="n">
        <v>41429</v>
      </c>
      <c r="G118" s="30" t="n">
        <v>41456</v>
      </c>
      <c r="H118" s="31" t="n">
        <f aca="false">INT(($H$327-G118)/30)</f>
        <v>30</v>
      </c>
      <c r="I118" s="24" t="n">
        <f aca="false">H118*1000</f>
        <v>30000</v>
      </c>
      <c r="J118" s="31" t="n">
        <v>25000</v>
      </c>
      <c r="K118" s="31" t="n">
        <v>5000</v>
      </c>
      <c r="L118" s="32" t="n">
        <f aca="false">I118-J118-K118</f>
        <v>0</v>
      </c>
      <c r="M118" s="33" t="n">
        <v>800</v>
      </c>
      <c r="N118" s="33" t="n">
        <v>800</v>
      </c>
      <c r="O118" s="33" t="n">
        <v>800</v>
      </c>
      <c r="P118" s="33" t="n">
        <v>800</v>
      </c>
      <c r="Q118" s="33" t="n">
        <v>800</v>
      </c>
      <c r="R118" s="33" t="n">
        <v>800</v>
      </c>
      <c r="S118" s="33" t="n">
        <v>800</v>
      </c>
      <c r="T118" s="33" t="n">
        <v>800</v>
      </c>
      <c r="U118" s="33" t="n">
        <v>800</v>
      </c>
      <c r="V118" s="33" t="n">
        <v>800</v>
      </c>
      <c r="W118" s="33" t="n">
        <v>800</v>
      </c>
      <c r="X118" s="33" t="n">
        <v>800</v>
      </c>
      <c r="Y118" s="32" t="n">
        <f aca="false">SUM(L118:X118)</f>
        <v>9600</v>
      </c>
      <c r="Z118" s="8" t="n">
        <f aca="false">VLOOKUP(A118,справочник!$E$2:$F$322,2,0)</f>
        <v>0</v>
      </c>
    </row>
    <row collapsed="false" customFormat="false" customHeight="false" hidden="true" ht="15" outlineLevel="0" r="119">
      <c r="A119" s="19" t="n">
        <f aca="false">VLOOKUP(B119,справочник!$B$2:$E$322,4,0)</f>
        <v>208</v>
      </c>
      <c r="B119" s="0" t="e">
        <f aca="false">CONCATENATE(C119;D119)</f>
        <v>#VALUE!</v>
      </c>
      <c r="C119" s="24" t="n">
        <v>218</v>
      </c>
      <c r="D119" s="29" t="s">
        <v>189</v>
      </c>
      <c r="E119" s="24" t="s">
        <v>484</v>
      </c>
      <c r="F119" s="30" t="n">
        <v>41052</v>
      </c>
      <c r="G119" s="30" t="n">
        <v>41061</v>
      </c>
      <c r="H119" s="31" t="n">
        <f aca="false">INT(($H$327-G119)/30)</f>
        <v>43</v>
      </c>
      <c r="I119" s="24" t="n">
        <f aca="false">H119*1000</f>
        <v>43000</v>
      </c>
      <c r="J119" s="31" t="n">
        <f aca="false">40500</f>
        <v>40500</v>
      </c>
      <c r="K119" s="31"/>
      <c r="L119" s="32" t="n">
        <f aca="false">I119-J119-K119</f>
        <v>2500</v>
      </c>
      <c r="M119" s="33" t="n">
        <v>800</v>
      </c>
      <c r="N119" s="33" t="n">
        <v>800</v>
      </c>
      <c r="O119" s="33" t="n">
        <v>800</v>
      </c>
      <c r="P119" s="33" t="n">
        <v>800</v>
      </c>
      <c r="Q119" s="33" t="n">
        <v>800</v>
      </c>
      <c r="R119" s="33" t="n">
        <v>800</v>
      </c>
      <c r="S119" s="33" t="n">
        <v>800</v>
      </c>
      <c r="T119" s="33" t="n">
        <v>800</v>
      </c>
      <c r="U119" s="33" t="n">
        <v>800</v>
      </c>
      <c r="V119" s="33" t="n">
        <v>800</v>
      </c>
      <c r="W119" s="33" t="n">
        <v>800</v>
      </c>
      <c r="X119" s="33" t="n">
        <v>800</v>
      </c>
      <c r="Y119" s="32" t="n">
        <f aca="false">SUM(L119:X119)</f>
        <v>12100</v>
      </c>
      <c r="Z119" s="8" t="n">
        <f aca="false">VLOOKUP(A119,справочник!$E$2:$F$322,2,0)</f>
        <v>0</v>
      </c>
    </row>
    <row collapsed="false" customFormat="false" customHeight="false" hidden="true" ht="25.5" outlineLevel="0" r="120">
      <c r="A120" s="19" t="n">
        <f aca="false">VLOOKUP(B120,справочник!$B$2:$E$322,4,0)</f>
        <v>207</v>
      </c>
      <c r="B120" s="0" t="e">
        <f aca="false">CONCATENATE(C120;D120)</f>
        <v>#VALUE!</v>
      </c>
      <c r="C120" s="24" t="n">
        <v>217</v>
      </c>
      <c r="D120" s="29" t="s">
        <v>210</v>
      </c>
      <c r="E120" s="24"/>
      <c r="F120" s="24"/>
      <c r="G120" s="24"/>
      <c r="H120" s="31"/>
      <c r="I120" s="24" t="n">
        <f aca="false">H120*1000</f>
        <v>0</v>
      </c>
      <c r="J120" s="31"/>
      <c r="K120" s="31"/>
      <c r="L120" s="32" t="n">
        <f aca="false">I120-J120-K120</f>
        <v>0</v>
      </c>
      <c r="M120" s="33" t="n">
        <v>800</v>
      </c>
      <c r="N120" s="33" t="n">
        <v>800</v>
      </c>
      <c r="O120" s="33" t="n">
        <v>800</v>
      </c>
      <c r="P120" s="33" t="n">
        <v>800</v>
      </c>
      <c r="Q120" s="33" t="n">
        <v>800</v>
      </c>
      <c r="R120" s="33" t="n">
        <v>800</v>
      </c>
      <c r="S120" s="33" t="n">
        <v>800</v>
      </c>
      <c r="T120" s="33" t="n">
        <v>800</v>
      </c>
      <c r="U120" s="33" t="n">
        <v>800</v>
      </c>
      <c r="V120" s="33" t="n">
        <v>800</v>
      </c>
      <c r="W120" s="33" t="n">
        <v>800</v>
      </c>
      <c r="X120" s="33" t="n">
        <v>800</v>
      </c>
      <c r="Y120" s="32" t="n">
        <f aca="false">SUM(L120:X120)</f>
        <v>9600</v>
      </c>
      <c r="Z120" s="8" t="n">
        <f aca="false">VLOOKUP(A120,справочник!$E$2:$F$322,2,0)</f>
        <v>0</v>
      </c>
    </row>
    <row collapsed="false" customFormat="false" customHeight="false" hidden="true" ht="15" outlineLevel="0" r="121">
      <c r="A121" s="19" t="n">
        <f aca="false">VLOOKUP(B121,справочник!$B$2:$E$322,4,0)</f>
        <v>231</v>
      </c>
      <c r="B121" s="0" t="e">
        <f aca="false">CONCATENATE(C121;D121)</f>
        <v>#VALUE!</v>
      </c>
      <c r="C121" s="24" t="n">
        <v>240</v>
      </c>
      <c r="D121" s="29" t="s">
        <v>226</v>
      </c>
      <c r="E121" s="24" t="s">
        <v>485</v>
      </c>
      <c r="F121" s="30" t="n">
        <v>41357</v>
      </c>
      <c r="G121" s="30" t="n">
        <v>41365</v>
      </c>
      <c r="H121" s="31" t="n">
        <f aca="false">INT(($H$327-G121)/30)</f>
        <v>33</v>
      </c>
      <c r="I121" s="24" t="n">
        <f aca="false">H121*1000</f>
        <v>33000</v>
      </c>
      <c r="J121" s="31" t="n">
        <v>28000</v>
      </c>
      <c r="K121" s="31"/>
      <c r="L121" s="32" t="n">
        <f aca="false">I121-J121-K121</f>
        <v>5000</v>
      </c>
      <c r="M121" s="33" t="n">
        <v>800</v>
      </c>
      <c r="N121" s="33" t="n">
        <v>800</v>
      </c>
      <c r="O121" s="33" t="n">
        <v>800</v>
      </c>
      <c r="P121" s="33" t="n">
        <v>800</v>
      </c>
      <c r="Q121" s="33" t="n">
        <v>800</v>
      </c>
      <c r="R121" s="33" t="n">
        <v>800</v>
      </c>
      <c r="S121" s="33" t="n">
        <v>800</v>
      </c>
      <c r="T121" s="33" t="n">
        <v>800</v>
      </c>
      <c r="U121" s="33" t="n">
        <v>800</v>
      </c>
      <c r="V121" s="33" t="n">
        <v>800</v>
      </c>
      <c r="W121" s="33" t="n">
        <v>800</v>
      </c>
      <c r="X121" s="33" t="n">
        <v>800</v>
      </c>
      <c r="Y121" s="32" t="n">
        <f aca="false">SUM(L121:X121)</f>
        <v>14600</v>
      </c>
      <c r="Z121" s="8" t="n">
        <f aca="false">VLOOKUP(A121,справочник!$E$2:$F$322,2,0)</f>
        <v>0</v>
      </c>
    </row>
    <row collapsed="false" customFormat="false" customHeight="false" hidden="true" ht="15" outlineLevel="0" r="122">
      <c r="A122" s="19" t="n">
        <f aca="false">VLOOKUP(B122,справочник!$B$2:$E$322,4,0)</f>
        <v>76</v>
      </c>
      <c r="B122" s="0" t="e">
        <f aca="false">CONCATENATE(C122;D122)</f>
        <v>#VALUE!</v>
      </c>
      <c r="C122" s="24" t="n">
        <v>82</v>
      </c>
      <c r="D122" s="29" t="s">
        <v>309</v>
      </c>
      <c r="E122" s="24" t="s">
        <v>486</v>
      </c>
      <c r="F122" s="30" t="n">
        <v>40682</v>
      </c>
      <c r="G122" s="30" t="n">
        <v>40695</v>
      </c>
      <c r="H122" s="31" t="n">
        <f aca="false">INT(($H$327-G122)/30)</f>
        <v>55</v>
      </c>
      <c r="I122" s="24" t="n">
        <f aca="false">H122*1000</f>
        <v>55000</v>
      </c>
      <c r="J122" s="31" t="n">
        <v>54000</v>
      </c>
      <c r="K122" s="31" t="n">
        <v>3000</v>
      </c>
      <c r="L122" s="32" t="n">
        <f aca="false">I122-J122-K122</f>
        <v>-2000</v>
      </c>
      <c r="M122" s="33" t="n">
        <v>800</v>
      </c>
      <c r="N122" s="33" t="n">
        <v>800</v>
      </c>
      <c r="O122" s="33" t="n">
        <v>800</v>
      </c>
      <c r="P122" s="33" t="n">
        <v>800</v>
      </c>
      <c r="Q122" s="33" t="n">
        <v>800</v>
      </c>
      <c r="R122" s="33" t="n">
        <v>800</v>
      </c>
      <c r="S122" s="33" t="n">
        <v>800</v>
      </c>
      <c r="T122" s="33" t="n">
        <v>800</v>
      </c>
      <c r="U122" s="33" t="n">
        <v>800</v>
      </c>
      <c r="V122" s="33" t="n">
        <v>800</v>
      </c>
      <c r="W122" s="33" t="n">
        <v>800</v>
      </c>
      <c r="X122" s="33" t="n">
        <v>800</v>
      </c>
      <c r="Y122" s="32" t="n">
        <f aca="false">SUM(L122:X122)</f>
        <v>7600</v>
      </c>
      <c r="Z122" s="8" t="n">
        <f aca="false">VLOOKUP(A122,справочник!$E$2:$F$322,2,0)</f>
        <v>0</v>
      </c>
    </row>
    <row collapsed="false" customFormat="false" customHeight="false" hidden="true" ht="15" outlineLevel="0" r="123">
      <c r="A123" s="19" t="n">
        <f aca="false">VLOOKUP(B123,справочник!$B$2:$E$322,4,0)</f>
        <v>82</v>
      </c>
      <c r="B123" s="0" t="e">
        <f aca="false">CONCATENATE(C123;D123)</f>
        <v>#VALUE!</v>
      </c>
      <c r="C123" s="24" t="n">
        <v>87</v>
      </c>
      <c r="D123" s="29" t="s">
        <v>229</v>
      </c>
      <c r="E123" s="24" t="s">
        <v>487</v>
      </c>
      <c r="F123" s="30" t="n">
        <v>41148</v>
      </c>
      <c r="G123" s="30" t="n">
        <v>41153</v>
      </c>
      <c r="H123" s="31" t="n">
        <f aca="false">INT(($H$327-G123)/30)</f>
        <v>40</v>
      </c>
      <c r="I123" s="24" t="n">
        <f aca="false">H123*1000</f>
        <v>40000</v>
      </c>
      <c r="J123" s="31" t="n">
        <v>35000</v>
      </c>
      <c r="K123" s="31"/>
      <c r="L123" s="32" t="n">
        <f aca="false">I123-J123-K123</f>
        <v>5000</v>
      </c>
      <c r="M123" s="33" t="n">
        <v>800</v>
      </c>
      <c r="N123" s="33" t="n">
        <v>800</v>
      </c>
      <c r="O123" s="33" t="n">
        <v>800</v>
      </c>
      <c r="P123" s="33" t="n">
        <v>800</v>
      </c>
      <c r="Q123" s="33" t="n">
        <v>800</v>
      </c>
      <c r="R123" s="33" t="n">
        <v>800</v>
      </c>
      <c r="S123" s="33" t="n">
        <v>800</v>
      </c>
      <c r="T123" s="33" t="n">
        <v>800</v>
      </c>
      <c r="U123" s="33" t="n">
        <v>800</v>
      </c>
      <c r="V123" s="33" t="n">
        <v>800</v>
      </c>
      <c r="W123" s="33" t="n">
        <v>800</v>
      </c>
      <c r="X123" s="33" t="n">
        <v>800</v>
      </c>
      <c r="Y123" s="32" t="n">
        <f aca="false">SUM(L123:X123)</f>
        <v>14600</v>
      </c>
      <c r="Z123" s="8" t="n">
        <f aca="false">VLOOKUP(A123,справочник!$E$2:$F$322,2,0)</f>
        <v>0</v>
      </c>
    </row>
    <row collapsed="false" customFormat="false" customHeight="false" hidden="true" ht="15" outlineLevel="0" r="124">
      <c r="A124" s="19" t="n">
        <f aca="false">VLOOKUP(B124,справочник!$B$2:$E$322,4,0)</f>
        <v>8</v>
      </c>
      <c r="B124" s="0" t="e">
        <f aca="false">CONCATENATE(C124;D124)</f>
        <v>#VALUE!</v>
      </c>
      <c r="C124" s="24" t="n">
        <v>8</v>
      </c>
      <c r="D124" s="29" t="s">
        <v>240</v>
      </c>
      <c r="E124" s="24" t="s">
        <v>488</v>
      </c>
      <c r="F124" s="30" t="n">
        <v>41741</v>
      </c>
      <c r="G124" s="30" t="n">
        <v>41760</v>
      </c>
      <c r="H124" s="31" t="n">
        <f aca="false">INT(($H$327-G124)/30)</f>
        <v>20</v>
      </c>
      <c r="I124" s="24" t="n">
        <f aca="false">H124*1000</f>
        <v>20000</v>
      </c>
      <c r="J124" s="31" t="n">
        <v>18000</v>
      </c>
      <c r="K124" s="31"/>
      <c r="L124" s="32" t="n">
        <f aca="false">I124-J124-K124</f>
        <v>2000</v>
      </c>
      <c r="M124" s="33" t="n">
        <v>800</v>
      </c>
      <c r="N124" s="33" t="n">
        <v>800</v>
      </c>
      <c r="O124" s="33" t="n">
        <v>800</v>
      </c>
      <c r="P124" s="33" t="n">
        <v>800</v>
      </c>
      <c r="Q124" s="33" t="n">
        <v>800</v>
      </c>
      <c r="R124" s="33" t="n">
        <v>800</v>
      </c>
      <c r="S124" s="33" t="n">
        <v>800</v>
      </c>
      <c r="T124" s="33" t="n">
        <v>800</v>
      </c>
      <c r="U124" s="33" t="n">
        <v>800</v>
      </c>
      <c r="V124" s="33" t="n">
        <v>800</v>
      </c>
      <c r="W124" s="33" t="n">
        <v>800</v>
      </c>
      <c r="X124" s="33" t="n">
        <v>800</v>
      </c>
      <c r="Y124" s="32" t="n">
        <f aca="false">SUM(L124:X124)</f>
        <v>11600</v>
      </c>
      <c r="Z124" s="8" t="n">
        <f aca="false">VLOOKUP(A124,справочник!$E$2:$F$322,2,0)</f>
        <v>0</v>
      </c>
    </row>
    <row collapsed="false" customFormat="false" customHeight="false" hidden="true" ht="15" outlineLevel="0" r="125">
      <c r="A125" s="19" t="n">
        <f aca="false">VLOOKUP(B125,справочник!$B$2:$E$322,4,0)</f>
        <v>149</v>
      </c>
      <c r="B125" s="0" t="e">
        <f aca="false">CONCATENATE(C125;D125)</f>
        <v>#VALUE!</v>
      </c>
      <c r="C125" s="24" t="n">
        <v>157</v>
      </c>
      <c r="D125" s="29" t="s">
        <v>35</v>
      </c>
      <c r="E125" s="24" t="s">
        <v>489</v>
      </c>
      <c r="F125" s="30" t="n">
        <v>40820</v>
      </c>
      <c r="G125" s="30" t="n">
        <v>40817</v>
      </c>
      <c r="H125" s="31" t="n">
        <f aca="false">INT(($H$327-G125)/30)</f>
        <v>51</v>
      </c>
      <c r="I125" s="24" t="n">
        <f aca="false">H125*1000</f>
        <v>51000</v>
      </c>
      <c r="J125" s="31" t="n">
        <f aca="false">1000</f>
        <v>1000</v>
      </c>
      <c r="K125" s="31" t="n">
        <v>1000</v>
      </c>
      <c r="L125" s="32" t="n">
        <f aca="false">I125-J125-K125</f>
        <v>49000</v>
      </c>
      <c r="M125" s="33" t="n">
        <v>800</v>
      </c>
      <c r="N125" s="33" t="n">
        <v>800</v>
      </c>
      <c r="O125" s="33" t="n">
        <v>800</v>
      </c>
      <c r="P125" s="33" t="n">
        <v>800</v>
      </c>
      <c r="Q125" s="33" t="n">
        <v>800</v>
      </c>
      <c r="R125" s="33" t="n">
        <v>800</v>
      </c>
      <c r="S125" s="33" t="n">
        <v>800</v>
      </c>
      <c r="T125" s="33" t="n">
        <v>800</v>
      </c>
      <c r="U125" s="33" t="n">
        <v>800</v>
      </c>
      <c r="V125" s="33" t="n">
        <v>800</v>
      </c>
      <c r="W125" s="33" t="n">
        <v>800</v>
      </c>
      <c r="X125" s="33" t="n">
        <v>800</v>
      </c>
      <c r="Y125" s="32" t="n">
        <f aca="false">SUM(L125:X125)</f>
        <v>58600</v>
      </c>
      <c r="Z125" s="8" t="n">
        <f aca="false">VLOOKUP(A125,справочник!$E$2:$F$322,2,0)</f>
        <v>0</v>
      </c>
    </row>
    <row collapsed="false" customFormat="false" customHeight="false" hidden="true" ht="15" outlineLevel="0" r="126">
      <c r="A126" s="19" t="n">
        <f aca="false">VLOOKUP(B126,справочник!$B$2:$E$322,4,0)</f>
        <v>30</v>
      </c>
      <c r="B126" s="0" t="e">
        <f aca="false">CONCATENATE(C126;D126)</f>
        <v>#VALUE!</v>
      </c>
      <c r="C126" s="24" t="n">
        <v>30</v>
      </c>
      <c r="D126" s="29" t="s">
        <v>37</v>
      </c>
      <c r="E126" s="24" t="s">
        <v>490</v>
      </c>
      <c r="F126" s="30" t="n">
        <v>40906</v>
      </c>
      <c r="G126" s="30" t="n">
        <v>40909</v>
      </c>
      <c r="H126" s="31" t="n">
        <f aca="false">INT(($H$327-G126)/30)</f>
        <v>48</v>
      </c>
      <c r="I126" s="24" t="n">
        <f aca="false">H126*1000</f>
        <v>48000</v>
      </c>
      <c r="J126" s="31" t="n">
        <f aca="false">1000</f>
        <v>1000</v>
      </c>
      <c r="K126" s="31"/>
      <c r="L126" s="32" t="n">
        <f aca="false">I126-J126-K126</f>
        <v>47000</v>
      </c>
      <c r="M126" s="33" t="n">
        <v>800</v>
      </c>
      <c r="N126" s="33" t="n">
        <v>800</v>
      </c>
      <c r="O126" s="33" t="n">
        <v>800</v>
      </c>
      <c r="P126" s="33" t="n">
        <v>800</v>
      </c>
      <c r="Q126" s="33" t="n">
        <v>800</v>
      </c>
      <c r="R126" s="33" t="n">
        <v>800</v>
      </c>
      <c r="S126" s="33" t="n">
        <v>800</v>
      </c>
      <c r="T126" s="33" t="n">
        <v>800</v>
      </c>
      <c r="U126" s="33" t="n">
        <v>800</v>
      </c>
      <c r="V126" s="33" t="n">
        <v>800</v>
      </c>
      <c r="W126" s="33" t="n">
        <v>800</v>
      </c>
      <c r="X126" s="33" t="n">
        <v>800</v>
      </c>
      <c r="Y126" s="32" t="n">
        <f aca="false">SUM(L126:X126)</f>
        <v>56600</v>
      </c>
      <c r="Z126" s="8" t="n">
        <f aca="false">VLOOKUP(A126,справочник!$E$2:$F$322,2,0)</f>
        <v>0</v>
      </c>
    </row>
    <row collapsed="false" customFormat="false" customHeight="false" hidden="true" ht="15" outlineLevel="0" r="127">
      <c r="A127" s="19" t="n">
        <f aca="false">VLOOKUP(B127,справочник!$B$2:$E$322,4,0)</f>
        <v>269</v>
      </c>
      <c r="B127" s="0" t="e">
        <f aca="false">CONCATENATE(C127;D127)</f>
        <v>#VALUE!</v>
      </c>
      <c r="C127" s="24" t="n">
        <v>282</v>
      </c>
      <c r="D127" s="29" t="s">
        <v>106</v>
      </c>
      <c r="E127" s="24" t="s">
        <v>491</v>
      </c>
      <c r="F127" s="30" t="n">
        <v>41254</v>
      </c>
      <c r="G127" s="30" t="n">
        <v>41275</v>
      </c>
      <c r="H127" s="31" t="n">
        <f aca="false">INT(($H$327-G127)/30)</f>
        <v>36</v>
      </c>
      <c r="I127" s="24" t="n">
        <f aca="false">H127*1000</f>
        <v>36000</v>
      </c>
      <c r="J127" s="31" t="n">
        <v>18000</v>
      </c>
      <c r="K127" s="31"/>
      <c r="L127" s="32" t="n">
        <f aca="false">I127-J127-K127</f>
        <v>18000</v>
      </c>
      <c r="M127" s="33" t="n">
        <v>800</v>
      </c>
      <c r="N127" s="33" t="n">
        <v>800</v>
      </c>
      <c r="O127" s="33" t="n">
        <v>800</v>
      </c>
      <c r="P127" s="33" t="n">
        <v>800</v>
      </c>
      <c r="Q127" s="33" t="n">
        <v>800</v>
      </c>
      <c r="R127" s="33" t="n">
        <v>800</v>
      </c>
      <c r="S127" s="33" t="n">
        <v>800</v>
      </c>
      <c r="T127" s="33" t="n">
        <v>800</v>
      </c>
      <c r="U127" s="33" t="n">
        <v>800</v>
      </c>
      <c r="V127" s="33" t="n">
        <v>800</v>
      </c>
      <c r="W127" s="33" t="n">
        <v>800</v>
      </c>
      <c r="X127" s="33" t="n">
        <v>800</v>
      </c>
      <c r="Y127" s="32" t="n">
        <f aca="false">SUM(L127:X127)</f>
        <v>27600</v>
      </c>
      <c r="Z127" s="8" t="n">
        <f aca="false">VLOOKUP(A127,справочник!$E$2:$F$322,2,0)</f>
        <v>0</v>
      </c>
    </row>
    <row collapsed="false" customFormat="false" customHeight="false" hidden="true" ht="15" outlineLevel="0" r="128">
      <c r="A128" s="19" t="n">
        <f aca="false">VLOOKUP(B128,справочник!$B$2:$E$322,4,0)</f>
        <v>271</v>
      </c>
      <c r="B128" s="0" t="e">
        <f aca="false">CONCATENATE(C128;D128)</f>
        <v>#VALUE!</v>
      </c>
      <c r="C128" s="24" t="n">
        <v>284</v>
      </c>
      <c r="D128" s="29" t="s">
        <v>294</v>
      </c>
      <c r="E128" s="24" t="s">
        <v>492</v>
      </c>
      <c r="F128" s="30" t="n">
        <v>42044</v>
      </c>
      <c r="G128" s="30" t="n">
        <v>42095</v>
      </c>
      <c r="H128" s="31" t="n">
        <f aca="false">INT(($H$327-G128)/30)</f>
        <v>9</v>
      </c>
      <c r="I128" s="24" t="n">
        <f aca="false">H128*1000</f>
        <v>9000</v>
      </c>
      <c r="J128" s="31" t="n">
        <v>4000</v>
      </c>
      <c r="K128" s="31" t="n">
        <v>5000</v>
      </c>
      <c r="L128" s="32" t="n">
        <f aca="false">I128-J128-K128</f>
        <v>0</v>
      </c>
      <c r="M128" s="33" t="n">
        <v>800</v>
      </c>
      <c r="N128" s="33" t="n">
        <v>800</v>
      </c>
      <c r="O128" s="33" t="n">
        <v>800</v>
      </c>
      <c r="P128" s="33" t="n">
        <v>800</v>
      </c>
      <c r="Q128" s="33" t="n">
        <v>800</v>
      </c>
      <c r="R128" s="33" t="n">
        <v>800</v>
      </c>
      <c r="S128" s="33" t="n">
        <v>800</v>
      </c>
      <c r="T128" s="33" t="n">
        <v>800</v>
      </c>
      <c r="U128" s="33" t="n">
        <v>800</v>
      </c>
      <c r="V128" s="33" t="n">
        <v>800</v>
      </c>
      <c r="W128" s="33" t="n">
        <v>800</v>
      </c>
      <c r="X128" s="33" t="n">
        <v>800</v>
      </c>
      <c r="Y128" s="32" t="n">
        <f aca="false">SUM(L128:X128)</f>
        <v>9600</v>
      </c>
      <c r="Z128" s="8" t="n">
        <f aca="false">VLOOKUP(A128,справочник!$E$2:$F$322,2,0)</f>
        <v>0</v>
      </c>
    </row>
    <row collapsed="false" customFormat="false" customHeight="false" hidden="true" ht="15" outlineLevel="0" r="129">
      <c r="A129" s="19" t="n">
        <f aca="false">VLOOKUP(B129,справочник!$B$2:$E$322,4,0)</f>
        <v>265</v>
      </c>
      <c r="B129" s="0" t="e">
        <f aca="false">CONCATENATE(C129;D129)</f>
        <v>#VALUE!</v>
      </c>
      <c r="C129" s="24" t="n">
        <v>278</v>
      </c>
      <c r="D129" s="29" t="s">
        <v>92</v>
      </c>
      <c r="E129" s="24" t="s">
        <v>493</v>
      </c>
      <c r="F129" s="30" t="n">
        <v>40812</v>
      </c>
      <c r="G129" s="30" t="n">
        <v>40787</v>
      </c>
      <c r="H129" s="31" t="n">
        <f aca="false">INT(($H$327-G129)/30)</f>
        <v>52</v>
      </c>
      <c r="I129" s="24" t="n">
        <f aca="false">H129*1000</f>
        <v>52000</v>
      </c>
      <c r="J129" s="31" t="n">
        <f aca="false">2000+27000</f>
        <v>29000</v>
      </c>
      <c r="K129" s="31"/>
      <c r="L129" s="32" t="n">
        <f aca="false">I129-J129-K129</f>
        <v>23000</v>
      </c>
      <c r="M129" s="33" t="n">
        <v>800</v>
      </c>
      <c r="N129" s="33" t="n">
        <v>800</v>
      </c>
      <c r="O129" s="33" t="n">
        <v>800</v>
      </c>
      <c r="P129" s="33" t="n">
        <v>800</v>
      </c>
      <c r="Q129" s="33" t="n">
        <v>800</v>
      </c>
      <c r="R129" s="33" t="n">
        <v>800</v>
      </c>
      <c r="S129" s="33" t="n">
        <v>800</v>
      </c>
      <c r="T129" s="33" t="n">
        <v>800</v>
      </c>
      <c r="U129" s="33" t="n">
        <v>800</v>
      </c>
      <c r="V129" s="33" t="n">
        <v>800</v>
      </c>
      <c r="W129" s="33" t="n">
        <v>800</v>
      </c>
      <c r="X129" s="33" t="n">
        <v>800</v>
      </c>
      <c r="Y129" s="32" t="n">
        <f aca="false">SUM(L129:X129)</f>
        <v>32600</v>
      </c>
      <c r="Z129" s="8" t="n">
        <f aca="false">VLOOKUP(A129,справочник!$E$2:$F$322,2,0)</f>
        <v>0</v>
      </c>
    </row>
    <row collapsed="false" customFormat="false" customHeight="false" hidden="true" ht="25.5" outlineLevel="0" r="130">
      <c r="A130" s="19" t="n">
        <f aca="false">VLOOKUP(B130,справочник!$B$2:$E$322,4,0)</f>
        <v>173</v>
      </c>
      <c r="B130" s="0" t="e">
        <f aca="false">CONCATENATE(C130;D130)</f>
        <v>#VALUE!</v>
      </c>
      <c r="C130" s="24" t="n">
        <v>181</v>
      </c>
      <c r="D130" s="29" t="s">
        <v>31</v>
      </c>
      <c r="E130" s="24" t="s">
        <v>494</v>
      </c>
      <c r="F130" s="30" t="n">
        <v>40793</v>
      </c>
      <c r="G130" s="30" t="n">
        <v>40787</v>
      </c>
      <c r="H130" s="31" t="n">
        <f aca="false">INT(($H$327-G130)/30)</f>
        <v>52</v>
      </c>
      <c r="I130" s="24" t="n">
        <f aca="false">H130*1000</f>
        <v>52000</v>
      </c>
      <c r="J130" s="31" t="n">
        <v>1000</v>
      </c>
      <c r="K130" s="31"/>
      <c r="L130" s="32" t="n">
        <f aca="false">I130-J130-K130</f>
        <v>51000</v>
      </c>
      <c r="M130" s="33" t="n">
        <v>800</v>
      </c>
      <c r="N130" s="33" t="n">
        <v>800</v>
      </c>
      <c r="O130" s="33" t="n">
        <v>800</v>
      </c>
      <c r="P130" s="33" t="n">
        <v>800</v>
      </c>
      <c r="Q130" s="33" t="n">
        <v>800</v>
      </c>
      <c r="R130" s="33" t="n">
        <v>800</v>
      </c>
      <c r="S130" s="33" t="n">
        <v>800</v>
      </c>
      <c r="T130" s="33" t="n">
        <v>800</v>
      </c>
      <c r="U130" s="33" t="n">
        <v>800</v>
      </c>
      <c r="V130" s="33" t="n">
        <v>800</v>
      </c>
      <c r="W130" s="33" t="n">
        <v>800</v>
      </c>
      <c r="X130" s="33" t="n">
        <v>800</v>
      </c>
      <c r="Y130" s="32" t="n">
        <f aca="false">SUM(L130:X130)</f>
        <v>60600</v>
      </c>
      <c r="Z130" s="8" t="n">
        <f aca="false">VLOOKUP(A130,справочник!$E$2:$F$322,2,0)</f>
        <v>0</v>
      </c>
    </row>
    <row collapsed="false" customFormat="false" customHeight="false" hidden="true" ht="15" outlineLevel="0" r="131">
      <c r="A131" s="19" t="n">
        <f aca="false">VLOOKUP(B131,справочник!$B$2:$E$322,4,0)</f>
        <v>305</v>
      </c>
      <c r="B131" s="0" t="e">
        <f aca="false">CONCATENATE(C131;D131)</f>
        <v>#VALUE!</v>
      </c>
      <c r="C131" s="24" t="n">
        <v>320</v>
      </c>
      <c r="D131" s="29" t="s">
        <v>126</v>
      </c>
      <c r="E131" s="24" t="s">
        <v>495</v>
      </c>
      <c r="F131" s="30" t="n">
        <v>41929</v>
      </c>
      <c r="G131" s="30" t="n">
        <v>41944</v>
      </c>
      <c r="H131" s="31" t="n">
        <f aca="false">INT(($H$327-G131)/30)</f>
        <v>14</v>
      </c>
      <c r="I131" s="24" t="n">
        <f aca="false">H131*1000</f>
        <v>14000</v>
      </c>
      <c r="J131" s="31" t="n">
        <v>1000</v>
      </c>
      <c r="K131" s="31"/>
      <c r="L131" s="32" t="n">
        <f aca="false">I131-J131-K131</f>
        <v>13000</v>
      </c>
      <c r="M131" s="33" t="n">
        <v>800</v>
      </c>
      <c r="N131" s="33" t="n">
        <v>800</v>
      </c>
      <c r="O131" s="33" t="n">
        <v>800</v>
      </c>
      <c r="P131" s="33" t="n">
        <v>800</v>
      </c>
      <c r="Q131" s="33" t="n">
        <v>800</v>
      </c>
      <c r="R131" s="33" t="n">
        <v>800</v>
      </c>
      <c r="S131" s="33" t="n">
        <v>800</v>
      </c>
      <c r="T131" s="33" t="n">
        <v>800</v>
      </c>
      <c r="U131" s="33" t="n">
        <v>800</v>
      </c>
      <c r="V131" s="33" t="n">
        <v>800</v>
      </c>
      <c r="W131" s="33" t="n">
        <v>800</v>
      </c>
      <c r="X131" s="33" t="n">
        <v>800</v>
      </c>
      <c r="Y131" s="32" t="n">
        <f aca="false">SUM(L131:X131)</f>
        <v>22600</v>
      </c>
      <c r="Z131" s="8" t="n">
        <f aca="false">VLOOKUP(A131,справочник!$E$2:$F$322,2,0)</f>
        <v>0</v>
      </c>
    </row>
    <row collapsed="false" customFormat="false" customHeight="false" hidden="true" ht="15" outlineLevel="0" r="132">
      <c r="A132" s="19" t="n">
        <f aca="false">VLOOKUP(B132,справочник!$B$2:$E$322,4,0)</f>
        <v>69</v>
      </c>
      <c r="B132" s="0" t="e">
        <f aca="false">CONCATENATE(C132;D132)</f>
        <v>#VALUE!</v>
      </c>
      <c r="C132" s="24" t="n">
        <v>75</v>
      </c>
      <c r="D132" s="29" t="s">
        <v>45</v>
      </c>
      <c r="E132" s="24" t="s">
        <v>496</v>
      </c>
      <c r="F132" s="34" t="s">
        <v>497</v>
      </c>
      <c r="G132" s="34" t="n">
        <v>40787</v>
      </c>
      <c r="H132" s="35" t="n">
        <f aca="false">INT(($H$327-G132)/30)</f>
        <v>52</v>
      </c>
      <c r="I132" s="36" t="n">
        <f aca="false">H132*1000</f>
        <v>52000</v>
      </c>
      <c r="J132" s="35" t="n">
        <f aca="false">3000+10000</f>
        <v>13000</v>
      </c>
      <c r="K132" s="35"/>
      <c r="L132" s="37" t="n">
        <f aca="false">I132-J132-K132</f>
        <v>39000</v>
      </c>
      <c r="M132" s="33" t="n">
        <v>800</v>
      </c>
      <c r="N132" s="33" t="n">
        <v>800</v>
      </c>
      <c r="O132" s="33" t="n">
        <v>800</v>
      </c>
      <c r="P132" s="33" t="n">
        <v>800</v>
      </c>
      <c r="Q132" s="33" t="n">
        <v>800</v>
      </c>
      <c r="R132" s="33" t="n">
        <v>800</v>
      </c>
      <c r="S132" s="33" t="n">
        <v>800</v>
      </c>
      <c r="T132" s="33" t="n">
        <v>800</v>
      </c>
      <c r="U132" s="33" t="n">
        <v>800</v>
      </c>
      <c r="V132" s="33" t="n">
        <v>800</v>
      </c>
      <c r="W132" s="33" t="n">
        <v>800</v>
      </c>
      <c r="X132" s="33" t="n">
        <v>800</v>
      </c>
      <c r="Y132" s="32" t="n">
        <f aca="false">SUM(L132:X132)</f>
        <v>48600</v>
      </c>
      <c r="Z132" s="8" t="n">
        <f aca="false">VLOOKUP(A132,справочник!$E$2:$F$322,2,0)</f>
        <v>1</v>
      </c>
    </row>
    <row collapsed="false" customFormat="false" customHeight="false" hidden="true" ht="15" outlineLevel="0" r="133">
      <c r="A133" s="19" t="n">
        <f aca="false">VLOOKUP(B133,справочник!$B$2:$E$322,4,0)</f>
        <v>69</v>
      </c>
      <c r="B133" s="0" t="e">
        <f aca="false">CONCATENATE(C133;D133)</f>
        <v>#VALUE!</v>
      </c>
      <c r="C133" s="24" t="n">
        <v>76</v>
      </c>
      <c r="D133" s="29" t="s">
        <v>45</v>
      </c>
      <c r="E133" s="24" t="s">
        <v>498</v>
      </c>
      <c r="F133" s="36"/>
      <c r="G133" s="36"/>
      <c r="H133" s="35"/>
      <c r="I133" s="36" t="n">
        <f aca="false">H133*1000</f>
        <v>0</v>
      </c>
      <c r="J133" s="35"/>
      <c r="K133" s="35"/>
      <c r="L133" s="37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2" t="n">
        <f aca="false">SUM(L133:X133)</f>
        <v>0</v>
      </c>
      <c r="Z133" s="8" t="n">
        <f aca="false">VLOOKUP(A133,справочник!$E$2:$F$322,2,0)</f>
        <v>1</v>
      </c>
    </row>
    <row collapsed="false" customFormat="false" customHeight="false" hidden="true" ht="15" outlineLevel="0" r="134">
      <c r="A134" s="19" t="n">
        <f aca="false">VLOOKUP(B134,справочник!$B$2:$E$322,4,0)</f>
        <v>1</v>
      </c>
      <c r="B134" s="0" t="e">
        <f aca="false">CONCATENATE(C134;D134)</f>
        <v>#VALUE!</v>
      </c>
      <c r="C134" s="24" t="n">
        <v>1</v>
      </c>
      <c r="D134" s="29" t="s">
        <v>230</v>
      </c>
      <c r="E134" s="24" t="s">
        <v>499</v>
      </c>
      <c r="F134" s="30" t="n">
        <v>41409</v>
      </c>
      <c r="G134" s="30" t="n">
        <v>41548</v>
      </c>
      <c r="H134" s="31" t="n">
        <f aca="false">INT(($H$327-G134)/30)</f>
        <v>27</v>
      </c>
      <c r="I134" s="24" t="n">
        <f aca="false">H134*1000</f>
        <v>27000</v>
      </c>
      <c r="J134" s="31" t="n">
        <v>24000</v>
      </c>
      <c r="K134" s="31"/>
      <c r="L134" s="32" t="n">
        <f aca="false">I134-J134-K134</f>
        <v>3000</v>
      </c>
      <c r="M134" s="33" t="n">
        <v>800</v>
      </c>
      <c r="N134" s="33" t="n">
        <v>800</v>
      </c>
      <c r="O134" s="33" t="n">
        <v>800</v>
      </c>
      <c r="P134" s="33" t="n">
        <v>800</v>
      </c>
      <c r="Q134" s="33" t="n">
        <v>800</v>
      </c>
      <c r="R134" s="33" t="n">
        <v>800</v>
      </c>
      <c r="S134" s="33" t="n">
        <v>800</v>
      </c>
      <c r="T134" s="33" t="n">
        <v>800</v>
      </c>
      <c r="U134" s="33" t="n">
        <v>800</v>
      </c>
      <c r="V134" s="33" t="n">
        <v>800</v>
      </c>
      <c r="W134" s="33" t="n">
        <v>800</v>
      </c>
      <c r="X134" s="33" t="n">
        <v>800</v>
      </c>
      <c r="Y134" s="32" t="n">
        <f aca="false">SUM(L134:X134)</f>
        <v>12600</v>
      </c>
      <c r="Z134" s="8" t="n">
        <f aca="false">VLOOKUP(A134,справочник!$E$2:$F$322,2,0)</f>
        <v>0</v>
      </c>
    </row>
    <row collapsed="false" customFormat="false" customHeight="false" hidden="true" ht="15" outlineLevel="0" r="135">
      <c r="A135" s="19" t="n">
        <f aca="false">VLOOKUP(B135,справочник!$B$2:$E$322,4,0)</f>
        <v>302</v>
      </c>
      <c r="B135" s="0" t="e">
        <f aca="false">CONCATENATE(C135;D135)</f>
        <v>#VALUE!</v>
      </c>
      <c r="C135" s="24" t="n">
        <v>317</v>
      </c>
      <c r="D135" s="29" t="s">
        <v>127</v>
      </c>
      <c r="E135" s="24" t="s">
        <v>500</v>
      </c>
      <c r="F135" s="30" t="n">
        <v>40997</v>
      </c>
      <c r="G135" s="30" t="n">
        <v>41000</v>
      </c>
      <c r="H135" s="31" t="n">
        <f aca="false">INT(($H$327-G135)/30)</f>
        <v>45</v>
      </c>
      <c r="I135" s="24" t="n">
        <f aca="false">H135*1000</f>
        <v>45000</v>
      </c>
      <c r="J135" s="31" t="n">
        <v>32000</v>
      </c>
      <c r="K135" s="31"/>
      <c r="L135" s="32" t="n">
        <f aca="false">I135-J135-K135</f>
        <v>13000</v>
      </c>
      <c r="M135" s="33" t="n">
        <v>800</v>
      </c>
      <c r="N135" s="33" t="n">
        <v>800</v>
      </c>
      <c r="O135" s="33" t="n">
        <v>800</v>
      </c>
      <c r="P135" s="33" t="n">
        <v>800</v>
      </c>
      <c r="Q135" s="33" t="n">
        <v>800</v>
      </c>
      <c r="R135" s="33" t="n">
        <v>800</v>
      </c>
      <c r="S135" s="33" t="n">
        <v>800</v>
      </c>
      <c r="T135" s="33" t="n">
        <v>800</v>
      </c>
      <c r="U135" s="33" t="n">
        <v>800</v>
      </c>
      <c r="V135" s="33" t="n">
        <v>800</v>
      </c>
      <c r="W135" s="33" t="n">
        <v>800</v>
      </c>
      <c r="X135" s="33" t="n">
        <v>800</v>
      </c>
      <c r="Y135" s="32" t="n">
        <f aca="false">SUM(L135:X135)</f>
        <v>22600</v>
      </c>
      <c r="Z135" s="8" t="n">
        <f aca="false">VLOOKUP(A135,справочник!$E$2:$F$322,2,0)</f>
        <v>0</v>
      </c>
    </row>
    <row collapsed="false" customFormat="false" customHeight="false" hidden="true" ht="15" outlineLevel="0" r="136">
      <c r="A136" s="19" t="n">
        <f aca="false">VLOOKUP(B136,справочник!$B$2:$E$322,4,0)</f>
        <v>123</v>
      </c>
      <c r="B136" s="0" t="e">
        <f aca="false">CONCATENATE(C136;D136)</f>
        <v>#VALUE!</v>
      </c>
      <c r="C136" s="24" t="n">
        <v>128</v>
      </c>
      <c r="D136" s="29" t="s">
        <v>130</v>
      </c>
      <c r="E136" s="24" t="s">
        <v>501</v>
      </c>
      <c r="F136" s="30" t="n">
        <v>40960</v>
      </c>
      <c r="G136" s="30" t="n">
        <v>40940</v>
      </c>
      <c r="H136" s="31" t="n">
        <f aca="false">INT(($H$327-G136)/30)</f>
        <v>47</v>
      </c>
      <c r="I136" s="24" t="n">
        <f aca="false">H136*1000</f>
        <v>47000</v>
      </c>
      <c r="J136" s="31" t="n">
        <v>34000</v>
      </c>
      <c r="K136" s="31"/>
      <c r="L136" s="32" t="n">
        <f aca="false">I136-J136-K136</f>
        <v>13000</v>
      </c>
      <c r="M136" s="33" t="n">
        <v>800</v>
      </c>
      <c r="N136" s="33" t="n">
        <v>800</v>
      </c>
      <c r="O136" s="33" t="n">
        <v>800</v>
      </c>
      <c r="P136" s="33" t="n">
        <v>800</v>
      </c>
      <c r="Q136" s="33" t="n">
        <v>800</v>
      </c>
      <c r="R136" s="33" t="n">
        <v>800</v>
      </c>
      <c r="S136" s="33" t="n">
        <v>800</v>
      </c>
      <c r="T136" s="33" t="n">
        <v>800</v>
      </c>
      <c r="U136" s="33" t="n">
        <v>800</v>
      </c>
      <c r="V136" s="33" t="n">
        <v>800</v>
      </c>
      <c r="W136" s="33" t="n">
        <v>800</v>
      </c>
      <c r="X136" s="33" t="n">
        <v>800</v>
      </c>
      <c r="Y136" s="32" t="n">
        <f aca="false">SUM(L136:X136)</f>
        <v>22600</v>
      </c>
      <c r="Z136" s="8" t="n">
        <f aca="false">VLOOKUP(A136,справочник!$E$2:$F$322,2,0)</f>
        <v>0</v>
      </c>
    </row>
    <row collapsed="false" customFormat="false" customHeight="false" hidden="true" ht="25.5" outlineLevel="0" r="137">
      <c r="A137" s="19" t="n">
        <f aca="false">VLOOKUP(B137,справочник!$B$2:$E$322,4,0)</f>
        <v>163</v>
      </c>
      <c r="B137" s="0" t="e">
        <f aca="false">CONCATENATE(C137;D137)</f>
        <v>#VALUE!</v>
      </c>
      <c r="C137" s="24" t="n">
        <v>171</v>
      </c>
      <c r="D137" s="29" t="s">
        <v>160</v>
      </c>
      <c r="E137" s="24"/>
      <c r="F137" s="30" t="n">
        <v>41809</v>
      </c>
      <c r="G137" s="30" t="n">
        <v>41821</v>
      </c>
      <c r="H137" s="31" t="n">
        <f aca="false">INT(($H$327-G137)/30)</f>
        <v>18</v>
      </c>
      <c r="I137" s="24" t="n">
        <f aca="false">H137*1000</f>
        <v>18000</v>
      </c>
      <c r="J137" s="31" t="n">
        <f aca="false">5000+4000</f>
        <v>9000</v>
      </c>
      <c r="K137" s="31"/>
      <c r="L137" s="32" t="n">
        <f aca="false">I137-J137-K137</f>
        <v>9000</v>
      </c>
      <c r="M137" s="33" t="n">
        <v>800</v>
      </c>
      <c r="N137" s="33" t="n">
        <v>800</v>
      </c>
      <c r="O137" s="33" t="n">
        <v>800</v>
      </c>
      <c r="P137" s="33" t="n">
        <v>800</v>
      </c>
      <c r="Q137" s="33" t="n">
        <v>800</v>
      </c>
      <c r="R137" s="33" t="n">
        <v>800</v>
      </c>
      <c r="S137" s="33" t="n">
        <v>800</v>
      </c>
      <c r="T137" s="33" t="n">
        <v>800</v>
      </c>
      <c r="U137" s="33" t="n">
        <v>800</v>
      </c>
      <c r="V137" s="33" t="n">
        <v>800</v>
      </c>
      <c r="W137" s="33" t="n">
        <v>800</v>
      </c>
      <c r="X137" s="33" t="n">
        <v>800</v>
      </c>
      <c r="Y137" s="32" t="n">
        <f aca="false">SUM(L137:X137)</f>
        <v>18600</v>
      </c>
      <c r="Z137" s="8" t="n">
        <f aca="false">VLOOKUP(A137,справочник!$E$2:$F$322,2,0)</f>
        <v>0</v>
      </c>
    </row>
    <row collapsed="false" customFormat="false" customHeight="false" hidden="true" ht="15" outlineLevel="0" r="138">
      <c r="A138" s="19" t="n">
        <f aca="false">VLOOKUP(B138,справочник!$B$2:$E$322,4,0)</f>
        <v>110</v>
      </c>
      <c r="B138" s="0" t="e">
        <f aca="false">CONCATENATE(C138;D138)</f>
        <v>#VALUE!</v>
      </c>
      <c r="C138" s="24" t="n">
        <v>115</v>
      </c>
      <c r="D138" s="29" t="s">
        <v>101</v>
      </c>
      <c r="E138" s="24" t="s">
        <v>502</v>
      </c>
      <c r="F138" s="30" t="n">
        <v>41101</v>
      </c>
      <c r="G138" s="30" t="n">
        <v>41091</v>
      </c>
      <c r="H138" s="31" t="n">
        <f aca="false">INT(($H$327-G138)/30)</f>
        <v>42</v>
      </c>
      <c r="I138" s="24" t="n">
        <f aca="false">H138*1000</f>
        <v>42000</v>
      </c>
      <c r="J138" s="31" t="n">
        <v>23000</v>
      </c>
      <c r="K138" s="31"/>
      <c r="L138" s="32" t="n">
        <f aca="false">I138-J138-K138</f>
        <v>19000</v>
      </c>
      <c r="M138" s="33" t="n">
        <v>800</v>
      </c>
      <c r="N138" s="33" t="n">
        <v>800</v>
      </c>
      <c r="O138" s="33" t="n">
        <v>800</v>
      </c>
      <c r="P138" s="33" t="n">
        <v>800</v>
      </c>
      <c r="Q138" s="33" t="n">
        <v>800</v>
      </c>
      <c r="R138" s="33" t="n">
        <v>800</v>
      </c>
      <c r="S138" s="33" t="n">
        <v>800</v>
      </c>
      <c r="T138" s="33" t="n">
        <v>800</v>
      </c>
      <c r="U138" s="33" t="n">
        <v>800</v>
      </c>
      <c r="V138" s="33" t="n">
        <v>800</v>
      </c>
      <c r="W138" s="33" t="n">
        <v>800</v>
      </c>
      <c r="X138" s="33" t="n">
        <v>800</v>
      </c>
      <c r="Y138" s="32" t="n">
        <f aca="false">SUM(L138:X138)</f>
        <v>28600</v>
      </c>
      <c r="Z138" s="8" t="n">
        <f aca="false">VLOOKUP(A138,справочник!$E$2:$F$322,2,0)</f>
        <v>0</v>
      </c>
    </row>
    <row collapsed="false" customFormat="false" customHeight="false" hidden="true" ht="25.5" outlineLevel="0" r="139">
      <c r="A139" s="19" t="n">
        <f aca="false">VLOOKUP(B139,справочник!$B$2:$E$322,4,0)</f>
        <v>112</v>
      </c>
      <c r="B139" s="0" t="e">
        <f aca="false">CONCATENATE(C139;D139)</f>
        <v>#VALUE!</v>
      </c>
      <c r="C139" s="24" t="n">
        <v>117</v>
      </c>
      <c r="D139" s="29" t="s">
        <v>166</v>
      </c>
      <c r="E139" s="24"/>
      <c r="F139" s="30" t="n">
        <v>41101</v>
      </c>
      <c r="G139" s="30" t="n">
        <v>41091</v>
      </c>
      <c r="H139" s="31" t="n">
        <f aca="false">INT(($H$327-G139)/30)</f>
        <v>42</v>
      </c>
      <c r="I139" s="24" t="n">
        <f aca="false">H139*1000</f>
        <v>42000</v>
      </c>
      <c r="J139" s="31" t="n">
        <f aca="false">25000</f>
        <v>25000</v>
      </c>
      <c r="K139" s="31"/>
      <c r="L139" s="32" t="n">
        <f aca="false">I139-J139-K139</f>
        <v>17000</v>
      </c>
      <c r="M139" s="33" t="n">
        <v>800</v>
      </c>
      <c r="N139" s="33" t="n">
        <v>800</v>
      </c>
      <c r="O139" s="33" t="n">
        <v>800</v>
      </c>
      <c r="P139" s="33" t="n">
        <v>800</v>
      </c>
      <c r="Q139" s="33" t="n">
        <v>800</v>
      </c>
      <c r="R139" s="33" t="n">
        <v>800</v>
      </c>
      <c r="S139" s="33" t="n">
        <v>800</v>
      </c>
      <c r="T139" s="33" t="n">
        <v>800</v>
      </c>
      <c r="U139" s="33" t="n">
        <v>800</v>
      </c>
      <c r="V139" s="33" t="n">
        <v>800</v>
      </c>
      <c r="W139" s="33" t="n">
        <v>800</v>
      </c>
      <c r="X139" s="33" t="n">
        <v>800</v>
      </c>
      <c r="Y139" s="32" t="n">
        <f aca="false">SUM(L139:X139)</f>
        <v>26600</v>
      </c>
      <c r="Z139" s="8" t="n">
        <f aca="false">VLOOKUP(A139,справочник!$E$2:$F$322,2,0)</f>
        <v>0</v>
      </c>
    </row>
    <row collapsed="false" customFormat="false" customHeight="false" hidden="true" ht="15" outlineLevel="0" r="140">
      <c r="A140" s="19" t="n">
        <f aca="false">VLOOKUP(B140,справочник!$B$2:$E$322,4,0)</f>
        <v>190</v>
      </c>
      <c r="B140" s="0" t="e">
        <f aca="false">CONCATENATE(C140;D140)</f>
        <v>#VALUE!</v>
      </c>
      <c r="C140" s="24" t="n">
        <v>198</v>
      </c>
      <c r="D140" s="29" t="s">
        <v>117</v>
      </c>
      <c r="E140" s="24" t="s">
        <v>503</v>
      </c>
      <c r="F140" s="30" t="n">
        <v>41407</v>
      </c>
      <c r="G140" s="30" t="n">
        <v>41426</v>
      </c>
      <c r="H140" s="31" t="n">
        <f aca="false">INT(($H$327-G140)/30)</f>
        <v>31</v>
      </c>
      <c r="I140" s="24" t="n">
        <f aca="false">H140*1000</f>
        <v>31000</v>
      </c>
      <c r="J140" s="31" t="n">
        <v>15000</v>
      </c>
      <c r="K140" s="31"/>
      <c r="L140" s="32" t="n">
        <f aca="false">I140-J140-K140</f>
        <v>16000</v>
      </c>
      <c r="M140" s="33" t="n">
        <v>800</v>
      </c>
      <c r="N140" s="33" t="n">
        <v>800</v>
      </c>
      <c r="O140" s="33" t="n">
        <v>800</v>
      </c>
      <c r="P140" s="33" t="n">
        <v>800</v>
      </c>
      <c r="Q140" s="33" t="n">
        <v>800</v>
      </c>
      <c r="R140" s="33" t="n">
        <v>800</v>
      </c>
      <c r="S140" s="33" t="n">
        <v>800</v>
      </c>
      <c r="T140" s="33" t="n">
        <v>800</v>
      </c>
      <c r="U140" s="33" t="n">
        <v>800</v>
      </c>
      <c r="V140" s="33" t="n">
        <v>800</v>
      </c>
      <c r="W140" s="33" t="n">
        <v>800</v>
      </c>
      <c r="X140" s="33" t="n">
        <v>800</v>
      </c>
      <c r="Y140" s="32" t="n">
        <f aca="false">SUM(L140:X140)</f>
        <v>25600</v>
      </c>
      <c r="Z140" s="8" t="n">
        <f aca="false">VLOOKUP(A140,справочник!$E$2:$F$322,2,0)</f>
        <v>0</v>
      </c>
    </row>
    <row collapsed="false" customFormat="false" customHeight="false" hidden="true" ht="15" outlineLevel="0" r="141">
      <c r="A141" s="19" t="n">
        <f aca="false">VLOOKUP(B141,справочник!$B$2:$E$322,4,0)</f>
        <v>83</v>
      </c>
      <c r="B141" s="0" t="e">
        <f aca="false">CONCATENATE(C141;D141)</f>
        <v>#VALUE!</v>
      </c>
      <c r="C141" s="24" t="n">
        <v>88</v>
      </c>
      <c r="D141" s="29" t="s">
        <v>231</v>
      </c>
      <c r="E141" s="24" t="s">
        <v>504</v>
      </c>
      <c r="F141" s="30" t="n">
        <v>40675</v>
      </c>
      <c r="G141" s="30" t="n">
        <v>40695</v>
      </c>
      <c r="H141" s="31" t="n">
        <f aca="false">INT(($H$327-G141)/30)</f>
        <v>55</v>
      </c>
      <c r="I141" s="24" t="n">
        <f aca="false">H141*1000</f>
        <v>55000</v>
      </c>
      <c r="J141" s="31" t="n">
        <f aca="false">1000+49000</f>
        <v>50000</v>
      </c>
      <c r="K141" s="31"/>
      <c r="L141" s="32" t="n">
        <f aca="false">I141-J141-K141</f>
        <v>5000</v>
      </c>
      <c r="M141" s="33" t="n">
        <v>800</v>
      </c>
      <c r="N141" s="33" t="n">
        <v>800</v>
      </c>
      <c r="O141" s="33" t="n">
        <v>800</v>
      </c>
      <c r="P141" s="33" t="n">
        <v>800</v>
      </c>
      <c r="Q141" s="33" t="n">
        <v>800</v>
      </c>
      <c r="R141" s="33" t="n">
        <v>800</v>
      </c>
      <c r="S141" s="33" t="n">
        <v>800</v>
      </c>
      <c r="T141" s="33" t="n">
        <v>800</v>
      </c>
      <c r="U141" s="33" t="n">
        <v>800</v>
      </c>
      <c r="V141" s="33" t="n">
        <v>800</v>
      </c>
      <c r="W141" s="33" t="n">
        <v>800</v>
      </c>
      <c r="X141" s="33" t="n">
        <v>800</v>
      </c>
      <c r="Y141" s="32" t="n">
        <f aca="false">SUM(L141:X141)</f>
        <v>14600</v>
      </c>
      <c r="Z141" s="8" t="n">
        <f aca="false">VLOOKUP(A141,справочник!$E$2:$F$322,2,0)</f>
        <v>0</v>
      </c>
    </row>
    <row collapsed="false" customFormat="false" customHeight="false" hidden="true" ht="15" outlineLevel="0" r="142">
      <c r="A142" s="19" t="n">
        <f aca="false">VLOOKUP(B142,справочник!$B$2:$E$322,4,0)</f>
        <v>133</v>
      </c>
      <c r="B142" s="0" t="e">
        <f aca="false">CONCATENATE(C142;D142)</f>
        <v>#VALUE!</v>
      </c>
      <c r="C142" s="24" t="n">
        <v>140</v>
      </c>
      <c r="D142" s="29" t="s">
        <v>296</v>
      </c>
      <c r="E142" s="24" t="s">
        <v>505</v>
      </c>
      <c r="F142" s="30" t="n">
        <v>41008</v>
      </c>
      <c r="G142" s="30" t="n">
        <v>41000</v>
      </c>
      <c r="H142" s="31" t="n">
        <f aca="false">INT(($H$327-G142)/30)</f>
        <v>45</v>
      </c>
      <c r="I142" s="24" t="n">
        <f aca="false">H142*1000</f>
        <v>45000</v>
      </c>
      <c r="J142" s="31" t="n">
        <v>41000</v>
      </c>
      <c r="K142" s="31" t="n">
        <v>4000</v>
      </c>
      <c r="L142" s="32" t="n">
        <f aca="false">I142-J142-K142</f>
        <v>0</v>
      </c>
      <c r="M142" s="33" t="n">
        <v>800</v>
      </c>
      <c r="N142" s="33" t="n">
        <v>800</v>
      </c>
      <c r="O142" s="33" t="n">
        <v>800</v>
      </c>
      <c r="P142" s="33" t="n">
        <v>800</v>
      </c>
      <c r="Q142" s="33" t="n">
        <v>800</v>
      </c>
      <c r="R142" s="33" t="n">
        <v>800</v>
      </c>
      <c r="S142" s="33" t="n">
        <v>800</v>
      </c>
      <c r="T142" s="33" t="n">
        <v>800</v>
      </c>
      <c r="U142" s="33" t="n">
        <v>800</v>
      </c>
      <c r="V142" s="33" t="n">
        <v>800</v>
      </c>
      <c r="W142" s="33" t="n">
        <v>800</v>
      </c>
      <c r="X142" s="33" t="n">
        <v>800</v>
      </c>
      <c r="Y142" s="32" t="n">
        <f aca="false">SUM(L142:X142)</f>
        <v>9600</v>
      </c>
      <c r="Z142" s="8" t="n">
        <f aca="false">VLOOKUP(A142,справочник!$E$2:$F$322,2,0)</f>
        <v>0</v>
      </c>
    </row>
    <row collapsed="false" customFormat="false" customHeight="false" hidden="true" ht="15" outlineLevel="0" r="143">
      <c r="A143" s="19" t="n">
        <f aca="false">VLOOKUP(B143,справочник!$B$2:$E$322,4,0)</f>
        <v>202</v>
      </c>
      <c r="B143" s="0" t="e">
        <f aca="false">CONCATENATE(C143;D143)</f>
        <v>#VALUE!</v>
      </c>
      <c r="C143" s="24" t="n">
        <v>212</v>
      </c>
      <c r="D143" s="29" t="s">
        <v>77</v>
      </c>
      <c r="E143" s="24" t="s">
        <v>506</v>
      </c>
      <c r="F143" s="30" t="n">
        <v>41100</v>
      </c>
      <c r="G143" s="30" t="n">
        <v>41091</v>
      </c>
      <c r="H143" s="31" t="n">
        <f aca="false">INT(($H$327-G143)/30)</f>
        <v>42</v>
      </c>
      <c r="I143" s="24" t="n">
        <f aca="false">H143*1000</f>
        <v>42000</v>
      </c>
      <c r="J143" s="31" t="n">
        <v>18000</v>
      </c>
      <c r="K143" s="31"/>
      <c r="L143" s="32" t="n">
        <f aca="false">I143-J143-K143</f>
        <v>24000</v>
      </c>
      <c r="M143" s="33" t="n">
        <v>800</v>
      </c>
      <c r="N143" s="33" t="n">
        <v>800</v>
      </c>
      <c r="O143" s="33" t="n">
        <v>800</v>
      </c>
      <c r="P143" s="33" t="n">
        <v>800</v>
      </c>
      <c r="Q143" s="33" t="n">
        <v>800</v>
      </c>
      <c r="R143" s="33" t="n">
        <v>800</v>
      </c>
      <c r="S143" s="33" t="n">
        <v>800</v>
      </c>
      <c r="T143" s="33" t="n">
        <v>800</v>
      </c>
      <c r="U143" s="33" t="n">
        <v>800</v>
      </c>
      <c r="V143" s="33" t="n">
        <v>800</v>
      </c>
      <c r="W143" s="33" t="n">
        <v>800</v>
      </c>
      <c r="X143" s="33" t="n">
        <v>800</v>
      </c>
      <c r="Y143" s="32" t="n">
        <f aca="false">SUM(L143:X143)</f>
        <v>33600</v>
      </c>
      <c r="Z143" s="8" t="n">
        <f aca="false">VLOOKUP(A143,справочник!$E$2:$F$322,2,0)</f>
        <v>0</v>
      </c>
    </row>
    <row collapsed="false" customFormat="false" customHeight="false" hidden="true" ht="15" outlineLevel="0" r="144">
      <c r="A144" s="19" t="n">
        <f aca="false">VLOOKUP(B144,справочник!$B$2:$E$322,4,0)</f>
        <v>192</v>
      </c>
      <c r="B144" s="0" t="e">
        <f aca="false">CONCATENATE(C144;D144)</f>
        <v>#VALUE!</v>
      </c>
      <c r="C144" s="24" t="n">
        <v>200</v>
      </c>
      <c r="D144" s="29" t="s">
        <v>109</v>
      </c>
      <c r="E144" s="24" t="s">
        <v>507</v>
      </c>
      <c r="F144" s="30" t="n">
        <v>41829</v>
      </c>
      <c r="G144" s="30" t="n">
        <v>41852</v>
      </c>
      <c r="H144" s="31" t="n">
        <f aca="false">INT(($H$327-G144)/30)</f>
        <v>17</v>
      </c>
      <c r="I144" s="24" t="n">
        <f aca="false">H144*1000</f>
        <v>17000</v>
      </c>
      <c r="J144" s="31"/>
      <c r="K144" s="31"/>
      <c r="L144" s="32" t="n">
        <f aca="false">I144-J144-K144</f>
        <v>17000</v>
      </c>
      <c r="M144" s="33" t="n">
        <v>800</v>
      </c>
      <c r="N144" s="33" t="n">
        <v>800</v>
      </c>
      <c r="O144" s="33" t="n">
        <v>800</v>
      </c>
      <c r="P144" s="33" t="n">
        <v>800</v>
      </c>
      <c r="Q144" s="33" t="n">
        <v>800</v>
      </c>
      <c r="R144" s="33" t="n">
        <v>800</v>
      </c>
      <c r="S144" s="33" t="n">
        <v>800</v>
      </c>
      <c r="T144" s="33" t="n">
        <v>800</v>
      </c>
      <c r="U144" s="33" t="n">
        <v>800</v>
      </c>
      <c r="V144" s="33" t="n">
        <v>800</v>
      </c>
      <c r="W144" s="33" t="n">
        <v>800</v>
      </c>
      <c r="X144" s="33" t="n">
        <v>800</v>
      </c>
      <c r="Y144" s="32" t="n">
        <f aca="false">SUM(L144:X144)</f>
        <v>26600</v>
      </c>
      <c r="Z144" s="8" t="n">
        <f aca="false">VLOOKUP(A144,справочник!$E$2:$F$322,2,0)</f>
        <v>0</v>
      </c>
    </row>
    <row collapsed="false" customFormat="false" customHeight="false" hidden="true" ht="15" outlineLevel="0" r="145">
      <c r="A145" s="19" t="n">
        <f aca="false">VLOOKUP(B145,справочник!$B$2:$E$322,4,0)</f>
        <v>289</v>
      </c>
      <c r="B145" s="0" t="e">
        <f aca="false">CONCATENATE(C145;D145)</f>
        <v>#VALUE!</v>
      </c>
      <c r="C145" s="24" t="n">
        <v>301</v>
      </c>
      <c r="D145" s="29" t="s">
        <v>158</v>
      </c>
      <c r="E145" s="24" t="s">
        <v>508</v>
      </c>
      <c r="F145" s="30" t="n">
        <v>41976</v>
      </c>
      <c r="G145" s="30" t="n">
        <v>42005</v>
      </c>
      <c r="H145" s="31" t="n">
        <f aca="false">INT(($H$327-G145)/30)</f>
        <v>12</v>
      </c>
      <c r="I145" s="24" t="n">
        <f aca="false">H145*1000</f>
        <v>12000</v>
      </c>
      <c r="J145" s="31" t="n">
        <v>3000</v>
      </c>
      <c r="K145" s="31"/>
      <c r="L145" s="32" t="n">
        <f aca="false">I145-J145-K145</f>
        <v>9000</v>
      </c>
      <c r="M145" s="33" t="n">
        <v>800</v>
      </c>
      <c r="N145" s="33" t="n">
        <v>800</v>
      </c>
      <c r="O145" s="33" t="n">
        <v>800</v>
      </c>
      <c r="P145" s="33" t="n">
        <v>800</v>
      </c>
      <c r="Q145" s="33" t="n">
        <v>800</v>
      </c>
      <c r="R145" s="33" t="n">
        <v>800</v>
      </c>
      <c r="S145" s="33" t="n">
        <v>800</v>
      </c>
      <c r="T145" s="33" t="n">
        <v>800</v>
      </c>
      <c r="U145" s="33" t="n">
        <v>800</v>
      </c>
      <c r="V145" s="33" t="n">
        <v>800</v>
      </c>
      <c r="W145" s="33" t="n">
        <v>800</v>
      </c>
      <c r="X145" s="33" t="n">
        <v>800</v>
      </c>
      <c r="Y145" s="32" t="n">
        <f aca="false">SUM(L145:X145)</f>
        <v>18600</v>
      </c>
      <c r="Z145" s="8" t="n">
        <f aca="false">VLOOKUP(A145,справочник!$E$2:$F$322,2,0)</f>
        <v>0</v>
      </c>
    </row>
    <row collapsed="false" customFormat="false" customHeight="false" hidden="true" ht="15" outlineLevel="0" r="146">
      <c r="A146" s="19" t="n">
        <f aca="false">VLOOKUP(B146,справочник!$B$2:$E$322,4,0)</f>
        <v>143</v>
      </c>
      <c r="B146" s="0" t="e">
        <f aca="false">CONCATENATE(C146;D146)</f>
        <v>#VALUE!</v>
      </c>
      <c r="C146" s="24" t="n">
        <v>151</v>
      </c>
      <c r="D146" s="29" t="s">
        <v>162</v>
      </c>
      <c r="E146" s="24" t="s">
        <v>509</v>
      </c>
      <c r="F146" s="30" t="n">
        <v>40841</v>
      </c>
      <c r="G146" s="30" t="n">
        <v>40848</v>
      </c>
      <c r="H146" s="31" t="n">
        <f aca="false">INT(($H$327-G146)/30)</f>
        <v>50</v>
      </c>
      <c r="I146" s="24" t="n">
        <f aca="false">H146*1000</f>
        <v>50000</v>
      </c>
      <c r="J146" s="31" t="n">
        <v>37000</v>
      </c>
      <c r="K146" s="31"/>
      <c r="L146" s="32" t="n">
        <f aca="false">I146-J146-K146</f>
        <v>13000</v>
      </c>
      <c r="M146" s="33" t="n">
        <v>800</v>
      </c>
      <c r="N146" s="33" t="n">
        <v>800</v>
      </c>
      <c r="O146" s="33" t="n">
        <v>800</v>
      </c>
      <c r="P146" s="33" t="n">
        <v>800</v>
      </c>
      <c r="Q146" s="33" t="n">
        <v>800</v>
      </c>
      <c r="R146" s="33" t="n">
        <v>800</v>
      </c>
      <c r="S146" s="33" t="n">
        <v>800</v>
      </c>
      <c r="T146" s="33" t="n">
        <v>800</v>
      </c>
      <c r="U146" s="33" t="n">
        <v>800</v>
      </c>
      <c r="V146" s="33" t="n">
        <v>800</v>
      </c>
      <c r="W146" s="33" t="n">
        <v>800</v>
      </c>
      <c r="X146" s="33" t="n">
        <v>800</v>
      </c>
      <c r="Y146" s="32" t="n">
        <f aca="false">SUM(L146:X146)</f>
        <v>22600</v>
      </c>
      <c r="Z146" s="8" t="n">
        <f aca="false">VLOOKUP(A146,справочник!$E$2:$F$322,2,0)</f>
        <v>0</v>
      </c>
    </row>
    <row collapsed="false" customFormat="false" customHeight="false" hidden="true" ht="15" outlineLevel="0" r="147">
      <c r="A147" s="19" t="n">
        <f aca="false">VLOOKUP(B147,справочник!$B$2:$E$322,4,0)</f>
        <v>62</v>
      </c>
      <c r="B147" s="0" t="e">
        <f aca="false">CONCATENATE(C147;D147)</f>
        <v>#VALUE!</v>
      </c>
      <c r="C147" s="24" t="n">
        <v>64</v>
      </c>
      <c r="D147" s="29" t="s">
        <v>253</v>
      </c>
      <c r="E147" s="24" t="s">
        <v>510</v>
      </c>
      <c r="F147" s="30" t="n">
        <v>40816</v>
      </c>
      <c r="G147" s="30" t="n">
        <v>40817</v>
      </c>
      <c r="H147" s="31" t="n">
        <f aca="false">INT(($H$327-G147)/30)</f>
        <v>51</v>
      </c>
      <c r="I147" s="24" t="n">
        <f aca="false">H147*1000</f>
        <v>51000</v>
      </c>
      <c r="J147" s="31" t="n">
        <f aca="false">1000+47000</f>
        <v>48000</v>
      </c>
      <c r="K147" s="31" t="n">
        <v>3000</v>
      </c>
      <c r="L147" s="32" t="n">
        <f aca="false">I147-J147-K147</f>
        <v>0</v>
      </c>
      <c r="M147" s="33" t="n">
        <v>800</v>
      </c>
      <c r="N147" s="33" t="n">
        <v>800</v>
      </c>
      <c r="O147" s="33" t="n">
        <v>800</v>
      </c>
      <c r="P147" s="33" t="n">
        <v>800</v>
      </c>
      <c r="Q147" s="33" t="n">
        <v>800</v>
      </c>
      <c r="R147" s="33" t="n">
        <v>800</v>
      </c>
      <c r="S147" s="33" t="n">
        <v>800</v>
      </c>
      <c r="T147" s="33" t="n">
        <v>800</v>
      </c>
      <c r="U147" s="33" t="n">
        <v>800</v>
      </c>
      <c r="V147" s="33" t="n">
        <v>800</v>
      </c>
      <c r="W147" s="33" t="n">
        <v>800</v>
      </c>
      <c r="X147" s="33" t="n">
        <v>800</v>
      </c>
      <c r="Y147" s="32" t="n">
        <f aca="false">SUM(L147:X147)</f>
        <v>9600</v>
      </c>
      <c r="Z147" s="8" t="n">
        <f aca="false">VLOOKUP(A147,справочник!$E$2:$F$322,2,0)</f>
        <v>0</v>
      </c>
    </row>
    <row collapsed="false" customFormat="false" customHeight="false" hidden="true" ht="15" outlineLevel="0" r="148">
      <c r="A148" s="19" t="n">
        <f aca="false">VLOOKUP(B148,справочник!$B$2:$E$322,4,0)</f>
        <v>225</v>
      </c>
      <c r="B148" s="0" t="e">
        <f aca="false">CONCATENATE(C148;D148)</f>
        <v>#VALUE!</v>
      </c>
      <c r="C148" s="24" t="n">
        <v>234</v>
      </c>
      <c r="D148" s="29" t="s">
        <v>114</v>
      </c>
      <c r="E148" s="24" t="s">
        <v>511</v>
      </c>
      <c r="F148" s="30" t="n">
        <v>41871</v>
      </c>
      <c r="G148" s="30" t="n">
        <v>41883</v>
      </c>
      <c r="H148" s="31" t="n">
        <f aca="false">INT(($H$327-G148)/30)</f>
        <v>16</v>
      </c>
      <c r="I148" s="24" t="n">
        <f aca="false">H148*1000</f>
        <v>16000</v>
      </c>
      <c r="J148" s="31"/>
      <c r="K148" s="31"/>
      <c r="L148" s="32" t="n">
        <f aca="false">I148-J148-K148</f>
        <v>16000</v>
      </c>
      <c r="M148" s="33" t="n">
        <v>800</v>
      </c>
      <c r="N148" s="33" t="n">
        <v>800</v>
      </c>
      <c r="O148" s="33" t="n">
        <v>800</v>
      </c>
      <c r="P148" s="33" t="n">
        <v>800</v>
      </c>
      <c r="Q148" s="33" t="n">
        <v>800</v>
      </c>
      <c r="R148" s="33" t="n">
        <v>800</v>
      </c>
      <c r="S148" s="33" t="n">
        <v>800</v>
      </c>
      <c r="T148" s="33" t="n">
        <v>800</v>
      </c>
      <c r="U148" s="33" t="n">
        <v>800</v>
      </c>
      <c r="V148" s="33" t="n">
        <v>800</v>
      </c>
      <c r="W148" s="33" t="n">
        <v>800</v>
      </c>
      <c r="X148" s="33" t="n">
        <v>800</v>
      </c>
      <c r="Y148" s="32" t="n">
        <f aca="false">SUM(L148:X148)</f>
        <v>25600</v>
      </c>
      <c r="Z148" s="8" t="n">
        <f aca="false">VLOOKUP(A148,справочник!$E$2:$F$322,2,0)</f>
        <v>0</v>
      </c>
    </row>
    <row collapsed="false" customFormat="false" customHeight="false" hidden="true" ht="15" outlineLevel="0" r="149">
      <c r="A149" s="19" t="n">
        <f aca="false">VLOOKUP(B149,справочник!$B$2:$E$322,4,0)</f>
        <v>266</v>
      </c>
      <c r="B149" s="0" t="e">
        <f aca="false">CONCATENATE(C149;D149)</f>
        <v>#VALUE!</v>
      </c>
      <c r="C149" s="24" t="n">
        <v>279</v>
      </c>
      <c r="D149" s="29" t="s">
        <v>145</v>
      </c>
      <c r="E149" s="24" t="s">
        <v>512</v>
      </c>
      <c r="F149" s="30" t="n">
        <v>40799</v>
      </c>
      <c r="G149" s="30" t="n">
        <v>40787</v>
      </c>
      <c r="H149" s="31" t="n">
        <f aca="false">INT(($H$327-G149)/30)</f>
        <v>52</v>
      </c>
      <c r="I149" s="24" t="n">
        <f aca="false">H149*1000</f>
        <v>52000</v>
      </c>
      <c r="J149" s="31" t="n">
        <f aca="false">40000+1000</f>
        <v>41000</v>
      </c>
      <c r="K149" s="31"/>
      <c r="L149" s="32" t="n">
        <f aca="false">I149-J149-K149</f>
        <v>11000</v>
      </c>
      <c r="M149" s="33" t="n">
        <v>800</v>
      </c>
      <c r="N149" s="33" t="n">
        <v>800</v>
      </c>
      <c r="O149" s="33" t="n">
        <v>800</v>
      </c>
      <c r="P149" s="33" t="n">
        <v>800</v>
      </c>
      <c r="Q149" s="33" t="n">
        <v>800</v>
      </c>
      <c r="R149" s="33" t="n">
        <v>800</v>
      </c>
      <c r="S149" s="33" t="n">
        <v>800</v>
      </c>
      <c r="T149" s="33" t="n">
        <v>800</v>
      </c>
      <c r="U149" s="33" t="n">
        <v>800</v>
      </c>
      <c r="V149" s="33" t="n">
        <v>800</v>
      </c>
      <c r="W149" s="33" t="n">
        <v>800</v>
      </c>
      <c r="X149" s="33" t="n">
        <v>800</v>
      </c>
      <c r="Y149" s="32" t="n">
        <f aca="false">SUM(L149:X149)</f>
        <v>20600</v>
      </c>
      <c r="Z149" s="8" t="n">
        <f aca="false">VLOOKUP(A149,справочник!$E$2:$F$322,2,0)</f>
        <v>0</v>
      </c>
    </row>
    <row collapsed="false" customFormat="false" customHeight="false" hidden="true" ht="15" outlineLevel="0" r="150">
      <c r="A150" s="19" t="n">
        <f aca="false">VLOOKUP(B150,справочник!$B$2:$E$322,4,0)</f>
        <v>157</v>
      </c>
      <c r="B150" s="0" t="e">
        <f aca="false">CONCATENATE(C150;D150)</f>
        <v>#VALUE!</v>
      </c>
      <c r="C150" s="24" t="n">
        <v>165</v>
      </c>
      <c r="D150" s="29" t="s">
        <v>80</v>
      </c>
      <c r="E150" s="24" t="s">
        <v>513</v>
      </c>
      <c r="F150" s="30" t="n">
        <v>40885</v>
      </c>
      <c r="G150" s="30" t="n">
        <v>40878</v>
      </c>
      <c r="H150" s="31" t="n">
        <f aca="false">INT(($H$327-G150)/30)</f>
        <v>49</v>
      </c>
      <c r="I150" s="24" t="n">
        <f aca="false">H150*1000</f>
        <v>49000</v>
      </c>
      <c r="J150" s="31" t="n">
        <f aca="false">12000+13000</f>
        <v>25000</v>
      </c>
      <c r="K150" s="31"/>
      <c r="L150" s="32" t="n">
        <f aca="false">I150-J150-K150</f>
        <v>24000</v>
      </c>
      <c r="M150" s="33" t="n">
        <v>800</v>
      </c>
      <c r="N150" s="33" t="n">
        <v>800</v>
      </c>
      <c r="O150" s="33" t="n">
        <v>800</v>
      </c>
      <c r="P150" s="33" t="n">
        <v>800</v>
      </c>
      <c r="Q150" s="33" t="n">
        <v>800</v>
      </c>
      <c r="R150" s="33" t="n">
        <v>800</v>
      </c>
      <c r="S150" s="33" t="n">
        <v>800</v>
      </c>
      <c r="T150" s="33" t="n">
        <v>800</v>
      </c>
      <c r="U150" s="33" t="n">
        <v>800</v>
      </c>
      <c r="V150" s="33" t="n">
        <v>800</v>
      </c>
      <c r="W150" s="33" t="n">
        <v>800</v>
      </c>
      <c r="X150" s="33" t="n">
        <v>800</v>
      </c>
      <c r="Y150" s="32" t="n">
        <f aca="false">SUM(L150:X150)</f>
        <v>33600</v>
      </c>
      <c r="Z150" s="8" t="n">
        <f aca="false">VLOOKUP(A150,справочник!$E$2:$F$322,2,0)</f>
        <v>0</v>
      </c>
    </row>
    <row collapsed="false" customFormat="false" customHeight="false" hidden="true" ht="15" outlineLevel="0" r="151">
      <c r="A151" s="19" t="n">
        <f aca="false">VLOOKUP(B151,справочник!$B$2:$E$322,4,0)</f>
        <v>194</v>
      </c>
      <c r="B151" s="0" t="e">
        <f aca="false">CONCATENATE(C151;D151)</f>
        <v>#VALUE!</v>
      </c>
      <c r="C151" s="24" t="n">
        <v>202</v>
      </c>
      <c r="D151" s="29" t="s">
        <v>227</v>
      </c>
      <c r="E151" s="24" t="s">
        <v>514</v>
      </c>
      <c r="F151" s="30" t="n">
        <v>41898</v>
      </c>
      <c r="G151" s="30" t="n">
        <v>41913</v>
      </c>
      <c r="H151" s="31" t="n">
        <f aca="false">INT(($H$327-G151)/30)</f>
        <v>15</v>
      </c>
      <c r="I151" s="24" t="n">
        <f aca="false">H151*1000</f>
        <v>15000</v>
      </c>
      <c r="J151" s="31" t="n">
        <v>11000</v>
      </c>
      <c r="K151" s="31"/>
      <c r="L151" s="32" t="n">
        <f aca="false">I151-J151-K151</f>
        <v>4000</v>
      </c>
      <c r="M151" s="33" t="n">
        <v>800</v>
      </c>
      <c r="N151" s="33" t="n">
        <v>800</v>
      </c>
      <c r="O151" s="33" t="n">
        <v>800</v>
      </c>
      <c r="P151" s="33" t="n">
        <v>800</v>
      </c>
      <c r="Q151" s="33" t="n">
        <v>800</v>
      </c>
      <c r="R151" s="33" t="n">
        <v>800</v>
      </c>
      <c r="S151" s="33" t="n">
        <v>800</v>
      </c>
      <c r="T151" s="33" t="n">
        <v>800</v>
      </c>
      <c r="U151" s="33" t="n">
        <v>800</v>
      </c>
      <c r="V151" s="33" t="n">
        <v>800</v>
      </c>
      <c r="W151" s="33" t="n">
        <v>800</v>
      </c>
      <c r="X151" s="33" t="n">
        <v>800</v>
      </c>
      <c r="Y151" s="32" t="n">
        <f aca="false">SUM(L151:X151)</f>
        <v>13600</v>
      </c>
      <c r="Z151" s="8" t="n">
        <f aca="false">VLOOKUP(A151,справочник!$E$2:$F$322,2,0)</f>
        <v>0</v>
      </c>
    </row>
    <row collapsed="false" customFormat="false" customHeight="false" hidden="true" ht="15" outlineLevel="0" r="152">
      <c r="A152" s="19" t="n">
        <f aca="false">VLOOKUP(B152,справочник!$B$2:$E$322,4,0)</f>
        <v>65</v>
      </c>
      <c r="B152" s="0" t="e">
        <f aca="false">CONCATENATE(C152;D152)</f>
        <v>#VALUE!</v>
      </c>
      <c r="C152" s="24" t="n">
        <v>67</v>
      </c>
      <c r="D152" s="29" t="s">
        <v>98</v>
      </c>
      <c r="E152" s="24" t="s">
        <v>515</v>
      </c>
      <c r="F152" s="30" t="n">
        <v>40872</v>
      </c>
      <c r="G152" s="30" t="n">
        <v>40848</v>
      </c>
      <c r="H152" s="31" t="n">
        <f aca="false">INT(($H$327-G152)/30)</f>
        <v>50</v>
      </c>
      <c r="I152" s="24" t="n">
        <f aca="false">H152*1000</f>
        <v>50000</v>
      </c>
      <c r="J152" s="31" t="n">
        <f aca="false">30000</f>
        <v>30000</v>
      </c>
      <c r="K152" s="31"/>
      <c r="L152" s="32" t="n">
        <f aca="false">I152-J152-K152</f>
        <v>20000</v>
      </c>
      <c r="M152" s="33" t="n">
        <v>800</v>
      </c>
      <c r="N152" s="33" t="n">
        <v>800</v>
      </c>
      <c r="O152" s="33" t="n">
        <v>800</v>
      </c>
      <c r="P152" s="33" t="n">
        <v>800</v>
      </c>
      <c r="Q152" s="33" t="n">
        <v>800</v>
      </c>
      <c r="R152" s="33" t="n">
        <v>800</v>
      </c>
      <c r="S152" s="33" t="n">
        <v>800</v>
      </c>
      <c r="T152" s="33" t="n">
        <v>800</v>
      </c>
      <c r="U152" s="33" t="n">
        <v>800</v>
      </c>
      <c r="V152" s="33" t="n">
        <v>800</v>
      </c>
      <c r="W152" s="33" t="n">
        <v>800</v>
      </c>
      <c r="X152" s="33" t="n">
        <v>800</v>
      </c>
      <c r="Y152" s="32" t="n">
        <f aca="false">SUM(L152:X152)</f>
        <v>29600</v>
      </c>
      <c r="Z152" s="8" t="n">
        <f aca="false">VLOOKUP(A152,справочник!$E$2:$F$322,2,0)</f>
        <v>0</v>
      </c>
    </row>
    <row collapsed="false" customFormat="false" customHeight="false" hidden="true" ht="15" outlineLevel="0" r="153">
      <c r="A153" s="19" t="n">
        <f aca="false">VLOOKUP(B153,справочник!$B$2:$E$322,4,0)</f>
        <v>216</v>
      </c>
      <c r="B153" s="0" t="e">
        <f aca="false">CONCATENATE(C153;D153)</f>
        <v>#VALUE!</v>
      </c>
      <c r="C153" s="24" t="n">
        <v>225</v>
      </c>
      <c r="D153" s="42" t="s">
        <v>298</v>
      </c>
      <c r="E153" s="24" t="s">
        <v>516</v>
      </c>
      <c r="F153" s="30" t="n">
        <v>41773</v>
      </c>
      <c r="G153" s="30" t="n">
        <v>41760</v>
      </c>
      <c r="H153" s="31" t="n">
        <f aca="false">INT(($H$327-G153)/30)</f>
        <v>20</v>
      </c>
      <c r="I153" s="24" t="n">
        <f aca="false">H153*1000</f>
        <v>20000</v>
      </c>
      <c r="J153" s="31" t="n">
        <v>20000</v>
      </c>
      <c r="K153" s="31"/>
      <c r="L153" s="32" t="n">
        <f aca="false">I153-J153-K153</f>
        <v>0</v>
      </c>
      <c r="M153" s="33" t="n">
        <v>800</v>
      </c>
      <c r="N153" s="33" t="n">
        <v>800</v>
      </c>
      <c r="O153" s="33" t="n">
        <v>800</v>
      </c>
      <c r="P153" s="33" t="n">
        <v>800</v>
      </c>
      <c r="Q153" s="33" t="n">
        <v>800</v>
      </c>
      <c r="R153" s="33" t="n">
        <v>800</v>
      </c>
      <c r="S153" s="33" t="n">
        <v>800</v>
      </c>
      <c r="T153" s="33" t="n">
        <v>800</v>
      </c>
      <c r="U153" s="33" t="n">
        <v>800</v>
      </c>
      <c r="V153" s="33" t="n">
        <v>800</v>
      </c>
      <c r="W153" s="33" t="n">
        <v>800</v>
      </c>
      <c r="X153" s="33" t="n">
        <v>800</v>
      </c>
      <c r="Y153" s="32" t="n">
        <f aca="false">SUM(L153:X153)</f>
        <v>9600</v>
      </c>
      <c r="Z153" s="8" t="n">
        <f aca="false">VLOOKUP(A153,справочник!$E$2:$F$322,2,0)</f>
        <v>1</v>
      </c>
    </row>
    <row collapsed="false" customFormat="false" customHeight="false" hidden="true" ht="15" outlineLevel="0" r="154">
      <c r="A154" s="19" t="n">
        <f aca="false">VLOOKUP(B154,справочник!$B$2:$E$322,4,0)</f>
        <v>216</v>
      </c>
      <c r="B154" s="0" t="e">
        <f aca="false">CONCATENATE(C154;D154)</f>
        <v>#VALUE!</v>
      </c>
      <c r="C154" s="24" t="n">
        <v>226</v>
      </c>
      <c r="D154" s="42" t="s">
        <v>298</v>
      </c>
      <c r="E154" s="24" t="s">
        <v>517</v>
      </c>
      <c r="F154" s="30" t="n">
        <v>41773</v>
      </c>
      <c r="G154" s="30" t="n">
        <v>41760</v>
      </c>
      <c r="H154" s="31" t="n">
        <f aca="false">INT(($H$327-G154)/30)</f>
        <v>20</v>
      </c>
      <c r="I154" s="24" t="n">
        <f aca="false">H154*1000</f>
        <v>20000</v>
      </c>
      <c r="J154" s="31" t="n">
        <v>20000</v>
      </c>
      <c r="K154" s="31"/>
      <c r="L154" s="32" t="n">
        <f aca="false">I154-J154-K154</f>
        <v>0</v>
      </c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2" t="n">
        <f aca="false">SUM(L154:X154)</f>
        <v>0</v>
      </c>
      <c r="Z154" s="8" t="n">
        <f aca="false">VLOOKUP(A154,справочник!$E$2:$F$322,2,0)</f>
        <v>1</v>
      </c>
    </row>
    <row collapsed="false" customFormat="false" customHeight="false" hidden="true" ht="15" outlineLevel="0" r="155">
      <c r="A155" s="19" t="n">
        <f aca="false">VLOOKUP(B155,справочник!$B$2:$E$322,4,0)</f>
        <v>56</v>
      </c>
      <c r="B155" s="0" t="e">
        <f aca="false">CONCATENATE(C155;D155)</f>
        <v>#VALUE!</v>
      </c>
      <c r="C155" s="24" t="n">
        <v>58</v>
      </c>
      <c r="D155" s="29" t="s">
        <v>27</v>
      </c>
      <c r="E155" s="24" t="s">
        <v>518</v>
      </c>
      <c r="F155" s="30" t="n">
        <v>40715</v>
      </c>
      <c r="G155" s="30" t="n">
        <v>40725</v>
      </c>
      <c r="H155" s="31" t="n">
        <f aca="false">INT(($H$327-G155)/30)</f>
        <v>54</v>
      </c>
      <c r="I155" s="24" t="n">
        <f aca="false">H155*1000</f>
        <v>54000</v>
      </c>
      <c r="J155" s="31" t="n">
        <v>1000</v>
      </c>
      <c r="K155" s="31"/>
      <c r="L155" s="32" t="n">
        <f aca="false">I155-J155-K155</f>
        <v>53000</v>
      </c>
      <c r="M155" s="33" t="n">
        <v>800</v>
      </c>
      <c r="N155" s="33" t="n">
        <v>800</v>
      </c>
      <c r="O155" s="33" t="n">
        <v>800</v>
      </c>
      <c r="P155" s="33" t="n">
        <v>800</v>
      </c>
      <c r="Q155" s="33" t="n">
        <v>800</v>
      </c>
      <c r="R155" s="33" t="n">
        <v>800</v>
      </c>
      <c r="S155" s="33" t="n">
        <v>800</v>
      </c>
      <c r="T155" s="33" t="n">
        <v>800</v>
      </c>
      <c r="U155" s="33" t="n">
        <v>800</v>
      </c>
      <c r="V155" s="33" t="n">
        <v>800</v>
      </c>
      <c r="W155" s="33" t="n">
        <v>800</v>
      </c>
      <c r="X155" s="33" t="n">
        <v>800</v>
      </c>
      <c r="Y155" s="32" t="n">
        <f aca="false">SUM(L155:X155)</f>
        <v>62600</v>
      </c>
      <c r="Z155" s="8" t="n">
        <f aca="false">VLOOKUP(A155,справочник!$E$2:$F$322,2,0)</f>
        <v>0</v>
      </c>
    </row>
    <row collapsed="false" customFormat="false" customHeight="false" hidden="true" ht="15" outlineLevel="0" r="156">
      <c r="A156" s="19" t="n">
        <f aca="false">VLOOKUP(B156,справочник!$B$2:$E$322,4,0)</f>
        <v>150</v>
      </c>
      <c r="B156" s="0" t="e">
        <f aca="false">CONCATENATE(C156;D156)</f>
        <v>#VALUE!</v>
      </c>
      <c r="C156" s="24" t="n">
        <v>158</v>
      </c>
      <c r="D156" s="29" t="s">
        <v>59</v>
      </c>
      <c r="E156" s="24" t="s">
        <v>519</v>
      </c>
      <c r="F156" s="30" t="n">
        <v>40770</v>
      </c>
      <c r="G156" s="30" t="n">
        <v>40787</v>
      </c>
      <c r="H156" s="31" t="n">
        <f aca="false">INT(($H$327-G156)/30)</f>
        <v>52</v>
      </c>
      <c r="I156" s="24" t="n">
        <f aca="false">H156*1000</f>
        <v>52000</v>
      </c>
      <c r="J156" s="31" t="n">
        <f aca="false">21000+1000</f>
        <v>22000</v>
      </c>
      <c r="K156" s="31"/>
      <c r="L156" s="32" t="n">
        <f aca="false">I156-J156-K156</f>
        <v>30000</v>
      </c>
      <c r="M156" s="33" t="n">
        <v>800</v>
      </c>
      <c r="N156" s="33" t="n">
        <v>800</v>
      </c>
      <c r="O156" s="33" t="n">
        <v>800</v>
      </c>
      <c r="P156" s="33" t="n">
        <v>800</v>
      </c>
      <c r="Q156" s="33" t="n">
        <v>800</v>
      </c>
      <c r="R156" s="33" t="n">
        <v>800</v>
      </c>
      <c r="S156" s="33" t="n">
        <v>800</v>
      </c>
      <c r="T156" s="33" t="n">
        <v>800</v>
      </c>
      <c r="U156" s="33" t="n">
        <v>800</v>
      </c>
      <c r="V156" s="33" t="n">
        <v>800</v>
      </c>
      <c r="W156" s="33" t="n">
        <v>800</v>
      </c>
      <c r="X156" s="33" t="n">
        <v>800</v>
      </c>
      <c r="Y156" s="32" t="n">
        <f aca="false">SUM(L156:X156)</f>
        <v>39600</v>
      </c>
      <c r="Z156" s="8" t="n">
        <f aca="false">VLOOKUP(A156,справочник!$E$2:$F$322,2,0)</f>
        <v>0</v>
      </c>
    </row>
    <row collapsed="false" customFormat="false" customHeight="false" hidden="true" ht="15" outlineLevel="0" r="157">
      <c r="A157" s="19" t="n">
        <f aca="false">VLOOKUP(B157,справочник!$B$2:$E$322,4,0)</f>
        <v>243</v>
      </c>
      <c r="B157" s="0" t="e">
        <f aca="false">CONCATENATE(C157;D157)</f>
        <v>#VALUE!</v>
      </c>
      <c r="C157" s="24" t="n">
        <v>254</v>
      </c>
      <c r="D157" s="29" t="s">
        <v>70</v>
      </c>
      <c r="E157" s="24" t="s">
        <v>520</v>
      </c>
      <c r="F157" s="30" t="n">
        <v>40791</v>
      </c>
      <c r="G157" s="30" t="n">
        <v>40787</v>
      </c>
      <c r="H157" s="31" t="n">
        <f aca="false">INT(($H$327-G157)/30)</f>
        <v>52</v>
      </c>
      <c r="I157" s="24" t="n">
        <f aca="false">H157*1000</f>
        <v>52000</v>
      </c>
      <c r="J157" s="31" t="n">
        <f aca="false">1000</f>
        <v>1000</v>
      </c>
      <c r="K157" s="31" t="n">
        <v>45000</v>
      </c>
      <c r="L157" s="32" t="n">
        <f aca="false">I157-J157-K157</f>
        <v>6000</v>
      </c>
      <c r="M157" s="33" t="n">
        <v>800</v>
      </c>
      <c r="N157" s="33" t="n">
        <v>800</v>
      </c>
      <c r="O157" s="33" t="n">
        <v>800</v>
      </c>
      <c r="P157" s="33" t="n">
        <v>800</v>
      </c>
      <c r="Q157" s="33" t="n">
        <v>800</v>
      </c>
      <c r="R157" s="33" t="n">
        <v>800</v>
      </c>
      <c r="S157" s="33" t="n">
        <v>800</v>
      </c>
      <c r="T157" s="33" t="n">
        <v>800</v>
      </c>
      <c r="U157" s="33" t="n">
        <v>800</v>
      </c>
      <c r="V157" s="33" t="n">
        <v>800</v>
      </c>
      <c r="W157" s="33" t="n">
        <v>800</v>
      </c>
      <c r="X157" s="33" t="n">
        <v>800</v>
      </c>
      <c r="Y157" s="32" t="n">
        <f aca="false">SUM(L157:X157)</f>
        <v>15600</v>
      </c>
      <c r="Z157" s="8" t="n">
        <f aca="false">VLOOKUP(A157,справочник!$E$2:$F$322,2,0)</f>
        <v>0</v>
      </c>
    </row>
    <row collapsed="false" customFormat="false" customHeight="false" hidden="true" ht="15" outlineLevel="0" r="158">
      <c r="A158" s="19" t="n">
        <f aca="false">VLOOKUP(B158,справочник!$B$2:$E$322,4,0)</f>
        <v>220</v>
      </c>
      <c r="B158" s="0" t="e">
        <f aca="false">CONCATENATE(C158;D158)</f>
        <v>#VALUE!</v>
      </c>
      <c r="C158" s="24" t="n">
        <v>229</v>
      </c>
      <c r="D158" s="29" t="s">
        <v>108</v>
      </c>
      <c r="E158" s="24" t="s">
        <v>521</v>
      </c>
      <c r="F158" s="30" t="n">
        <v>41800</v>
      </c>
      <c r="G158" s="30" t="n">
        <v>41821</v>
      </c>
      <c r="H158" s="31" t="n">
        <f aca="false">INT(($H$327-G158)/30)</f>
        <v>18</v>
      </c>
      <c r="I158" s="24" t="n">
        <f aca="false">H158*1000</f>
        <v>18000</v>
      </c>
      <c r="J158" s="31" t="n">
        <f aca="false">1000</f>
        <v>1000</v>
      </c>
      <c r="K158" s="31"/>
      <c r="L158" s="32" t="n">
        <f aca="false">I158-J158-K158</f>
        <v>17000</v>
      </c>
      <c r="M158" s="33" t="n">
        <v>800</v>
      </c>
      <c r="N158" s="33" t="n">
        <v>800</v>
      </c>
      <c r="O158" s="33" t="n">
        <v>800</v>
      </c>
      <c r="P158" s="33" t="n">
        <v>800</v>
      </c>
      <c r="Q158" s="33" t="n">
        <v>800</v>
      </c>
      <c r="R158" s="33" t="n">
        <v>800</v>
      </c>
      <c r="S158" s="33" t="n">
        <v>800</v>
      </c>
      <c r="T158" s="33" t="n">
        <v>800</v>
      </c>
      <c r="U158" s="33" t="n">
        <v>800</v>
      </c>
      <c r="V158" s="33" t="n">
        <v>800</v>
      </c>
      <c r="W158" s="33" t="n">
        <v>800</v>
      </c>
      <c r="X158" s="33" t="n">
        <v>800</v>
      </c>
      <c r="Y158" s="32" t="n">
        <f aca="false">SUM(L158:X158)</f>
        <v>26600</v>
      </c>
      <c r="Z158" s="8" t="n">
        <f aca="false">VLOOKUP(A158,справочник!$E$2:$F$322,2,0)</f>
        <v>0</v>
      </c>
    </row>
    <row collapsed="false" customFormat="false" customHeight="false" hidden="true" ht="15" outlineLevel="0" r="159">
      <c r="A159" s="19" t="n">
        <f aca="false">VLOOKUP(B159,справочник!$B$2:$E$322,4,0)</f>
        <v>3</v>
      </c>
      <c r="B159" s="0" t="e">
        <f aca="false">CONCATENATE(C159;D159)</f>
        <v>#VALUE!</v>
      </c>
      <c r="C159" s="24" t="n">
        <v>3</v>
      </c>
      <c r="D159" s="29" t="s">
        <v>90</v>
      </c>
      <c r="E159" s="24" t="s">
        <v>522</v>
      </c>
      <c r="F159" s="30" t="n">
        <v>41954</v>
      </c>
      <c r="G159" s="30" t="n">
        <v>41609</v>
      </c>
      <c r="H159" s="31" t="n">
        <f aca="false">INT(($H$327-G159)/30)</f>
        <v>25</v>
      </c>
      <c r="I159" s="24" t="n">
        <f aca="false">H159*1000</f>
        <v>25000</v>
      </c>
      <c r="J159" s="31" t="n">
        <f aca="false">4000</f>
        <v>4000</v>
      </c>
      <c r="K159" s="31"/>
      <c r="L159" s="32" t="n">
        <f aca="false">I159-J159-K159</f>
        <v>21000</v>
      </c>
      <c r="M159" s="33" t="n">
        <v>800</v>
      </c>
      <c r="N159" s="33" t="n">
        <v>800</v>
      </c>
      <c r="O159" s="33" t="n">
        <v>800</v>
      </c>
      <c r="P159" s="33" t="n">
        <v>800</v>
      </c>
      <c r="Q159" s="33" t="n">
        <v>800</v>
      </c>
      <c r="R159" s="33" t="n">
        <v>800</v>
      </c>
      <c r="S159" s="33" t="n">
        <v>800</v>
      </c>
      <c r="T159" s="33" t="n">
        <v>800</v>
      </c>
      <c r="U159" s="33" t="n">
        <v>800</v>
      </c>
      <c r="V159" s="33" t="n">
        <v>800</v>
      </c>
      <c r="W159" s="33" t="n">
        <v>800</v>
      </c>
      <c r="X159" s="33" t="n">
        <v>800</v>
      </c>
      <c r="Y159" s="32" t="n">
        <f aca="false">SUM(L159:X159)</f>
        <v>30600</v>
      </c>
      <c r="Z159" s="8" t="n">
        <f aca="false">VLOOKUP(A159,справочник!$E$2:$F$322,2,0)</f>
        <v>0</v>
      </c>
    </row>
    <row collapsed="false" customFormat="false" customHeight="false" hidden="true" ht="15" outlineLevel="0" r="160">
      <c r="A160" s="19" t="n">
        <f aca="false">VLOOKUP(B160,справочник!$B$2:$E$322,4,0)</f>
        <v>158</v>
      </c>
      <c r="B160" s="0" t="e">
        <f aca="false">CONCATENATE(C160;D160)</f>
        <v>#VALUE!</v>
      </c>
      <c r="C160" s="24" t="n">
        <v>166</v>
      </c>
      <c r="D160" s="29" t="s">
        <v>84</v>
      </c>
      <c r="E160" s="24" t="s">
        <v>523</v>
      </c>
      <c r="F160" s="30" t="n">
        <v>41660</v>
      </c>
      <c r="G160" s="30" t="n">
        <v>41671</v>
      </c>
      <c r="H160" s="31" t="n">
        <f aca="false">INT(($H$327-G160)/30)</f>
        <v>23</v>
      </c>
      <c r="I160" s="24" t="n">
        <f aca="false">H160*1000</f>
        <v>23000</v>
      </c>
      <c r="J160" s="31" t="n">
        <f aca="false">1000</f>
        <v>1000</v>
      </c>
      <c r="K160" s="31"/>
      <c r="L160" s="32" t="n">
        <f aca="false">I160-J160-K160</f>
        <v>22000</v>
      </c>
      <c r="M160" s="33" t="n">
        <v>800</v>
      </c>
      <c r="N160" s="33" t="n">
        <v>800</v>
      </c>
      <c r="O160" s="33" t="n">
        <v>800</v>
      </c>
      <c r="P160" s="33" t="n">
        <v>800</v>
      </c>
      <c r="Q160" s="33" t="n">
        <v>800</v>
      </c>
      <c r="R160" s="33" t="n">
        <v>800</v>
      </c>
      <c r="S160" s="33" t="n">
        <v>800</v>
      </c>
      <c r="T160" s="33" t="n">
        <v>800</v>
      </c>
      <c r="U160" s="33" t="n">
        <v>800</v>
      </c>
      <c r="V160" s="33" t="n">
        <v>800</v>
      </c>
      <c r="W160" s="33" t="n">
        <v>800</v>
      </c>
      <c r="X160" s="33" t="n">
        <v>800</v>
      </c>
      <c r="Y160" s="32" t="n">
        <f aca="false">SUM(L160:X160)</f>
        <v>31600</v>
      </c>
      <c r="Z160" s="8" t="n">
        <f aca="false">VLOOKUP(A160,справочник!$E$2:$F$322,2,0)</f>
        <v>0</v>
      </c>
    </row>
    <row collapsed="false" customFormat="false" customHeight="false" hidden="true" ht="15" outlineLevel="0" r="161">
      <c r="A161" s="19" t="n">
        <f aca="false">VLOOKUP(B161,справочник!$B$2:$E$322,4,0)</f>
        <v>139</v>
      </c>
      <c r="B161" s="0" t="e">
        <f aca="false">CONCATENATE(C161;D161)</f>
        <v>#VALUE!</v>
      </c>
      <c r="C161" s="24" t="n">
        <v>149</v>
      </c>
      <c r="D161" s="29" t="s">
        <v>51</v>
      </c>
      <c r="E161" s="24" t="s">
        <v>524</v>
      </c>
      <c r="F161" s="34" t="n">
        <v>40715</v>
      </c>
      <c r="G161" s="34" t="n">
        <v>40725</v>
      </c>
      <c r="H161" s="35" t="n">
        <f aca="false">INT(($H$327-G161)/30)</f>
        <v>54</v>
      </c>
      <c r="I161" s="36" t="n">
        <f aca="false">H161*1000</f>
        <v>54000</v>
      </c>
      <c r="J161" s="35" t="n">
        <v>54000</v>
      </c>
      <c r="K161" s="35"/>
      <c r="L161" s="37" t="n">
        <f aca="false">I161-J161-K161</f>
        <v>0</v>
      </c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2" t="n">
        <f aca="false">SUM(L161:X161)</f>
        <v>0</v>
      </c>
      <c r="Z161" s="8" t="n">
        <f aca="false">VLOOKUP(A161,справочник!$E$2:$F$322,2,0)</f>
        <v>1</v>
      </c>
    </row>
    <row collapsed="false" customFormat="false" customHeight="false" hidden="true" ht="15" outlineLevel="0" r="162">
      <c r="A162" s="19" t="n">
        <f aca="false">VLOOKUP(B162,справочник!$B$2:$E$322,4,0)</f>
        <v>139</v>
      </c>
      <c r="B162" s="0" t="e">
        <f aca="false">CONCATENATE(C162;D162)</f>
        <v>#VALUE!</v>
      </c>
      <c r="C162" s="24" t="n">
        <v>147</v>
      </c>
      <c r="D162" s="29" t="s">
        <v>51</v>
      </c>
      <c r="E162" s="24" t="s">
        <v>525</v>
      </c>
      <c r="F162" s="34" t="n">
        <v>40715</v>
      </c>
      <c r="G162" s="34" t="n">
        <v>40725</v>
      </c>
      <c r="H162" s="35" t="n">
        <f aca="false">INT(($H$327-G162)/30)</f>
        <v>54</v>
      </c>
      <c r="I162" s="36" t="n">
        <f aca="false">H162*1000</f>
        <v>54000</v>
      </c>
      <c r="J162" s="35" t="n">
        <v>54000</v>
      </c>
      <c r="K162" s="35"/>
      <c r="L162" s="37" t="n">
        <f aca="false">I162-J162-K162</f>
        <v>0</v>
      </c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2" t="n">
        <f aca="false">SUM(L162:X162)</f>
        <v>0</v>
      </c>
      <c r="Z162" s="8" t="n">
        <f aca="false">VLOOKUP(A162,справочник!$E$2:$F$322,2,0)</f>
        <v>1</v>
      </c>
    </row>
    <row collapsed="false" customFormat="false" customHeight="false" hidden="true" ht="15" outlineLevel="0" r="163">
      <c r="A163" s="19" t="n">
        <f aca="false">VLOOKUP(B163,справочник!$B$2:$E$322,4,0)</f>
        <v>139</v>
      </c>
      <c r="B163" s="0" t="e">
        <f aca="false">CONCATENATE(C163;D163)</f>
        <v>#VALUE!</v>
      </c>
      <c r="C163" s="24" t="n">
        <v>148</v>
      </c>
      <c r="D163" s="29" t="s">
        <v>51</v>
      </c>
      <c r="E163" s="24" t="s">
        <v>526</v>
      </c>
      <c r="F163" s="34" t="n">
        <v>40715</v>
      </c>
      <c r="G163" s="34" t="n">
        <v>40725</v>
      </c>
      <c r="H163" s="35" t="n">
        <f aca="false">INT(($H$327-G163)/30)</f>
        <v>54</v>
      </c>
      <c r="I163" s="36" t="n">
        <f aca="false">H163*1000</f>
        <v>54000</v>
      </c>
      <c r="J163" s="35" t="n">
        <f aca="false">11000+4000</f>
        <v>15000</v>
      </c>
      <c r="K163" s="35"/>
      <c r="L163" s="37" t="n">
        <f aca="false">I163-J163-K163</f>
        <v>39000</v>
      </c>
      <c r="M163" s="33" t="n">
        <v>800</v>
      </c>
      <c r="N163" s="33" t="n">
        <v>800</v>
      </c>
      <c r="O163" s="33" t="n">
        <v>800</v>
      </c>
      <c r="P163" s="33" t="n">
        <v>800</v>
      </c>
      <c r="Q163" s="33" t="n">
        <v>800</v>
      </c>
      <c r="R163" s="33" t="n">
        <v>800</v>
      </c>
      <c r="S163" s="33" t="n">
        <v>800</v>
      </c>
      <c r="T163" s="33" t="n">
        <v>800</v>
      </c>
      <c r="U163" s="33" t="n">
        <v>800</v>
      </c>
      <c r="V163" s="33" t="n">
        <v>800</v>
      </c>
      <c r="W163" s="33" t="n">
        <v>800</v>
      </c>
      <c r="X163" s="33" t="n">
        <v>800</v>
      </c>
      <c r="Y163" s="32" t="n">
        <f aca="false">SUM(L163:X163)</f>
        <v>48600</v>
      </c>
      <c r="Z163" s="8" t="n">
        <f aca="false">VLOOKUP(A163,справочник!$E$2:$F$322,2,0)</f>
        <v>1</v>
      </c>
    </row>
    <row collapsed="false" customFormat="false" customHeight="false" hidden="true" ht="15" outlineLevel="0" r="164">
      <c r="A164" s="19" t="n">
        <f aca="false">VLOOKUP(B164,справочник!$B$2:$E$322,4,0)</f>
        <v>261</v>
      </c>
      <c r="B164" s="0" t="e">
        <f aca="false">CONCATENATE(C164;D164)</f>
        <v>#VALUE!</v>
      </c>
      <c r="C164" s="24" t="n">
        <v>274</v>
      </c>
      <c r="D164" s="29" t="s">
        <v>72</v>
      </c>
      <c r="E164" s="24" t="s">
        <v>527</v>
      </c>
      <c r="F164" s="34" t="n">
        <v>41373</v>
      </c>
      <c r="G164" s="34" t="n">
        <v>41395</v>
      </c>
      <c r="H164" s="35" t="n">
        <f aca="false">INT(($H$327-G164)/30)</f>
        <v>32</v>
      </c>
      <c r="I164" s="36" t="n">
        <f aca="false">H164*1000</f>
        <v>32000</v>
      </c>
      <c r="J164" s="35" t="n">
        <v>19000</v>
      </c>
      <c r="K164" s="35"/>
      <c r="L164" s="37" t="n">
        <f aca="false">I164-J164-K164</f>
        <v>13000</v>
      </c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2" t="n">
        <f aca="false">SUM(L164:X164)</f>
        <v>13000</v>
      </c>
      <c r="Z164" s="8" t="n">
        <f aca="false">VLOOKUP(A164,справочник!$E$2:$F$322,2,0)</f>
        <v>1</v>
      </c>
    </row>
    <row collapsed="false" customFormat="false" customHeight="false" hidden="true" ht="15" outlineLevel="0" r="165">
      <c r="A165" s="19" t="n">
        <f aca="false">VLOOKUP(B165,справочник!$B$2:$E$322,4,0)</f>
        <v>261</v>
      </c>
      <c r="B165" s="0" t="e">
        <f aca="false">CONCATENATE(C165;D165)</f>
        <v>#VALUE!</v>
      </c>
      <c r="C165" s="24" t="n">
        <v>275</v>
      </c>
      <c r="D165" s="29" t="s">
        <v>72</v>
      </c>
      <c r="E165" s="24"/>
      <c r="F165" s="34" t="n">
        <v>41016</v>
      </c>
      <c r="G165" s="34" t="n">
        <v>41000</v>
      </c>
      <c r="H165" s="35" t="n">
        <f aca="false">INT(($H$327-G165)/30)</f>
        <v>45</v>
      </c>
      <c r="I165" s="36" t="n">
        <f aca="false">H165*1000</f>
        <v>45000</v>
      </c>
      <c r="J165" s="35" t="n">
        <f aca="false">9000+19000</f>
        <v>28000</v>
      </c>
      <c r="K165" s="35"/>
      <c r="L165" s="37" t="n">
        <f aca="false">I165-J165-K165</f>
        <v>17000</v>
      </c>
      <c r="M165" s="33" t="n">
        <v>800</v>
      </c>
      <c r="N165" s="33" t="n">
        <v>800</v>
      </c>
      <c r="O165" s="33" t="n">
        <v>800</v>
      </c>
      <c r="P165" s="33" t="n">
        <v>800</v>
      </c>
      <c r="Q165" s="33" t="n">
        <v>800</v>
      </c>
      <c r="R165" s="33" t="n">
        <v>800</v>
      </c>
      <c r="S165" s="33" t="n">
        <v>800</v>
      </c>
      <c r="T165" s="33" t="n">
        <v>800</v>
      </c>
      <c r="U165" s="33" t="n">
        <v>800</v>
      </c>
      <c r="V165" s="33" t="n">
        <v>800</v>
      </c>
      <c r="W165" s="33" t="n">
        <v>800</v>
      </c>
      <c r="X165" s="33" t="n">
        <v>800</v>
      </c>
      <c r="Y165" s="32" t="n">
        <f aca="false">SUM(L165:X165)</f>
        <v>26600</v>
      </c>
      <c r="Z165" s="8" t="n">
        <f aca="false">VLOOKUP(A165,справочник!$E$2:$F$322,2,0)</f>
        <v>1</v>
      </c>
    </row>
    <row collapsed="false" customFormat="false" customHeight="false" hidden="true" ht="15" outlineLevel="0" r="166">
      <c r="A166" s="19" t="n">
        <f aca="false">VLOOKUP(B166,справочник!$B$2:$E$322,4,0)</f>
        <v>288</v>
      </c>
      <c r="B166" s="0" t="e">
        <f aca="false">CONCATENATE(C166;D166)</f>
        <v>#VALUE!</v>
      </c>
      <c r="C166" s="24" t="n">
        <v>300</v>
      </c>
      <c r="D166" s="29" t="s">
        <v>66</v>
      </c>
      <c r="E166" s="24" t="s">
        <v>528</v>
      </c>
      <c r="F166" s="30" t="n">
        <v>41513</v>
      </c>
      <c r="G166" s="30" t="n">
        <v>41518</v>
      </c>
      <c r="H166" s="31" t="n">
        <f aca="false">INT(($H$327-G166)/30)</f>
        <v>28</v>
      </c>
      <c r="I166" s="24" t="n">
        <f aca="false">H166*1000</f>
        <v>28000</v>
      </c>
      <c r="J166" s="31"/>
      <c r="K166" s="31"/>
      <c r="L166" s="32" t="n">
        <f aca="false">I166-J166-K166</f>
        <v>28000</v>
      </c>
      <c r="M166" s="33" t="n">
        <v>800</v>
      </c>
      <c r="N166" s="33" t="n">
        <v>800</v>
      </c>
      <c r="O166" s="33" t="n">
        <v>800</v>
      </c>
      <c r="P166" s="33" t="n">
        <v>800</v>
      </c>
      <c r="Q166" s="33" t="n">
        <v>800</v>
      </c>
      <c r="R166" s="33" t="n">
        <v>800</v>
      </c>
      <c r="S166" s="33" t="n">
        <v>800</v>
      </c>
      <c r="T166" s="33" t="n">
        <v>800</v>
      </c>
      <c r="U166" s="33" t="n">
        <v>800</v>
      </c>
      <c r="V166" s="33" t="n">
        <v>800</v>
      </c>
      <c r="W166" s="33" t="n">
        <v>800</v>
      </c>
      <c r="X166" s="33" t="n">
        <v>800</v>
      </c>
      <c r="Y166" s="32" t="n">
        <f aca="false">SUM(L166:X166)</f>
        <v>37600</v>
      </c>
      <c r="Z166" s="8" t="n">
        <f aca="false">VLOOKUP(A166,справочник!$E$2:$F$322,2,0)</f>
        <v>0</v>
      </c>
    </row>
    <row collapsed="false" customFormat="false" customHeight="false" hidden="true" ht="15" outlineLevel="0" r="167">
      <c r="A167" s="19" t="n">
        <f aca="false">VLOOKUP(B167,справочник!$B$2:$E$322,4,0)</f>
        <v>166</v>
      </c>
      <c r="B167" s="0" t="e">
        <f aca="false">CONCATENATE(C167;D167)</f>
        <v>#VALUE!</v>
      </c>
      <c r="C167" s="24" t="n">
        <v>174</v>
      </c>
      <c r="D167" s="29" t="s">
        <v>138</v>
      </c>
      <c r="E167" s="24" t="s">
        <v>529</v>
      </c>
      <c r="F167" s="30" t="n">
        <v>41829</v>
      </c>
      <c r="G167" s="30" t="n">
        <v>41852</v>
      </c>
      <c r="H167" s="31" t="n">
        <f aca="false">INT(($H$327-G167)/30)</f>
        <v>17</v>
      </c>
      <c r="I167" s="24" t="n">
        <f aca="false">H167*1000</f>
        <v>17000</v>
      </c>
      <c r="J167" s="31" t="n">
        <v>5000</v>
      </c>
      <c r="K167" s="31"/>
      <c r="L167" s="32" t="n">
        <f aca="false">I167-J167-K167</f>
        <v>12000</v>
      </c>
      <c r="M167" s="33" t="n">
        <v>800</v>
      </c>
      <c r="N167" s="33" t="n">
        <v>800</v>
      </c>
      <c r="O167" s="33" t="n">
        <v>800</v>
      </c>
      <c r="P167" s="33" t="n">
        <v>800</v>
      </c>
      <c r="Q167" s="33" t="n">
        <v>800</v>
      </c>
      <c r="R167" s="33" t="n">
        <v>800</v>
      </c>
      <c r="S167" s="33" t="n">
        <v>800</v>
      </c>
      <c r="T167" s="33" t="n">
        <v>800</v>
      </c>
      <c r="U167" s="33" t="n">
        <v>800</v>
      </c>
      <c r="V167" s="33" t="n">
        <v>800</v>
      </c>
      <c r="W167" s="33" t="n">
        <v>800</v>
      </c>
      <c r="X167" s="33" t="n">
        <v>800</v>
      </c>
      <c r="Y167" s="32" t="n">
        <f aca="false">SUM(L167:X167)</f>
        <v>21600</v>
      </c>
      <c r="Z167" s="8" t="n">
        <f aca="false">VLOOKUP(A167,справочник!$E$2:$F$322,2,0)</f>
        <v>0</v>
      </c>
    </row>
    <row collapsed="false" customFormat="false" customHeight="false" hidden="true" ht="15" outlineLevel="0" r="168">
      <c r="A168" s="19" t="n">
        <f aca="false">VLOOKUP(B168,справочник!$B$2:$E$322,4,0)</f>
        <v>118</v>
      </c>
      <c r="B168" s="0" t="e">
        <f aca="false">CONCATENATE(C168;D168)</f>
        <v>#VALUE!</v>
      </c>
      <c r="C168" s="24" t="n">
        <v>123</v>
      </c>
      <c r="D168" s="29" t="s">
        <v>167</v>
      </c>
      <c r="E168" s="24" t="s">
        <v>530</v>
      </c>
      <c r="F168" s="30" t="n">
        <v>41435</v>
      </c>
      <c r="G168" s="30" t="n">
        <v>41456</v>
      </c>
      <c r="H168" s="31" t="n">
        <f aca="false">INT(($H$327-G168)/30)</f>
        <v>30</v>
      </c>
      <c r="I168" s="24" t="n">
        <f aca="false">H168*1000</f>
        <v>30000</v>
      </c>
      <c r="J168" s="31" t="n">
        <v>23000</v>
      </c>
      <c r="K168" s="31"/>
      <c r="L168" s="32" t="n">
        <f aca="false">I168-J168-K168</f>
        <v>7000</v>
      </c>
      <c r="M168" s="33" t="n">
        <v>800</v>
      </c>
      <c r="N168" s="33" t="n">
        <v>800</v>
      </c>
      <c r="O168" s="33" t="n">
        <v>800</v>
      </c>
      <c r="P168" s="33" t="n">
        <v>800</v>
      </c>
      <c r="Q168" s="33" t="n">
        <v>800</v>
      </c>
      <c r="R168" s="33" t="n">
        <v>800</v>
      </c>
      <c r="S168" s="33" t="n">
        <v>800</v>
      </c>
      <c r="T168" s="33" t="n">
        <v>800</v>
      </c>
      <c r="U168" s="33" t="n">
        <v>800</v>
      </c>
      <c r="V168" s="33" t="n">
        <v>800</v>
      </c>
      <c r="W168" s="33" t="n">
        <v>800</v>
      </c>
      <c r="X168" s="33" t="n">
        <v>800</v>
      </c>
      <c r="Y168" s="32" t="n">
        <f aca="false">SUM(L168:X168)</f>
        <v>16600</v>
      </c>
      <c r="Z168" s="8" t="n">
        <f aca="false">VLOOKUP(A168,справочник!$E$2:$F$322,2,0)</f>
        <v>0</v>
      </c>
    </row>
    <row collapsed="false" customFormat="false" customHeight="false" hidden="true" ht="15" outlineLevel="0" r="169">
      <c r="A169" s="19" t="n">
        <f aca="false">VLOOKUP(B169,справочник!$B$2:$E$322,4,0)</f>
        <v>199</v>
      </c>
      <c r="B169" s="0" t="e">
        <f aca="false">CONCATENATE(C169;D169)</f>
        <v>#VALUE!</v>
      </c>
      <c r="C169" s="24" t="n">
        <v>207</v>
      </c>
      <c r="D169" s="29" t="s">
        <v>25</v>
      </c>
      <c r="E169" s="24" t="s">
        <v>531</v>
      </c>
      <c r="F169" s="34" t="n">
        <v>41036</v>
      </c>
      <c r="G169" s="34" t="n">
        <v>41030</v>
      </c>
      <c r="H169" s="35" t="n">
        <f aca="false">INT(($H$327-G169)/30)</f>
        <v>44</v>
      </c>
      <c r="I169" s="36" t="n">
        <f aca="false">H169*1000</f>
        <v>44000</v>
      </c>
      <c r="J169" s="35" t="n">
        <v>1000</v>
      </c>
      <c r="K169" s="35"/>
      <c r="L169" s="37" t="n">
        <f aca="false">I169-J169-K169</f>
        <v>43000</v>
      </c>
      <c r="M169" s="33" t="n">
        <v>800</v>
      </c>
      <c r="N169" s="33" t="n">
        <v>800</v>
      </c>
      <c r="O169" s="33" t="n">
        <v>800</v>
      </c>
      <c r="P169" s="33" t="n">
        <v>800</v>
      </c>
      <c r="Q169" s="33" t="n">
        <v>800</v>
      </c>
      <c r="R169" s="33" t="n">
        <v>800</v>
      </c>
      <c r="S169" s="33" t="n">
        <v>800</v>
      </c>
      <c r="T169" s="33" t="n">
        <v>800</v>
      </c>
      <c r="U169" s="33" t="n">
        <v>800</v>
      </c>
      <c r="V169" s="33" t="n">
        <v>800</v>
      </c>
      <c r="W169" s="33" t="n">
        <v>800</v>
      </c>
      <c r="X169" s="33" t="n">
        <v>800</v>
      </c>
      <c r="Y169" s="32" t="n">
        <f aca="false">SUM(L169:X169)</f>
        <v>52600</v>
      </c>
      <c r="Z169" s="8" t="n">
        <f aca="false">VLOOKUP(A169,справочник!$E$2:$F$322,2,0)</f>
        <v>1</v>
      </c>
    </row>
    <row collapsed="false" customFormat="false" customHeight="false" hidden="true" ht="15" outlineLevel="0" r="170">
      <c r="A170" s="19" t="n">
        <f aca="false">VLOOKUP(B170,справочник!$B$2:$E$322,4,0)</f>
        <v>199</v>
      </c>
      <c r="B170" s="0" t="e">
        <f aca="false">CONCATENATE(C170;D170)</f>
        <v>#VALUE!</v>
      </c>
      <c r="C170" s="24" t="n">
        <v>208</v>
      </c>
      <c r="D170" s="29" t="s">
        <v>25</v>
      </c>
      <c r="E170" s="24" t="s">
        <v>505</v>
      </c>
      <c r="F170" s="34" t="n">
        <v>41036</v>
      </c>
      <c r="G170" s="34" t="n">
        <v>41030</v>
      </c>
      <c r="H170" s="35" t="n">
        <f aca="false">INT(($H$327-G170)/30)</f>
        <v>44</v>
      </c>
      <c r="I170" s="36" t="n">
        <f aca="false">H170*1000</f>
        <v>44000</v>
      </c>
      <c r="J170" s="35" t="n">
        <v>1000</v>
      </c>
      <c r="K170" s="35"/>
      <c r="L170" s="37" t="n">
        <f aca="false">I170-J170-K170</f>
        <v>43000</v>
      </c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2" t="n">
        <f aca="false">SUM(L170:X170)</f>
        <v>43000</v>
      </c>
      <c r="Z170" s="8" t="n">
        <f aca="false">VLOOKUP(A170,справочник!$E$2:$F$322,2,0)</f>
        <v>1</v>
      </c>
    </row>
    <row collapsed="false" customFormat="false" customHeight="false" hidden="true" ht="15" outlineLevel="0" r="171">
      <c r="A171" s="19" t="n">
        <f aca="false">VLOOKUP(B171,справочник!$B$2:$E$322,4,0)</f>
        <v>164</v>
      </c>
      <c r="B171" s="0" t="e">
        <f aca="false">CONCATENATE(C171;D171)</f>
        <v>#VALUE!</v>
      </c>
      <c r="C171" s="24" t="n">
        <v>172</v>
      </c>
      <c r="D171" s="29" t="s">
        <v>73</v>
      </c>
      <c r="E171" s="24" t="s">
        <v>532</v>
      </c>
      <c r="F171" s="30" t="n">
        <v>41576</v>
      </c>
      <c r="G171" s="30" t="n">
        <v>41579</v>
      </c>
      <c r="H171" s="31" t="n">
        <f aca="false">INT(($H$327-G171)/30)</f>
        <v>26</v>
      </c>
      <c r="I171" s="24" t="n">
        <f aca="false">H171*1000</f>
        <v>26000</v>
      </c>
      <c r="J171" s="31" t="n">
        <v>1000</v>
      </c>
      <c r="K171" s="31"/>
      <c r="L171" s="32" t="n">
        <f aca="false">I171-J171-K171</f>
        <v>25000</v>
      </c>
      <c r="M171" s="33" t="n">
        <v>800</v>
      </c>
      <c r="N171" s="33" t="n">
        <v>800</v>
      </c>
      <c r="O171" s="33" t="n">
        <v>800</v>
      </c>
      <c r="P171" s="33" t="n">
        <v>800</v>
      </c>
      <c r="Q171" s="33" t="n">
        <v>800</v>
      </c>
      <c r="R171" s="33" t="n">
        <v>800</v>
      </c>
      <c r="S171" s="33" t="n">
        <v>800</v>
      </c>
      <c r="T171" s="33" t="n">
        <v>800</v>
      </c>
      <c r="U171" s="33" t="n">
        <v>800</v>
      </c>
      <c r="V171" s="33" t="n">
        <v>800</v>
      </c>
      <c r="W171" s="33" t="n">
        <v>800</v>
      </c>
      <c r="X171" s="33" t="n">
        <v>800</v>
      </c>
      <c r="Y171" s="32" t="n">
        <f aca="false">SUM(L171:X171)</f>
        <v>34600</v>
      </c>
      <c r="Z171" s="8" t="n">
        <f aca="false">VLOOKUP(A171,справочник!$E$2:$F$322,2,0)</f>
        <v>0</v>
      </c>
    </row>
    <row collapsed="false" customFormat="false" customHeight="false" hidden="true" ht="15" outlineLevel="0" r="172">
      <c r="A172" s="19" t="n">
        <f aca="false">VLOOKUP(B172,справочник!$B$2:$E$322,4,0)</f>
        <v>34</v>
      </c>
      <c r="B172" s="0" t="e">
        <f aca="false">CONCATENATE(C172;D172)</f>
        <v>#VALUE!</v>
      </c>
      <c r="C172" s="24" t="n">
        <v>34</v>
      </c>
      <c r="D172" s="29" t="s">
        <v>249</v>
      </c>
      <c r="E172" s="24" t="s">
        <v>533</v>
      </c>
      <c r="F172" s="30" t="n">
        <v>40781</v>
      </c>
      <c r="G172" s="30" t="n">
        <v>40787</v>
      </c>
      <c r="H172" s="31" t="n">
        <f aca="false">INT(($H$327-G172)/30)</f>
        <v>52</v>
      </c>
      <c r="I172" s="24" t="n">
        <f aca="false">H172*1000</f>
        <v>52000</v>
      </c>
      <c r="J172" s="31" t="n">
        <v>55000</v>
      </c>
      <c r="K172" s="31"/>
      <c r="L172" s="32" t="n">
        <f aca="false">I172-J172-K172</f>
        <v>-3000</v>
      </c>
      <c r="M172" s="33" t="n">
        <v>800</v>
      </c>
      <c r="N172" s="33" t="n">
        <v>800</v>
      </c>
      <c r="O172" s="33" t="n">
        <v>800</v>
      </c>
      <c r="P172" s="33" t="n">
        <v>800</v>
      </c>
      <c r="Q172" s="33" t="n">
        <v>800</v>
      </c>
      <c r="R172" s="33" t="n">
        <v>800</v>
      </c>
      <c r="S172" s="33" t="n">
        <v>800</v>
      </c>
      <c r="T172" s="33" t="n">
        <v>800</v>
      </c>
      <c r="U172" s="33" t="n">
        <v>800</v>
      </c>
      <c r="V172" s="33" t="n">
        <v>800</v>
      </c>
      <c r="W172" s="33" t="n">
        <v>800</v>
      </c>
      <c r="X172" s="33" t="n">
        <v>800</v>
      </c>
      <c r="Y172" s="32" t="n">
        <f aca="false">SUM(L172:X172)</f>
        <v>6600</v>
      </c>
      <c r="Z172" s="8" t="n">
        <f aca="false">VLOOKUP(A172,справочник!$E$2:$F$322,2,0)</f>
        <v>0</v>
      </c>
    </row>
    <row collapsed="false" customFormat="false" customHeight="false" hidden="true" ht="15" outlineLevel="0" r="173">
      <c r="A173" s="19" t="n">
        <f aca="false">VLOOKUP(B173,справочник!$B$2:$E$322,4,0)</f>
        <v>13</v>
      </c>
      <c r="B173" s="0" t="e">
        <f aca="false">CONCATENATE(C173;D173)</f>
        <v>#VALUE!</v>
      </c>
      <c r="C173" s="24" t="n">
        <v>13</v>
      </c>
      <c r="D173" s="29" t="s">
        <v>116</v>
      </c>
      <c r="E173" s="24" t="s">
        <v>534</v>
      </c>
      <c r="F173" s="30" t="n">
        <v>41464</v>
      </c>
      <c r="G173" s="30" t="n">
        <v>41487</v>
      </c>
      <c r="H173" s="31" t="n">
        <f aca="false">INT(($H$327-G173)/30)</f>
        <v>29</v>
      </c>
      <c r="I173" s="24" t="n">
        <f aca="false">H173*1000</f>
        <v>29000</v>
      </c>
      <c r="J173" s="31" t="n">
        <v>13000</v>
      </c>
      <c r="K173" s="31"/>
      <c r="L173" s="32" t="n">
        <f aca="false">I173-J173-K173</f>
        <v>16000</v>
      </c>
      <c r="M173" s="33" t="n">
        <v>800</v>
      </c>
      <c r="N173" s="33" t="n">
        <v>800</v>
      </c>
      <c r="O173" s="33" t="n">
        <v>800</v>
      </c>
      <c r="P173" s="33" t="n">
        <v>800</v>
      </c>
      <c r="Q173" s="33" t="n">
        <v>800</v>
      </c>
      <c r="R173" s="33" t="n">
        <v>800</v>
      </c>
      <c r="S173" s="33" t="n">
        <v>800</v>
      </c>
      <c r="T173" s="33" t="n">
        <v>800</v>
      </c>
      <c r="U173" s="33" t="n">
        <v>800</v>
      </c>
      <c r="V173" s="33" t="n">
        <v>800</v>
      </c>
      <c r="W173" s="33" t="n">
        <v>800</v>
      </c>
      <c r="X173" s="33" t="n">
        <v>800</v>
      </c>
      <c r="Y173" s="32" t="n">
        <f aca="false">SUM(L173:X173)</f>
        <v>25600</v>
      </c>
      <c r="Z173" s="8" t="n">
        <f aca="false">VLOOKUP(A173,справочник!$E$2:$F$322,2,0)</f>
        <v>0</v>
      </c>
    </row>
    <row collapsed="false" customFormat="false" customHeight="false" hidden="true" ht="15" outlineLevel="0" r="174">
      <c r="A174" s="19" t="n">
        <f aca="false">VLOOKUP(B174,справочник!$B$2:$E$322,4,0)</f>
        <v>273</v>
      </c>
      <c r="B174" s="0" t="e">
        <f aca="false">CONCATENATE(C174;D174)</f>
        <v>#VALUE!</v>
      </c>
      <c r="C174" s="24" t="n">
        <v>286</v>
      </c>
      <c r="D174" s="43" t="s">
        <v>257</v>
      </c>
      <c r="E174" s="24" t="s">
        <v>535</v>
      </c>
      <c r="F174" s="30" t="n">
        <v>41992</v>
      </c>
      <c r="G174" s="30" t="n">
        <v>42005</v>
      </c>
      <c r="H174" s="31" t="n">
        <f aca="false">INT(($H$327-G174)/30)</f>
        <v>12</v>
      </c>
      <c r="I174" s="24" t="n">
        <f aca="false">H174*1000</f>
        <v>12000</v>
      </c>
      <c r="J174" s="31" t="n">
        <v>8000</v>
      </c>
      <c r="K174" s="31"/>
      <c r="L174" s="32" t="n">
        <f aca="false">I174-J174-K174</f>
        <v>4000</v>
      </c>
      <c r="M174" s="33" t="n">
        <v>800</v>
      </c>
      <c r="N174" s="33" t="n">
        <v>800</v>
      </c>
      <c r="O174" s="33" t="n">
        <v>800</v>
      </c>
      <c r="P174" s="33" t="n">
        <v>800</v>
      </c>
      <c r="Q174" s="33" t="n">
        <v>800</v>
      </c>
      <c r="R174" s="33" t="n">
        <v>800</v>
      </c>
      <c r="S174" s="33" t="n">
        <v>800</v>
      </c>
      <c r="T174" s="33" t="n">
        <v>800</v>
      </c>
      <c r="U174" s="33" t="n">
        <v>800</v>
      </c>
      <c r="V174" s="33" t="n">
        <v>800</v>
      </c>
      <c r="W174" s="33" t="n">
        <v>800</v>
      </c>
      <c r="X174" s="33" t="n">
        <v>800</v>
      </c>
      <c r="Y174" s="32" t="n">
        <f aca="false">SUM(L174:X174)</f>
        <v>13600</v>
      </c>
      <c r="Z174" s="8" t="n">
        <f aca="false">VLOOKUP(A174,справочник!$E$2:$F$322,2,0)</f>
        <v>0</v>
      </c>
    </row>
    <row collapsed="false" customFormat="false" customHeight="false" hidden="true" ht="15" outlineLevel="0" r="175">
      <c r="A175" s="19" t="n">
        <f aca="false">VLOOKUP(B175,справочник!$B$2:$E$322,4,0)</f>
        <v>87</v>
      </c>
      <c r="B175" s="0" t="e">
        <f aca="false">CONCATENATE(C175;D175)</f>
        <v>#VALUE!</v>
      </c>
      <c r="C175" s="24" t="n">
        <v>92</v>
      </c>
      <c r="D175" s="29" t="s">
        <v>188</v>
      </c>
      <c r="E175" s="24" t="s">
        <v>536</v>
      </c>
      <c r="F175" s="30" t="n">
        <v>41144</v>
      </c>
      <c r="G175" s="30" t="n">
        <v>41153</v>
      </c>
      <c r="H175" s="31" t="n">
        <f aca="false">INT(($H$327-G175)/30)</f>
        <v>40</v>
      </c>
      <c r="I175" s="24" t="n">
        <f aca="false">H175*1000</f>
        <v>40000</v>
      </c>
      <c r="J175" s="31" t="n">
        <v>37000</v>
      </c>
      <c r="K175" s="31"/>
      <c r="L175" s="32" t="n">
        <f aca="false">I175-J175-K175</f>
        <v>3000</v>
      </c>
      <c r="M175" s="33" t="n">
        <v>800</v>
      </c>
      <c r="N175" s="33" t="n">
        <v>800</v>
      </c>
      <c r="O175" s="33" t="n">
        <v>800</v>
      </c>
      <c r="P175" s="33" t="n">
        <v>800</v>
      </c>
      <c r="Q175" s="33" t="n">
        <v>800</v>
      </c>
      <c r="R175" s="33" t="n">
        <v>800</v>
      </c>
      <c r="S175" s="33" t="n">
        <v>800</v>
      </c>
      <c r="T175" s="33" t="n">
        <v>800</v>
      </c>
      <c r="U175" s="33" t="n">
        <v>800</v>
      </c>
      <c r="V175" s="33" t="n">
        <v>800</v>
      </c>
      <c r="W175" s="33" t="n">
        <v>800</v>
      </c>
      <c r="X175" s="33" t="n">
        <v>800</v>
      </c>
      <c r="Y175" s="32" t="n">
        <f aca="false">SUM(L175:X175)</f>
        <v>12600</v>
      </c>
      <c r="Z175" s="8" t="n">
        <f aca="false">VLOOKUP(A175,справочник!$E$2:$F$322,2,0)</f>
        <v>0</v>
      </c>
    </row>
    <row collapsed="false" customFormat="false" customHeight="false" hidden="true" ht="15" outlineLevel="0" r="176">
      <c r="A176" s="19" t="n">
        <f aca="false">VLOOKUP(B176,справочник!$B$2:$E$322,4,0)</f>
        <v>154</v>
      </c>
      <c r="B176" s="0" t="e">
        <f aca="false">CONCATENATE(C176;D176)</f>
        <v>#VALUE!</v>
      </c>
      <c r="C176" s="24" t="n">
        <v>162</v>
      </c>
      <c r="D176" s="29" t="s">
        <v>224</v>
      </c>
      <c r="E176" s="24" t="s">
        <v>519</v>
      </c>
      <c r="F176" s="30" t="n">
        <v>40720</v>
      </c>
      <c r="G176" s="30" t="n">
        <v>40725</v>
      </c>
      <c r="H176" s="31" t="n">
        <f aca="false">INT(($H$327-G176)/30)</f>
        <v>54</v>
      </c>
      <c r="I176" s="24" t="n">
        <f aca="false">H176*1000</f>
        <v>54000</v>
      </c>
      <c r="J176" s="31" t="n">
        <v>50000</v>
      </c>
      <c r="K176" s="31"/>
      <c r="L176" s="32" t="n">
        <f aca="false">I176-J176-K176</f>
        <v>4000</v>
      </c>
      <c r="M176" s="33" t="n">
        <v>800</v>
      </c>
      <c r="N176" s="33" t="n">
        <v>800</v>
      </c>
      <c r="O176" s="33" t="n">
        <v>800</v>
      </c>
      <c r="P176" s="33" t="n">
        <v>800</v>
      </c>
      <c r="Q176" s="33" t="n">
        <v>800</v>
      </c>
      <c r="R176" s="33" t="n">
        <v>800</v>
      </c>
      <c r="S176" s="33" t="n">
        <v>800</v>
      </c>
      <c r="T176" s="33" t="n">
        <v>800</v>
      </c>
      <c r="U176" s="33" t="n">
        <v>800</v>
      </c>
      <c r="V176" s="33" t="n">
        <v>800</v>
      </c>
      <c r="W176" s="33" t="n">
        <v>800</v>
      </c>
      <c r="X176" s="33" t="n">
        <v>800</v>
      </c>
      <c r="Y176" s="32" t="n">
        <f aca="false">SUM(L176:X176)</f>
        <v>13600</v>
      </c>
      <c r="Z176" s="8" t="n">
        <f aca="false">VLOOKUP(A176,справочник!$E$2:$F$322,2,0)</f>
        <v>0</v>
      </c>
    </row>
    <row collapsed="false" customFormat="false" customHeight="false" hidden="true" ht="15" outlineLevel="0" r="177">
      <c r="A177" s="19" t="n">
        <f aca="false">VLOOKUP(B177,справочник!$B$2:$E$322,4,0)</f>
        <v>270</v>
      </c>
      <c r="B177" s="0" t="e">
        <f aca="false">CONCATENATE(C177;D177)</f>
        <v>#VALUE!</v>
      </c>
      <c r="C177" s="24" t="n">
        <v>283</v>
      </c>
      <c r="D177" s="29" t="s">
        <v>151</v>
      </c>
      <c r="E177" s="24" t="s">
        <v>537</v>
      </c>
      <c r="F177" s="30" t="n">
        <v>41422</v>
      </c>
      <c r="G177" s="30" t="n">
        <v>41456</v>
      </c>
      <c r="H177" s="31" t="n">
        <f aca="false">INT(($H$327-G177)/30)</f>
        <v>30</v>
      </c>
      <c r="I177" s="24" t="n">
        <f aca="false">H177*1000</f>
        <v>30000</v>
      </c>
      <c r="J177" s="31" t="n">
        <v>20000</v>
      </c>
      <c r="K177" s="31"/>
      <c r="L177" s="32" t="n">
        <f aca="false">I177-J177-K177</f>
        <v>10000</v>
      </c>
      <c r="M177" s="33" t="n">
        <v>800</v>
      </c>
      <c r="N177" s="33" t="n">
        <v>800</v>
      </c>
      <c r="O177" s="33" t="n">
        <v>800</v>
      </c>
      <c r="P177" s="33" t="n">
        <v>800</v>
      </c>
      <c r="Q177" s="33" t="n">
        <v>800</v>
      </c>
      <c r="R177" s="33" t="n">
        <v>800</v>
      </c>
      <c r="S177" s="33" t="n">
        <v>800</v>
      </c>
      <c r="T177" s="33" t="n">
        <v>800</v>
      </c>
      <c r="U177" s="33" t="n">
        <v>800</v>
      </c>
      <c r="V177" s="33" t="n">
        <v>800</v>
      </c>
      <c r="W177" s="33" t="n">
        <v>800</v>
      </c>
      <c r="X177" s="33" t="n">
        <v>800</v>
      </c>
      <c r="Y177" s="32" t="n">
        <f aca="false">SUM(L177:X177)</f>
        <v>19600</v>
      </c>
      <c r="Z177" s="8" t="n">
        <f aca="false">VLOOKUP(A177,справочник!$E$2:$F$322,2,0)</f>
        <v>0</v>
      </c>
    </row>
    <row collapsed="false" customFormat="false" customHeight="false" hidden="true" ht="15" outlineLevel="0" r="178">
      <c r="A178" s="19" t="n">
        <f aca="false">VLOOKUP(B178,справочник!$B$2:$E$322,4,0)</f>
        <v>9</v>
      </c>
      <c r="B178" s="0" t="e">
        <f aca="false">CONCATENATE(C178;D178)</f>
        <v>#VALUE!</v>
      </c>
      <c r="C178" s="24" t="n">
        <v>9</v>
      </c>
      <c r="D178" s="29" t="s">
        <v>132</v>
      </c>
      <c r="E178" s="24" t="s">
        <v>538</v>
      </c>
      <c r="F178" s="30" t="n">
        <v>41114</v>
      </c>
      <c r="G178" s="30" t="n">
        <v>41122</v>
      </c>
      <c r="H178" s="31" t="n">
        <f aca="false">INT(($H$327-G178)/30)</f>
        <v>41</v>
      </c>
      <c r="I178" s="24" t="n">
        <f aca="false">H178*1000</f>
        <v>41000</v>
      </c>
      <c r="J178" s="31" t="n">
        <v>18000</v>
      </c>
      <c r="K178" s="31"/>
      <c r="L178" s="32" t="n">
        <f aca="false">I178-J178-K178</f>
        <v>23000</v>
      </c>
      <c r="M178" s="33" t="n">
        <v>800</v>
      </c>
      <c r="N178" s="33" t="n">
        <v>800</v>
      </c>
      <c r="O178" s="33" t="n">
        <v>800</v>
      </c>
      <c r="P178" s="33" t="n">
        <v>800</v>
      </c>
      <c r="Q178" s="33" t="n">
        <v>800</v>
      </c>
      <c r="R178" s="33" t="n">
        <v>800</v>
      </c>
      <c r="S178" s="33" t="n">
        <v>800</v>
      </c>
      <c r="T178" s="33" t="n">
        <v>800</v>
      </c>
      <c r="U178" s="33" t="n">
        <v>800</v>
      </c>
      <c r="V178" s="33" t="n">
        <v>800</v>
      </c>
      <c r="W178" s="33" t="n">
        <v>800</v>
      </c>
      <c r="X178" s="33" t="n">
        <v>800</v>
      </c>
      <c r="Y178" s="32" t="n">
        <f aca="false">SUM(L178:X178)</f>
        <v>32600</v>
      </c>
      <c r="Z178" s="8" t="n">
        <f aca="false">VLOOKUP(A178,справочник!$E$2:$F$322,2,0)</f>
        <v>0</v>
      </c>
    </row>
    <row collapsed="false" customFormat="false" customHeight="false" hidden="true" ht="15" outlineLevel="0" r="179">
      <c r="A179" s="19" t="n">
        <f aca="false">VLOOKUP(B179,справочник!$B$2:$E$322,4,0)</f>
        <v>129</v>
      </c>
      <c r="B179" s="0" t="e">
        <f aca="false">CONCATENATE(C179;D179)</f>
        <v>#VALUE!</v>
      </c>
      <c r="C179" s="24" t="n">
        <v>136</v>
      </c>
      <c r="D179" s="29" t="s">
        <v>266</v>
      </c>
      <c r="E179" s="24" t="s">
        <v>539</v>
      </c>
      <c r="F179" s="30" t="n">
        <v>41352</v>
      </c>
      <c r="G179" s="30" t="n">
        <v>41365</v>
      </c>
      <c r="H179" s="31" t="n">
        <f aca="false">INT(($H$327-G179)/30)</f>
        <v>33</v>
      </c>
      <c r="I179" s="24" t="n">
        <f aca="false">H179*1000</f>
        <v>33000</v>
      </c>
      <c r="J179" s="31" t="n">
        <v>31000</v>
      </c>
      <c r="K179" s="31"/>
      <c r="L179" s="32" t="n">
        <f aca="false">I179-J179-K179</f>
        <v>2000</v>
      </c>
      <c r="M179" s="33" t="n">
        <v>800</v>
      </c>
      <c r="N179" s="33" t="n">
        <v>800</v>
      </c>
      <c r="O179" s="33" t="n">
        <v>800</v>
      </c>
      <c r="P179" s="33" t="n">
        <v>800</v>
      </c>
      <c r="Q179" s="33" t="n">
        <v>800</v>
      </c>
      <c r="R179" s="33" t="n">
        <v>800</v>
      </c>
      <c r="S179" s="33" t="n">
        <v>800</v>
      </c>
      <c r="T179" s="33" t="n">
        <v>800</v>
      </c>
      <c r="U179" s="33" t="n">
        <v>800</v>
      </c>
      <c r="V179" s="33" t="n">
        <v>800</v>
      </c>
      <c r="W179" s="33" t="n">
        <v>800</v>
      </c>
      <c r="X179" s="33" t="n">
        <v>800</v>
      </c>
      <c r="Y179" s="32" t="n">
        <f aca="false">SUM(L179:X179)</f>
        <v>11600</v>
      </c>
      <c r="Z179" s="8" t="n">
        <f aca="false">VLOOKUP(A179,справочник!$E$2:$F$322,2,0)</f>
        <v>0</v>
      </c>
    </row>
    <row collapsed="false" customFormat="false" customHeight="false" hidden="true" ht="25.5" outlineLevel="0" r="180">
      <c r="A180" s="19" t="n">
        <f aca="false">VLOOKUP(B180,справочник!$B$2:$E$322,4,0)</f>
        <v>42</v>
      </c>
      <c r="B180" s="0" t="e">
        <f aca="false">CONCATENATE(C180;D180)</f>
        <v>#VALUE!</v>
      </c>
      <c r="C180" s="24" t="n">
        <v>42</v>
      </c>
      <c r="D180" s="29" t="s">
        <v>299</v>
      </c>
      <c r="E180" s="24" t="s">
        <v>540</v>
      </c>
      <c r="F180" s="30" t="n">
        <v>40785</v>
      </c>
      <c r="G180" s="30" t="n">
        <v>40787</v>
      </c>
      <c r="H180" s="31" t="n">
        <f aca="false">INT(($H$327-G180)/30)</f>
        <v>52</v>
      </c>
      <c r="I180" s="24" t="n">
        <f aca="false">H180*1000</f>
        <v>52000</v>
      </c>
      <c r="J180" s="31" t="n">
        <f aca="false">19500+500+4500+23500</f>
        <v>48000</v>
      </c>
      <c r="K180" s="31"/>
      <c r="L180" s="32" t="n">
        <f aca="false">I180-J180-K180</f>
        <v>4000</v>
      </c>
      <c r="M180" s="33" t="n">
        <v>800</v>
      </c>
      <c r="N180" s="33" t="n">
        <v>800</v>
      </c>
      <c r="O180" s="33" t="n">
        <v>800</v>
      </c>
      <c r="P180" s="33" t="n">
        <v>800</v>
      </c>
      <c r="Q180" s="33" t="n">
        <v>800</v>
      </c>
      <c r="R180" s="33" t="n">
        <v>800</v>
      </c>
      <c r="S180" s="33" t="n">
        <v>800</v>
      </c>
      <c r="T180" s="33" t="n">
        <v>800</v>
      </c>
      <c r="U180" s="33" t="n">
        <v>800</v>
      </c>
      <c r="V180" s="33" t="n">
        <v>800</v>
      </c>
      <c r="W180" s="33" t="n">
        <v>800</v>
      </c>
      <c r="X180" s="33" t="n">
        <v>800</v>
      </c>
      <c r="Y180" s="32" t="n">
        <f aca="false">SUM(L180:X180)</f>
        <v>13600</v>
      </c>
      <c r="Z180" s="8" t="n">
        <f aca="false">VLOOKUP(A180,справочник!$E$2:$F$322,2,0)</f>
        <v>0</v>
      </c>
    </row>
    <row collapsed="false" customFormat="false" customHeight="false" hidden="true" ht="15" outlineLevel="0" r="181">
      <c r="A181" s="19" t="n">
        <f aca="false">VLOOKUP(B181,справочник!$B$2:$E$322,4,0)</f>
        <v>96</v>
      </c>
      <c r="B181" s="0" t="e">
        <f aca="false">CONCATENATE(C181;D181)</f>
        <v>#VALUE!</v>
      </c>
      <c r="C181" s="24" t="n">
        <v>101</v>
      </c>
      <c r="D181" s="29" t="s">
        <v>131</v>
      </c>
      <c r="E181" s="24" t="s">
        <v>541</v>
      </c>
      <c r="F181" s="34" t="n">
        <v>40708</v>
      </c>
      <c r="G181" s="34" t="n">
        <v>40725</v>
      </c>
      <c r="H181" s="35" t="n">
        <f aca="false">INT(($H$327-G181)/30)</f>
        <v>54</v>
      </c>
      <c r="I181" s="36" t="n">
        <f aca="false">H181*1000</f>
        <v>54000</v>
      </c>
      <c r="J181" s="35" t="n">
        <v>41012</v>
      </c>
      <c r="K181" s="35"/>
      <c r="L181" s="37" t="n">
        <f aca="false">I181-J181-K181</f>
        <v>12988</v>
      </c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2" t="n">
        <f aca="false">SUM(L181:X181)</f>
        <v>12988</v>
      </c>
      <c r="Z181" s="8" t="n">
        <f aca="false">VLOOKUP(A181,справочник!$E$2:$F$322,2,0)</f>
        <v>1</v>
      </c>
    </row>
    <row collapsed="false" customFormat="false" customHeight="false" hidden="true" ht="15" outlineLevel="0" r="182">
      <c r="A182" s="19" t="n">
        <f aca="false">VLOOKUP(B182,справочник!$B$2:$E$322,4,0)</f>
        <v>96</v>
      </c>
      <c r="B182" s="0" t="e">
        <f aca="false">CONCATENATE(C182;D182)</f>
        <v>#VALUE!</v>
      </c>
      <c r="C182" s="24" t="n">
        <v>102</v>
      </c>
      <c r="D182" s="29" t="s">
        <v>131</v>
      </c>
      <c r="E182" s="24"/>
      <c r="F182" s="34" t="n">
        <v>40708</v>
      </c>
      <c r="G182" s="34" t="n">
        <v>40725</v>
      </c>
      <c r="H182" s="35" t="n">
        <f aca="false">INT(($H$327-G182)/30)</f>
        <v>54</v>
      </c>
      <c r="I182" s="36" t="n">
        <f aca="false">H182*1000</f>
        <v>54000</v>
      </c>
      <c r="J182" s="35" t="n">
        <v>41000</v>
      </c>
      <c r="K182" s="35"/>
      <c r="L182" s="37" t="n">
        <f aca="false">I182-J182-K182</f>
        <v>13000</v>
      </c>
      <c r="M182" s="33" t="n">
        <v>800</v>
      </c>
      <c r="N182" s="33" t="n">
        <v>800</v>
      </c>
      <c r="O182" s="33" t="n">
        <v>800</v>
      </c>
      <c r="P182" s="33" t="n">
        <v>800</v>
      </c>
      <c r="Q182" s="33" t="n">
        <v>800</v>
      </c>
      <c r="R182" s="33" t="n">
        <v>800</v>
      </c>
      <c r="S182" s="33" t="n">
        <v>800</v>
      </c>
      <c r="T182" s="33" t="n">
        <v>800</v>
      </c>
      <c r="U182" s="33" t="n">
        <v>800</v>
      </c>
      <c r="V182" s="33" t="n">
        <v>800</v>
      </c>
      <c r="W182" s="33" t="n">
        <v>800</v>
      </c>
      <c r="X182" s="33" t="n">
        <v>800</v>
      </c>
      <c r="Y182" s="32" t="n">
        <f aca="false">SUM(L182:X182)</f>
        <v>22600</v>
      </c>
      <c r="Z182" s="8" t="n">
        <f aca="false">VLOOKUP(A182,справочник!$E$2:$F$322,2,0)</f>
        <v>1</v>
      </c>
    </row>
    <row collapsed="false" customFormat="false" customHeight="false" hidden="true" ht="15" outlineLevel="0" r="183">
      <c r="A183" s="19" t="n">
        <f aca="false">VLOOKUP(B183,справочник!$B$2:$E$322,4,0)</f>
        <v>292</v>
      </c>
      <c r="B183" s="0" t="e">
        <f aca="false">CONCATENATE(C183;D183)</f>
        <v>#VALUE!</v>
      </c>
      <c r="C183" s="24" t="n">
        <v>305</v>
      </c>
      <c r="D183" s="29" t="s">
        <v>144</v>
      </c>
      <c r="E183" s="24" t="s">
        <v>542</v>
      </c>
      <c r="F183" s="30" t="n">
        <v>42018</v>
      </c>
      <c r="G183" s="30" t="n">
        <v>42036</v>
      </c>
      <c r="H183" s="31" t="n">
        <f aca="false">INT(($H$327-G183)/30)</f>
        <v>11</v>
      </c>
      <c r="I183" s="24" t="n">
        <f aca="false">H183*1000</f>
        <v>11000</v>
      </c>
      <c r="J183" s="31"/>
      <c r="K183" s="31"/>
      <c r="L183" s="32" t="n">
        <f aca="false">I183-J183-K183</f>
        <v>11000</v>
      </c>
      <c r="M183" s="33" t="n">
        <v>800</v>
      </c>
      <c r="N183" s="33" t="n">
        <v>800</v>
      </c>
      <c r="O183" s="33" t="n">
        <v>800</v>
      </c>
      <c r="P183" s="33" t="n">
        <v>800</v>
      </c>
      <c r="Q183" s="33" t="n">
        <v>800</v>
      </c>
      <c r="R183" s="33" t="n">
        <v>800</v>
      </c>
      <c r="S183" s="33" t="n">
        <v>800</v>
      </c>
      <c r="T183" s="33" t="n">
        <v>800</v>
      </c>
      <c r="U183" s="33" t="n">
        <v>800</v>
      </c>
      <c r="V183" s="33" t="n">
        <v>800</v>
      </c>
      <c r="W183" s="33" t="n">
        <v>800</v>
      </c>
      <c r="X183" s="33" t="n">
        <v>800</v>
      </c>
      <c r="Y183" s="32" t="n">
        <f aca="false">SUM(L183:X183)</f>
        <v>20600</v>
      </c>
      <c r="Z183" s="8" t="n">
        <f aca="false">VLOOKUP(A183,справочник!$E$2:$F$322,2,0)</f>
        <v>0</v>
      </c>
    </row>
    <row collapsed="false" customFormat="false" customHeight="false" hidden="true" ht="15" outlineLevel="0" r="184">
      <c r="A184" s="19" t="n">
        <f aca="false">VLOOKUP(B184,справочник!$B$2:$E$322,4,0)</f>
        <v>209</v>
      </c>
      <c r="B184" s="0" t="e">
        <f aca="false">CONCATENATE(C184;D184)</f>
        <v>#VALUE!</v>
      </c>
      <c r="C184" s="24" t="n">
        <v>219</v>
      </c>
      <c r="D184" s="29" t="s">
        <v>118</v>
      </c>
      <c r="E184" s="24"/>
      <c r="F184" s="30" t="n">
        <v>41248</v>
      </c>
      <c r="G184" s="30" t="n">
        <v>41334</v>
      </c>
      <c r="H184" s="31" t="n">
        <v>20</v>
      </c>
      <c r="I184" s="24" t="n">
        <f aca="false">H184*1000</f>
        <v>20000</v>
      </c>
      <c r="J184" s="31"/>
      <c r="K184" s="31"/>
      <c r="L184" s="32" t="n">
        <f aca="false">I184-J184-K184</f>
        <v>20000</v>
      </c>
      <c r="M184" s="33" t="n">
        <v>800</v>
      </c>
      <c r="N184" s="33" t="n">
        <v>800</v>
      </c>
      <c r="O184" s="33" t="n">
        <v>800</v>
      </c>
      <c r="P184" s="33" t="n">
        <v>800</v>
      </c>
      <c r="Q184" s="33" t="n">
        <v>800</v>
      </c>
      <c r="R184" s="33" t="n">
        <v>800</v>
      </c>
      <c r="S184" s="33" t="n">
        <v>800</v>
      </c>
      <c r="T184" s="33" t="n">
        <v>800</v>
      </c>
      <c r="U184" s="33" t="n">
        <v>800</v>
      </c>
      <c r="V184" s="33" t="n">
        <v>800</v>
      </c>
      <c r="W184" s="33" t="n">
        <v>800</v>
      </c>
      <c r="X184" s="33" t="n">
        <v>800</v>
      </c>
      <c r="Y184" s="32" t="n">
        <f aca="false">SUM(L184:X184)</f>
        <v>29600</v>
      </c>
      <c r="Z184" s="8" t="n">
        <f aca="false">VLOOKUP(A184,справочник!$E$2:$F$322,2,0)</f>
        <v>0</v>
      </c>
    </row>
    <row collapsed="false" customFormat="false" customHeight="false" hidden="true" ht="15" outlineLevel="0" r="185">
      <c r="A185" s="19" t="n">
        <f aca="false">VLOOKUP(B185,справочник!$B$2:$E$322,4,0)</f>
        <v>257</v>
      </c>
      <c r="B185" s="0" t="e">
        <f aca="false">CONCATENATE(C185;D185)</f>
        <v>#VALUE!</v>
      </c>
      <c r="C185" s="24" t="n">
        <v>270</v>
      </c>
      <c r="D185" s="29" t="s">
        <v>69</v>
      </c>
      <c r="E185" s="24" t="s">
        <v>543</v>
      </c>
      <c r="F185" s="30" t="n">
        <v>41526</v>
      </c>
      <c r="G185" s="30" t="n">
        <v>41548</v>
      </c>
      <c r="H185" s="31" t="n">
        <f aca="false">INT(($H$327-G185)/30)</f>
        <v>27</v>
      </c>
      <c r="I185" s="24" t="n">
        <f aca="false">H185*1000</f>
        <v>27000</v>
      </c>
      <c r="J185" s="31" t="n">
        <v>1000</v>
      </c>
      <c r="K185" s="31"/>
      <c r="L185" s="32" t="n">
        <f aca="false">I185-J185-K185</f>
        <v>26000</v>
      </c>
      <c r="M185" s="33" t="n">
        <v>800</v>
      </c>
      <c r="N185" s="33" t="n">
        <v>800</v>
      </c>
      <c r="O185" s="33" t="n">
        <v>800</v>
      </c>
      <c r="P185" s="33" t="n">
        <v>800</v>
      </c>
      <c r="Q185" s="33" t="n">
        <v>800</v>
      </c>
      <c r="R185" s="33" t="n">
        <v>800</v>
      </c>
      <c r="S185" s="33" t="n">
        <v>800</v>
      </c>
      <c r="T185" s="33" t="n">
        <v>800</v>
      </c>
      <c r="U185" s="33" t="n">
        <v>800</v>
      </c>
      <c r="V185" s="33" t="n">
        <v>800</v>
      </c>
      <c r="W185" s="33" t="n">
        <v>800</v>
      </c>
      <c r="X185" s="33" t="n">
        <v>800</v>
      </c>
      <c r="Y185" s="32" t="n">
        <f aca="false">SUM(L185:X185)</f>
        <v>35600</v>
      </c>
      <c r="Z185" s="8" t="n">
        <f aca="false">VLOOKUP(A185,справочник!$E$2:$F$322,2,0)</f>
        <v>0</v>
      </c>
    </row>
    <row collapsed="false" customFormat="false" customHeight="false" hidden="true" ht="15" outlineLevel="0" r="186">
      <c r="A186" s="19" t="n">
        <f aca="false">VLOOKUP(B186,справочник!$B$2:$E$322,4,0)</f>
        <v>212</v>
      </c>
      <c r="B186" s="0" t="e">
        <f aca="false">CONCATENATE(C186;D186)</f>
        <v>#VALUE!</v>
      </c>
      <c r="C186" s="24" t="n">
        <v>221</v>
      </c>
      <c r="D186" s="29" t="s">
        <v>209</v>
      </c>
      <c r="E186" s="24" t="s">
        <v>544</v>
      </c>
      <c r="F186" s="30" t="n">
        <v>41552</v>
      </c>
      <c r="G186" s="30" t="n">
        <v>41579</v>
      </c>
      <c r="H186" s="31" t="n">
        <f aca="false">INT(($H$327-G186)/30)</f>
        <v>26</v>
      </c>
      <c r="I186" s="24" t="n">
        <f aca="false">H186*1000</f>
        <v>26000</v>
      </c>
      <c r="J186" s="31" t="n">
        <v>23000</v>
      </c>
      <c r="K186" s="31"/>
      <c r="L186" s="32" t="n">
        <f aca="false">I186-J186-K186</f>
        <v>3000</v>
      </c>
      <c r="M186" s="33" t="n">
        <v>800</v>
      </c>
      <c r="N186" s="33" t="n">
        <v>800</v>
      </c>
      <c r="O186" s="33" t="n">
        <v>800</v>
      </c>
      <c r="P186" s="33" t="n">
        <v>800</v>
      </c>
      <c r="Q186" s="33" t="n">
        <v>800</v>
      </c>
      <c r="R186" s="33" t="n">
        <v>800</v>
      </c>
      <c r="S186" s="33" t="n">
        <v>800</v>
      </c>
      <c r="T186" s="33" t="n">
        <v>800</v>
      </c>
      <c r="U186" s="33" t="n">
        <v>800</v>
      </c>
      <c r="V186" s="33" t="n">
        <v>800</v>
      </c>
      <c r="W186" s="33" t="n">
        <v>800</v>
      </c>
      <c r="X186" s="33" t="n">
        <v>800</v>
      </c>
      <c r="Y186" s="32" t="n">
        <f aca="false">SUM(L186:X186)</f>
        <v>12600</v>
      </c>
      <c r="Z186" s="8" t="n">
        <f aca="false">VLOOKUP(A186,справочник!$E$2:$F$322,2,0)</f>
        <v>0</v>
      </c>
    </row>
    <row collapsed="false" customFormat="false" customHeight="false" hidden="true" ht="15" outlineLevel="0" r="187">
      <c r="A187" s="19" t="n">
        <f aca="false">VLOOKUP(B187,справочник!$B$2:$E$322,4,0)</f>
        <v>320</v>
      </c>
      <c r="B187" s="0" t="e">
        <f aca="false">CONCATENATE(C187;D187)</f>
        <v>#VALUE!</v>
      </c>
      <c r="C187" s="24"/>
      <c r="D187" s="29" t="s">
        <v>324</v>
      </c>
      <c r="E187" s="24"/>
      <c r="F187" s="30"/>
      <c r="G187" s="30"/>
      <c r="H187" s="31"/>
      <c r="I187" s="24"/>
      <c r="J187" s="31"/>
      <c r="K187" s="31"/>
      <c r="L187" s="32"/>
      <c r="M187" s="33" t="n">
        <v>800</v>
      </c>
      <c r="N187" s="33" t="n">
        <v>800</v>
      </c>
      <c r="O187" s="33" t="n">
        <v>800</v>
      </c>
      <c r="P187" s="33" t="n">
        <v>800</v>
      </c>
      <c r="Q187" s="33" t="n">
        <v>800</v>
      </c>
      <c r="R187" s="33" t="n">
        <v>800</v>
      </c>
      <c r="S187" s="33" t="n">
        <v>800</v>
      </c>
      <c r="T187" s="33" t="n">
        <v>800</v>
      </c>
      <c r="U187" s="33" t="n">
        <v>800</v>
      </c>
      <c r="V187" s="33" t="n">
        <v>800</v>
      </c>
      <c r="W187" s="33" t="n">
        <v>800</v>
      </c>
      <c r="X187" s="33" t="n">
        <v>800</v>
      </c>
      <c r="Y187" s="32" t="n">
        <f aca="false">SUM(L187:X187)</f>
        <v>9600</v>
      </c>
      <c r="Z187" s="8" t="n">
        <f aca="false">VLOOKUP(A187,справочник!$E$2:$F$322,2,0)</f>
        <v>1</v>
      </c>
    </row>
    <row collapsed="false" customFormat="false" customHeight="false" hidden="true" ht="25.5" outlineLevel="0" r="188">
      <c r="A188" s="19" t="n">
        <f aca="false">VLOOKUP(B188,справочник!$B$2:$E$322,4,0)</f>
        <v>186</v>
      </c>
      <c r="B188" s="0" t="e">
        <f aca="false">CONCATENATE(C188;D188)</f>
        <v>#VALUE!</v>
      </c>
      <c r="C188" s="24" t="n">
        <v>194</v>
      </c>
      <c r="D188" s="29" t="s">
        <v>228</v>
      </c>
      <c r="E188" s="24" t="s">
        <v>545</v>
      </c>
      <c r="F188" s="30" t="n">
        <v>41872</v>
      </c>
      <c r="G188" s="30" t="n">
        <v>41883</v>
      </c>
      <c r="H188" s="31" t="n">
        <f aca="false">INT(($H$327-G188)/30)</f>
        <v>16</v>
      </c>
      <c r="I188" s="24" t="n">
        <f aca="false">H188*1000</f>
        <v>16000</v>
      </c>
      <c r="J188" s="31" t="n">
        <v>12000</v>
      </c>
      <c r="K188" s="31"/>
      <c r="L188" s="32" t="n">
        <f aca="false">I188-J188-K188</f>
        <v>4000</v>
      </c>
      <c r="M188" s="33" t="n">
        <v>800</v>
      </c>
      <c r="N188" s="33" t="n">
        <v>800</v>
      </c>
      <c r="O188" s="33" t="n">
        <v>800</v>
      </c>
      <c r="P188" s="33" t="n">
        <v>800</v>
      </c>
      <c r="Q188" s="33" t="n">
        <v>800</v>
      </c>
      <c r="R188" s="33" t="n">
        <v>800</v>
      </c>
      <c r="S188" s="33" t="n">
        <v>800</v>
      </c>
      <c r="T188" s="33" t="n">
        <v>800</v>
      </c>
      <c r="U188" s="33" t="n">
        <v>800</v>
      </c>
      <c r="V188" s="33" t="n">
        <v>800</v>
      </c>
      <c r="W188" s="33" t="n">
        <v>800</v>
      </c>
      <c r="X188" s="33" t="n">
        <v>800</v>
      </c>
      <c r="Y188" s="32" t="n">
        <f aca="false">SUM(L188:X188)</f>
        <v>13600</v>
      </c>
      <c r="Z188" s="8" t="n">
        <f aca="false">VLOOKUP(A188,справочник!$E$2:$F$322,2,0)</f>
        <v>0</v>
      </c>
    </row>
    <row collapsed="false" customFormat="false" customHeight="false" hidden="true" ht="15" outlineLevel="0" r="189">
      <c r="A189" s="19" t="n">
        <f aca="false">VLOOKUP(B189,справочник!$B$2:$E$322,4,0)</f>
        <v>187</v>
      </c>
      <c r="B189" s="0" t="e">
        <f aca="false">CONCATENATE(C189;D189)</f>
        <v>#VALUE!</v>
      </c>
      <c r="C189" s="24" t="n">
        <v>195</v>
      </c>
      <c r="D189" s="29" t="s">
        <v>83</v>
      </c>
      <c r="E189" s="24" t="s">
        <v>546</v>
      </c>
      <c r="F189" s="30" t="n">
        <v>41542</v>
      </c>
      <c r="G189" s="30" t="n">
        <v>41548</v>
      </c>
      <c r="H189" s="31" t="n">
        <f aca="false">INT(($H$327-G189)/30)</f>
        <v>27</v>
      </c>
      <c r="I189" s="24" t="n">
        <f aca="false">H189*1000</f>
        <v>27000</v>
      </c>
      <c r="J189" s="31"/>
      <c r="K189" s="31"/>
      <c r="L189" s="32" t="n">
        <f aca="false">I189-J189-K189</f>
        <v>27000</v>
      </c>
      <c r="M189" s="33" t="n">
        <v>800</v>
      </c>
      <c r="N189" s="33" t="n">
        <v>800</v>
      </c>
      <c r="O189" s="33" t="n">
        <v>800</v>
      </c>
      <c r="P189" s="33" t="n">
        <v>800</v>
      </c>
      <c r="Q189" s="33" t="n">
        <v>800</v>
      </c>
      <c r="R189" s="33" t="n">
        <v>800</v>
      </c>
      <c r="S189" s="33" t="n">
        <v>800</v>
      </c>
      <c r="T189" s="33" t="n">
        <v>800</v>
      </c>
      <c r="U189" s="33" t="n">
        <v>800</v>
      </c>
      <c r="V189" s="33" t="n">
        <v>800</v>
      </c>
      <c r="W189" s="33" t="n">
        <v>800</v>
      </c>
      <c r="X189" s="33" t="n">
        <v>800</v>
      </c>
      <c r="Y189" s="32" t="n">
        <f aca="false">SUM(L189:X189)</f>
        <v>36600</v>
      </c>
      <c r="Z189" s="8" t="n">
        <f aca="false">VLOOKUP(A189,справочник!$E$2:$F$322,2,0)</f>
        <v>0</v>
      </c>
    </row>
    <row collapsed="false" customFormat="false" customHeight="false" hidden="true" ht="15" outlineLevel="0" r="190">
      <c r="A190" s="19" t="n">
        <f aca="false">VLOOKUP(B190,справочник!$B$2:$E$322,4,0)</f>
        <v>211</v>
      </c>
      <c r="B190" s="0" t="e">
        <f aca="false">CONCATENATE(C190;D190)</f>
        <v>#VALUE!</v>
      </c>
      <c r="C190" s="24" t="n">
        <v>220</v>
      </c>
      <c r="D190" s="29" t="s">
        <v>236</v>
      </c>
      <c r="E190" s="24" t="s">
        <v>547</v>
      </c>
      <c r="F190" s="30" t="n">
        <v>41417</v>
      </c>
      <c r="G190" s="30" t="n">
        <v>41426</v>
      </c>
      <c r="H190" s="31" t="n">
        <f aca="false">INT(($H$327-G190)/30)</f>
        <v>31</v>
      </c>
      <c r="I190" s="24" t="n">
        <f aca="false">H190*1000</f>
        <v>31000</v>
      </c>
      <c r="J190" s="31" t="n">
        <v>26000</v>
      </c>
      <c r="K190" s="31" t="n">
        <v>7000</v>
      </c>
      <c r="L190" s="32" t="n">
        <f aca="false">I190-J190-K190</f>
        <v>-2000</v>
      </c>
      <c r="M190" s="33" t="n">
        <v>800</v>
      </c>
      <c r="N190" s="33" t="n">
        <v>800</v>
      </c>
      <c r="O190" s="33" t="n">
        <v>800</v>
      </c>
      <c r="P190" s="33" t="n">
        <v>800</v>
      </c>
      <c r="Q190" s="33" t="n">
        <v>800</v>
      </c>
      <c r="R190" s="33" t="n">
        <v>800</v>
      </c>
      <c r="S190" s="33" t="n">
        <v>800</v>
      </c>
      <c r="T190" s="33" t="n">
        <v>800</v>
      </c>
      <c r="U190" s="33" t="n">
        <v>800</v>
      </c>
      <c r="V190" s="33" t="n">
        <v>800</v>
      </c>
      <c r="W190" s="33" t="n">
        <v>800</v>
      </c>
      <c r="X190" s="33" t="n">
        <v>800</v>
      </c>
      <c r="Y190" s="32" t="n">
        <f aca="false">SUM(L190:X190)</f>
        <v>7600</v>
      </c>
      <c r="Z190" s="8" t="n">
        <f aca="false">VLOOKUP(A190,справочник!$E$2:$F$322,2,0)</f>
        <v>0</v>
      </c>
    </row>
    <row collapsed="false" customFormat="false" customHeight="true" hidden="true" ht="25.5" outlineLevel="0" r="191">
      <c r="A191" s="19" t="n">
        <f aca="false">VLOOKUP(B191,справочник!$B$2:$E$322,4,0)</f>
        <v>242</v>
      </c>
      <c r="B191" s="0" t="e">
        <f aca="false">CONCATENATE(C191;D191)</f>
        <v>#VALUE!</v>
      </c>
      <c r="C191" s="24" t="n">
        <v>253</v>
      </c>
      <c r="D191" s="29" t="s">
        <v>63</v>
      </c>
      <c r="E191" s="24" t="s">
        <v>548</v>
      </c>
      <c r="F191" s="30" t="n">
        <v>41352</v>
      </c>
      <c r="G191" s="30" t="n">
        <v>41365</v>
      </c>
      <c r="H191" s="31" t="n">
        <f aca="false">INT(($H$327-G191)/30)</f>
        <v>33</v>
      </c>
      <c r="I191" s="24" t="n">
        <f aca="false">H191*1000</f>
        <v>33000</v>
      </c>
      <c r="J191" s="31" t="n">
        <v>4000</v>
      </c>
      <c r="K191" s="31"/>
      <c r="L191" s="32" t="n">
        <f aca="false">I191-J191-K191</f>
        <v>29000</v>
      </c>
      <c r="M191" s="33" t="n">
        <v>800</v>
      </c>
      <c r="N191" s="33" t="n">
        <v>800</v>
      </c>
      <c r="O191" s="33" t="n">
        <v>800</v>
      </c>
      <c r="P191" s="33" t="n">
        <v>800</v>
      </c>
      <c r="Q191" s="33" t="n">
        <v>800</v>
      </c>
      <c r="R191" s="33" t="n">
        <v>800</v>
      </c>
      <c r="S191" s="33" t="n">
        <v>800</v>
      </c>
      <c r="T191" s="33" t="n">
        <v>800</v>
      </c>
      <c r="U191" s="33" t="n">
        <v>800</v>
      </c>
      <c r="V191" s="33" t="n">
        <v>800</v>
      </c>
      <c r="W191" s="33" t="n">
        <v>800</v>
      </c>
      <c r="X191" s="33" t="n">
        <v>800</v>
      </c>
      <c r="Y191" s="32" t="n">
        <f aca="false">SUM(L191:X191)</f>
        <v>38600</v>
      </c>
      <c r="Z191" s="8" t="n">
        <f aca="false">VLOOKUP(A191,справочник!$E$2:$F$322,2,0)</f>
        <v>0</v>
      </c>
    </row>
    <row collapsed="false" customFormat="false" customHeight="false" hidden="true" ht="15" outlineLevel="0" r="192">
      <c r="A192" s="19" t="n">
        <f aca="false">VLOOKUP(B192,справочник!$B$2:$E$322,4,0)</f>
        <v>218</v>
      </c>
      <c r="B192" s="0" t="e">
        <f aca="false">CONCATENATE(C192;D192)</f>
        <v>#VALUE!</v>
      </c>
      <c r="C192" s="44" t="n">
        <v>227</v>
      </c>
      <c r="D192" s="29" t="s">
        <v>164</v>
      </c>
      <c r="E192" s="24" t="s">
        <v>549</v>
      </c>
      <c r="F192" s="30" t="n">
        <v>40793</v>
      </c>
      <c r="G192" s="30" t="n">
        <v>40787</v>
      </c>
      <c r="H192" s="31" t="n">
        <f aca="false">INT(($H$327-G192)/30)</f>
        <v>52</v>
      </c>
      <c r="I192" s="24" t="n">
        <f aca="false">H192*1000</f>
        <v>52000</v>
      </c>
      <c r="J192" s="31" t="n">
        <v>33000</v>
      </c>
      <c r="K192" s="31" t="n">
        <v>5000</v>
      </c>
      <c r="L192" s="32" t="n">
        <f aca="false">I192-J192-K192</f>
        <v>14000</v>
      </c>
      <c r="M192" s="33" t="n">
        <v>800</v>
      </c>
      <c r="N192" s="33" t="n">
        <v>800</v>
      </c>
      <c r="O192" s="33" t="n">
        <v>800</v>
      </c>
      <c r="P192" s="33" t="n">
        <v>800</v>
      </c>
      <c r="Q192" s="33" t="n">
        <v>800</v>
      </c>
      <c r="R192" s="33" t="n">
        <v>800</v>
      </c>
      <c r="S192" s="33" t="n">
        <v>800</v>
      </c>
      <c r="T192" s="33" t="n">
        <v>800</v>
      </c>
      <c r="U192" s="33" t="n">
        <v>800</v>
      </c>
      <c r="V192" s="33" t="n">
        <v>800</v>
      </c>
      <c r="W192" s="33" t="n">
        <v>800</v>
      </c>
      <c r="X192" s="33" t="n">
        <v>800</v>
      </c>
      <c r="Y192" s="32" t="n">
        <f aca="false">SUM(L192:X192)</f>
        <v>23600</v>
      </c>
      <c r="Z192" s="8" t="n">
        <f aca="false">VLOOKUP(A192,справочник!$E$2:$F$322,2,0)</f>
        <v>0</v>
      </c>
    </row>
    <row collapsed="false" customFormat="false" customHeight="false" hidden="true" ht="15" outlineLevel="0" r="193">
      <c r="A193" s="19" t="n">
        <f aca="false">VLOOKUP(B193,справочник!$B$2:$E$322,4,0)</f>
        <v>120</v>
      </c>
      <c r="B193" s="0" t="e">
        <f aca="false">CONCATENATE(C193;D193)</f>
        <v>#VALUE!</v>
      </c>
      <c r="C193" s="24" t="n">
        <v>125</v>
      </c>
      <c r="D193" s="29" t="s">
        <v>284</v>
      </c>
      <c r="E193" s="24" t="s">
        <v>550</v>
      </c>
      <c r="F193" s="30" t="n">
        <v>41417</v>
      </c>
      <c r="G193" s="30" t="n">
        <v>41426</v>
      </c>
      <c r="H193" s="31" t="n">
        <f aca="false">INT(($H$327-G193)/30)</f>
        <v>31</v>
      </c>
      <c r="I193" s="24" t="n">
        <f aca="false">H193*1000</f>
        <v>31000</v>
      </c>
      <c r="J193" s="31" t="n">
        <v>21000</v>
      </c>
      <c r="K193" s="31"/>
      <c r="L193" s="32" t="n">
        <f aca="false">I193-J193-K193</f>
        <v>10000</v>
      </c>
      <c r="M193" s="33" t="n">
        <v>800</v>
      </c>
      <c r="N193" s="33" t="n">
        <v>800</v>
      </c>
      <c r="O193" s="33" t="n">
        <v>800</v>
      </c>
      <c r="P193" s="33" t="n">
        <v>800</v>
      </c>
      <c r="Q193" s="33" t="n">
        <v>800</v>
      </c>
      <c r="R193" s="33" t="n">
        <v>800</v>
      </c>
      <c r="S193" s="33" t="n">
        <v>800</v>
      </c>
      <c r="T193" s="33" t="n">
        <v>800</v>
      </c>
      <c r="U193" s="33" t="n">
        <v>800</v>
      </c>
      <c r="V193" s="33" t="n">
        <v>800</v>
      </c>
      <c r="W193" s="33" t="n">
        <v>800</v>
      </c>
      <c r="X193" s="33" t="n">
        <v>800</v>
      </c>
      <c r="Y193" s="32" t="n">
        <f aca="false">SUM(L193:X193)</f>
        <v>19600</v>
      </c>
      <c r="Z193" s="8" t="n">
        <f aca="false">VLOOKUP(A193,справочник!$E$2:$F$322,2,0)</f>
        <v>0</v>
      </c>
    </row>
    <row collapsed="false" customFormat="false" customHeight="false" hidden="true" ht="15" outlineLevel="0" r="194">
      <c r="A194" s="19" t="n">
        <f aca="false">VLOOKUP(B194,справочник!$B$2:$E$322,4,0)</f>
        <v>287</v>
      </c>
      <c r="B194" s="0" t="e">
        <f aca="false">CONCATENATE(C194;D194)</f>
        <v>#VALUE!</v>
      </c>
      <c r="C194" s="24" t="n">
        <v>299</v>
      </c>
      <c r="D194" s="29" t="s">
        <v>193</v>
      </c>
      <c r="E194" s="24" t="s">
        <v>551</v>
      </c>
      <c r="F194" s="30" t="n">
        <v>41897</v>
      </c>
      <c r="G194" s="30" t="n">
        <v>41913</v>
      </c>
      <c r="H194" s="31" t="n">
        <f aca="false">INT(($H$327-G194)/30)</f>
        <v>15</v>
      </c>
      <c r="I194" s="24" t="n">
        <f aca="false">H194*1000</f>
        <v>15000</v>
      </c>
      <c r="J194" s="31" t="n">
        <v>13000</v>
      </c>
      <c r="K194" s="31"/>
      <c r="L194" s="32" t="n">
        <f aca="false">I194-J194-K194</f>
        <v>2000</v>
      </c>
      <c r="M194" s="33" t="n">
        <v>800</v>
      </c>
      <c r="N194" s="33" t="n">
        <v>800</v>
      </c>
      <c r="O194" s="33" t="n">
        <v>800</v>
      </c>
      <c r="P194" s="33" t="n">
        <v>800</v>
      </c>
      <c r="Q194" s="33" t="n">
        <v>800</v>
      </c>
      <c r="R194" s="33" t="n">
        <v>800</v>
      </c>
      <c r="S194" s="33" t="n">
        <v>800</v>
      </c>
      <c r="T194" s="33" t="n">
        <v>800</v>
      </c>
      <c r="U194" s="33" t="n">
        <v>800</v>
      </c>
      <c r="V194" s="33" t="n">
        <v>800</v>
      </c>
      <c r="W194" s="33" t="n">
        <v>800</v>
      </c>
      <c r="X194" s="33" t="n">
        <v>800</v>
      </c>
      <c r="Y194" s="32" t="n">
        <f aca="false">SUM(L194:X194)</f>
        <v>11600</v>
      </c>
      <c r="Z194" s="8" t="n">
        <f aca="false">VLOOKUP(A194,справочник!$E$2:$F$322,2,0)</f>
        <v>0</v>
      </c>
    </row>
    <row collapsed="false" customFormat="false" customHeight="false" hidden="true" ht="15" outlineLevel="0" r="195">
      <c r="A195" s="19" t="n">
        <f aca="false">VLOOKUP(B195,справочник!$B$2:$E$322,4,0)</f>
        <v>170</v>
      </c>
      <c r="B195" s="0" t="e">
        <f aca="false">CONCATENATE(C195;D195)</f>
        <v>#VALUE!</v>
      </c>
      <c r="C195" s="24" t="n">
        <v>178</v>
      </c>
      <c r="D195" s="29" t="s">
        <v>312</v>
      </c>
      <c r="E195" s="36" t="s">
        <v>552</v>
      </c>
      <c r="F195" s="34" t="n">
        <v>41414</v>
      </c>
      <c r="G195" s="34" t="n">
        <v>41456</v>
      </c>
      <c r="H195" s="35" t="n">
        <f aca="false">INT(($H$327-G195)/30)</f>
        <v>30</v>
      </c>
      <c r="I195" s="36" t="n">
        <f aca="false">H195*1000</f>
        <v>30000</v>
      </c>
      <c r="J195" s="35" t="n">
        <v>29000</v>
      </c>
      <c r="K195" s="35" t="n">
        <v>1000</v>
      </c>
      <c r="L195" s="37" t="n">
        <f aca="false">I195-J195-K195</f>
        <v>0</v>
      </c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2" t="n">
        <f aca="false">SUM(L195:X195)</f>
        <v>0</v>
      </c>
      <c r="Z195" s="8" t="n">
        <f aca="false">VLOOKUP(A195,справочник!$E$2:$F$322,2,0)</f>
        <v>1</v>
      </c>
    </row>
    <row collapsed="false" customFormat="false" customHeight="false" hidden="true" ht="15" outlineLevel="0" r="196">
      <c r="A196" s="19" t="n">
        <f aca="false">VLOOKUP(B196,справочник!$B$2:$E$322,4,0)</f>
        <v>170</v>
      </c>
      <c r="B196" s="0" t="e">
        <f aca="false">CONCATENATE(C196;D196)</f>
        <v>#VALUE!</v>
      </c>
      <c r="C196" s="24" t="n">
        <v>179</v>
      </c>
      <c r="D196" s="29" t="s">
        <v>312</v>
      </c>
      <c r="E196" s="36" t="s">
        <v>553</v>
      </c>
      <c r="F196" s="34" t="n">
        <v>41414</v>
      </c>
      <c r="G196" s="34" t="n">
        <v>41456</v>
      </c>
      <c r="H196" s="35" t="n">
        <f aca="false">INT(($H$327-G196)/30)</f>
        <v>30</v>
      </c>
      <c r="I196" s="36" t="n">
        <f aca="false">H196*1000</f>
        <v>30000</v>
      </c>
      <c r="J196" s="35" t="n">
        <v>29000</v>
      </c>
      <c r="K196" s="35" t="n">
        <v>1000</v>
      </c>
      <c r="L196" s="37" t="n">
        <f aca="false">I196-J196-K196</f>
        <v>0</v>
      </c>
      <c r="M196" s="33" t="n">
        <v>800</v>
      </c>
      <c r="N196" s="33" t="n">
        <v>800</v>
      </c>
      <c r="O196" s="33" t="n">
        <v>800</v>
      </c>
      <c r="P196" s="33" t="n">
        <v>800</v>
      </c>
      <c r="Q196" s="33" t="n">
        <v>800</v>
      </c>
      <c r="R196" s="33" t="n">
        <v>800</v>
      </c>
      <c r="S196" s="33" t="n">
        <v>800</v>
      </c>
      <c r="T196" s="33" t="n">
        <v>800</v>
      </c>
      <c r="U196" s="33" t="n">
        <v>800</v>
      </c>
      <c r="V196" s="33" t="n">
        <v>800</v>
      </c>
      <c r="W196" s="33" t="n">
        <v>800</v>
      </c>
      <c r="X196" s="33" t="n">
        <v>800</v>
      </c>
      <c r="Y196" s="32" t="n">
        <f aca="false">SUM(L196:X196)</f>
        <v>9600</v>
      </c>
      <c r="Z196" s="8" t="n">
        <f aca="false">VLOOKUP(A196,справочник!$E$2:$F$322,2,0)</f>
        <v>1</v>
      </c>
    </row>
    <row collapsed="false" customFormat="false" customHeight="false" hidden="true" ht="15" outlineLevel="0" r="197">
      <c r="A197" s="19" t="n">
        <f aca="false">VLOOKUP(B197,справочник!$B$2:$E$322,4,0)</f>
        <v>290</v>
      </c>
      <c r="B197" s="0" t="e">
        <f aca="false">CONCATENATE(C197;D197)</f>
        <v>#VALUE!</v>
      </c>
      <c r="C197" s="24" t="n">
        <v>303</v>
      </c>
      <c r="D197" s="29" t="s">
        <v>293</v>
      </c>
      <c r="E197" s="24" t="s">
        <v>554</v>
      </c>
      <c r="F197" s="30" t="n">
        <v>40959</v>
      </c>
      <c r="G197" s="30" t="n">
        <v>40940</v>
      </c>
      <c r="H197" s="31" t="n">
        <f aca="false">INT(($H$327-G197)/30)</f>
        <v>47</v>
      </c>
      <c r="I197" s="24" t="n">
        <f aca="false">H197*1000</f>
        <v>47000</v>
      </c>
      <c r="J197" s="31" t="n">
        <v>42000</v>
      </c>
      <c r="K197" s="31" t="n">
        <v>5000</v>
      </c>
      <c r="L197" s="32" t="n">
        <f aca="false">I197-J197-K197</f>
        <v>0</v>
      </c>
      <c r="M197" s="33" t="n">
        <v>800</v>
      </c>
      <c r="N197" s="33" t="n">
        <v>800</v>
      </c>
      <c r="O197" s="33" t="n">
        <v>800</v>
      </c>
      <c r="P197" s="33" t="n">
        <v>800</v>
      </c>
      <c r="Q197" s="33" t="n">
        <v>800</v>
      </c>
      <c r="R197" s="33" t="n">
        <v>800</v>
      </c>
      <c r="S197" s="33" t="n">
        <v>800</v>
      </c>
      <c r="T197" s="33" t="n">
        <v>800</v>
      </c>
      <c r="U197" s="33" t="n">
        <v>800</v>
      </c>
      <c r="V197" s="33" t="n">
        <v>800</v>
      </c>
      <c r="W197" s="33" t="n">
        <v>800</v>
      </c>
      <c r="X197" s="33" t="n">
        <v>800</v>
      </c>
      <c r="Y197" s="32" t="n">
        <f aca="false">SUM(L197:X197)</f>
        <v>9600</v>
      </c>
      <c r="Z197" s="8" t="n">
        <f aca="false">VLOOKUP(A197,справочник!$E$2:$F$322,2,0)</f>
        <v>0</v>
      </c>
    </row>
    <row collapsed="false" customFormat="false" customHeight="false" hidden="true" ht="15" outlineLevel="0" r="198">
      <c r="A198" s="19" t="n">
        <f aca="false">VLOOKUP(B198,справочник!$B$2:$E$322,4,0)</f>
        <v>81</v>
      </c>
      <c r="B198" s="0" t="e">
        <f aca="false">CONCATENATE(C198;D198)</f>
        <v>#VALUE!</v>
      </c>
      <c r="C198" s="24" t="n">
        <v>86</v>
      </c>
      <c r="D198" s="29" t="s">
        <v>42</v>
      </c>
      <c r="E198" s="24" t="s">
        <v>555</v>
      </c>
      <c r="F198" s="30" t="n">
        <v>40949</v>
      </c>
      <c r="G198" s="30" t="n">
        <v>40940</v>
      </c>
      <c r="H198" s="31" t="n">
        <f aca="false">INT(($H$327-G198)/30)</f>
        <v>47</v>
      </c>
      <c r="I198" s="24" t="n">
        <f aca="false">H198*1000</f>
        <v>47000</v>
      </c>
      <c r="J198" s="31" t="n">
        <v>44000</v>
      </c>
      <c r="K198" s="31" t="n">
        <v>3000</v>
      </c>
      <c r="L198" s="32" t="n">
        <f aca="false">I198-J198-K198</f>
        <v>0</v>
      </c>
      <c r="M198" s="33" t="n">
        <v>800</v>
      </c>
      <c r="N198" s="33" t="n">
        <v>800</v>
      </c>
      <c r="O198" s="33" t="n">
        <v>800</v>
      </c>
      <c r="P198" s="33" t="n">
        <v>800</v>
      </c>
      <c r="Q198" s="33" t="n">
        <v>800</v>
      </c>
      <c r="R198" s="33" t="n">
        <v>800</v>
      </c>
      <c r="S198" s="33" t="n">
        <v>800</v>
      </c>
      <c r="T198" s="33" t="n">
        <v>800</v>
      </c>
      <c r="U198" s="33" t="n">
        <v>800</v>
      </c>
      <c r="V198" s="33" t="n">
        <v>800</v>
      </c>
      <c r="W198" s="33" t="n">
        <v>800</v>
      </c>
      <c r="X198" s="33" t="n">
        <v>800</v>
      </c>
      <c r="Y198" s="32" t="n">
        <f aca="false">SUM(L198:X198)</f>
        <v>9600</v>
      </c>
      <c r="Z198" s="8" t="n">
        <f aca="false">VLOOKUP(A198,справочник!$E$2:$F$322,2,0)</f>
        <v>0</v>
      </c>
    </row>
    <row collapsed="false" customFormat="false" customHeight="false" hidden="true" ht="15" outlineLevel="0" r="199">
      <c r="A199" s="19" t="n">
        <f aca="false">VLOOKUP(B199,справочник!$B$2:$E$322,4,0)</f>
        <v>31</v>
      </c>
      <c r="B199" s="0" t="e">
        <f aca="false">CONCATENATE(C199;D199)</f>
        <v>#VALUE!</v>
      </c>
      <c r="C199" s="24" t="n">
        <v>31</v>
      </c>
      <c r="D199" s="29" t="s">
        <v>291</v>
      </c>
      <c r="E199" s="24" t="s">
        <v>556</v>
      </c>
      <c r="F199" s="30" t="n">
        <v>40786</v>
      </c>
      <c r="G199" s="30" t="n">
        <v>40787</v>
      </c>
      <c r="H199" s="31" t="n">
        <f aca="false">INT(($H$327-G199)/30)</f>
        <v>52</v>
      </c>
      <c r="I199" s="24" t="n">
        <f aca="false">H199*1000</f>
        <v>52000</v>
      </c>
      <c r="J199" s="31" t="n">
        <f aca="false">10000+42000</f>
        <v>52000</v>
      </c>
      <c r="K199" s="31"/>
      <c r="L199" s="32" t="n">
        <f aca="false">I199-J199-K199</f>
        <v>0</v>
      </c>
      <c r="M199" s="33" t="n">
        <v>800</v>
      </c>
      <c r="N199" s="33" t="n">
        <v>800</v>
      </c>
      <c r="O199" s="33" t="n">
        <v>800</v>
      </c>
      <c r="P199" s="33" t="n">
        <v>800</v>
      </c>
      <c r="Q199" s="33" t="n">
        <v>800</v>
      </c>
      <c r="R199" s="33" t="n">
        <v>800</v>
      </c>
      <c r="S199" s="33" t="n">
        <v>800</v>
      </c>
      <c r="T199" s="33" t="n">
        <v>800</v>
      </c>
      <c r="U199" s="33" t="n">
        <v>800</v>
      </c>
      <c r="V199" s="33" t="n">
        <v>800</v>
      </c>
      <c r="W199" s="33" t="n">
        <v>800</v>
      </c>
      <c r="X199" s="33" t="n">
        <v>800</v>
      </c>
      <c r="Y199" s="32" t="n">
        <f aca="false">SUM(L199:X199)</f>
        <v>9600</v>
      </c>
      <c r="Z199" s="8" t="n">
        <f aca="false">VLOOKUP(A199,справочник!$E$2:$F$322,2,0)</f>
        <v>0</v>
      </c>
    </row>
    <row collapsed="false" customFormat="false" customHeight="false" hidden="true" ht="15" outlineLevel="0" r="200">
      <c r="A200" s="19" t="n">
        <f aca="false">VLOOKUP(B200,справочник!$B$2:$E$322,4,0)</f>
        <v>104</v>
      </c>
      <c r="B200" s="0" t="e">
        <f aca="false">CONCATENATE(C200;D200)</f>
        <v>#VALUE!</v>
      </c>
      <c r="C200" s="24" t="n">
        <v>109</v>
      </c>
      <c r="D200" s="29" t="s">
        <v>187</v>
      </c>
      <c r="E200" s="24" t="s">
        <v>557</v>
      </c>
      <c r="F200" s="30" t="n">
        <v>40893</v>
      </c>
      <c r="G200" s="30" t="n">
        <v>40878</v>
      </c>
      <c r="H200" s="31" t="n">
        <f aca="false">INT(($H$327-G200)/30)</f>
        <v>49</v>
      </c>
      <c r="I200" s="24" t="n">
        <f aca="false">H200*1000</f>
        <v>49000</v>
      </c>
      <c r="J200" s="31" t="n">
        <f aca="false">1000+45000</f>
        <v>46000</v>
      </c>
      <c r="K200" s="31"/>
      <c r="L200" s="32" t="n">
        <f aca="false">I200-J200-K200</f>
        <v>3000</v>
      </c>
      <c r="M200" s="33" t="n">
        <v>800</v>
      </c>
      <c r="N200" s="33" t="n">
        <v>800</v>
      </c>
      <c r="O200" s="33" t="n">
        <v>800</v>
      </c>
      <c r="P200" s="33" t="n">
        <v>800</v>
      </c>
      <c r="Q200" s="33" t="n">
        <v>800</v>
      </c>
      <c r="R200" s="33" t="n">
        <v>800</v>
      </c>
      <c r="S200" s="33" t="n">
        <v>800</v>
      </c>
      <c r="T200" s="33" t="n">
        <v>800</v>
      </c>
      <c r="U200" s="33" t="n">
        <v>800</v>
      </c>
      <c r="V200" s="33" t="n">
        <v>800</v>
      </c>
      <c r="W200" s="33" t="n">
        <v>800</v>
      </c>
      <c r="X200" s="33" t="n">
        <v>800</v>
      </c>
      <c r="Y200" s="32" t="n">
        <f aca="false">SUM(L200:X200)</f>
        <v>12600</v>
      </c>
      <c r="Z200" s="8" t="n">
        <f aca="false">VLOOKUP(A200,справочник!$E$2:$F$322,2,0)</f>
        <v>0</v>
      </c>
    </row>
    <row collapsed="false" customFormat="false" customHeight="true" hidden="true" ht="25.5" outlineLevel="0" r="201">
      <c r="A201" s="19" t="n">
        <f aca="false">VLOOKUP(B201,справочник!$B$2:$E$322,4,0)</f>
        <v>85</v>
      </c>
      <c r="B201" s="0" t="e">
        <f aca="false">CONCATENATE(C201;D201)</f>
        <v>#VALUE!</v>
      </c>
      <c r="C201" s="24" t="n">
        <v>90</v>
      </c>
      <c r="D201" s="29" t="s">
        <v>287</v>
      </c>
      <c r="E201" s="24" t="s">
        <v>558</v>
      </c>
      <c r="F201" s="30" t="n">
        <v>40695</v>
      </c>
      <c r="G201" s="30" t="n">
        <v>40725</v>
      </c>
      <c r="H201" s="31" t="n">
        <f aca="false">INT(($H$327-G201)/30)</f>
        <v>54</v>
      </c>
      <c r="I201" s="24" t="n">
        <f aca="false">H201*1000</f>
        <v>54000</v>
      </c>
      <c r="J201" s="31" t="n">
        <f aca="false">1000+53000</f>
        <v>54000</v>
      </c>
      <c r="K201" s="31"/>
      <c r="L201" s="32" t="n">
        <f aca="false">I201-J201-K201</f>
        <v>0</v>
      </c>
      <c r="M201" s="33" t="n">
        <v>800</v>
      </c>
      <c r="N201" s="33" t="n">
        <v>800</v>
      </c>
      <c r="O201" s="33" t="n">
        <v>800</v>
      </c>
      <c r="P201" s="33" t="n">
        <v>800</v>
      </c>
      <c r="Q201" s="33" t="n">
        <v>800</v>
      </c>
      <c r="R201" s="33" t="n">
        <v>800</v>
      </c>
      <c r="S201" s="33" t="n">
        <v>800</v>
      </c>
      <c r="T201" s="33" t="n">
        <v>800</v>
      </c>
      <c r="U201" s="33" t="n">
        <v>800</v>
      </c>
      <c r="V201" s="33" t="n">
        <v>800</v>
      </c>
      <c r="W201" s="33" t="n">
        <v>800</v>
      </c>
      <c r="X201" s="33" t="n">
        <v>800</v>
      </c>
      <c r="Y201" s="32" t="n">
        <f aca="false">SUM(L201:X201)</f>
        <v>9600</v>
      </c>
      <c r="Z201" s="8" t="n">
        <f aca="false">VLOOKUP(A201,справочник!$E$2:$F$322,2,0)</f>
        <v>0</v>
      </c>
    </row>
    <row collapsed="false" customFormat="false" customHeight="true" hidden="true" ht="25.5" outlineLevel="0" r="202">
      <c r="A202" s="19" t="n">
        <f aca="false">VLOOKUP(B202,справочник!$B$2:$E$322,4,0)</f>
        <v>300</v>
      </c>
      <c r="B202" s="0" t="e">
        <f aca="false">CONCATENATE(C202;D202)</f>
        <v>#VALUE!</v>
      </c>
      <c r="C202" s="24" t="n">
        <v>315</v>
      </c>
      <c r="D202" s="29" t="s">
        <v>143</v>
      </c>
      <c r="E202" s="24" t="s">
        <v>559</v>
      </c>
      <c r="F202" s="30" t="n">
        <v>41999</v>
      </c>
      <c r="G202" s="30" t="n">
        <v>42005</v>
      </c>
      <c r="H202" s="31" t="n">
        <f aca="false">INT(($H$327-G202)/30)</f>
        <v>12</v>
      </c>
      <c r="I202" s="24" t="n">
        <f aca="false">H202*1000</f>
        <v>12000</v>
      </c>
      <c r="J202" s="31" t="n">
        <v>1000</v>
      </c>
      <c r="K202" s="31"/>
      <c r="L202" s="32" t="n">
        <f aca="false">I202-J202-K202</f>
        <v>11000</v>
      </c>
      <c r="M202" s="33" t="n">
        <v>800</v>
      </c>
      <c r="N202" s="33" t="n">
        <v>800</v>
      </c>
      <c r="O202" s="33" t="n">
        <v>800</v>
      </c>
      <c r="P202" s="33" t="n">
        <v>800</v>
      </c>
      <c r="Q202" s="33" t="n">
        <v>800</v>
      </c>
      <c r="R202" s="33" t="n">
        <v>800</v>
      </c>
      <c r="S202" s="33" t="n">
        <v>800</v>
      </c>
      <c r="T202" s="33" t="n">
        <v>800</v>
      </c>
      <c r="U202" s="33" t="n">
        <v>800</v>
      </c>
      <c r="V202" s="33" t="n">
        <v>800</v>
      </c>
      <c r="W202" s="33" t="n">
        <v>800</v>
      </c>
      <c r="X202" s="33" t="n">
        <v>800</v>
      </c>
      <c r="Y202" s="32" t="n">
        <f aca="false">SUM(L202:X202)</f>
        <v>20600</v>
      </c>
      <c r="Z202" s="8" t="n">
        <f aca="false">VLOOKUP(A202,справочник!$E$2:$F$322,2,0)</f>
        <v>0</v>
      </c>
    </row>
    <row collapsed="false" customFormat="false" customHeight="false" hidden="true" ht="25.5" outlineLevel="0" r="203">
      <c r="A203" s="19" t="n">
        <f aca="false">VLOOKUP(B203,справочник!$B$2:$E$322,4,0)</f>
        <v>47</v>
      </c>
      <c r="B203" s="0" t="e">
        <f aca="false">CONCATENATE(C203;D203)</f>
        <v>#VALUE!</v>
      </c>
      <c r="C203" s="24" t="n">
        <v>47</v>
      </c>
      <c r="D203" s="29" t="s">
        <v>81</v>
      </c>
      <c r="E203" s="24" t="s">
        <v>560</v>
      </c>
      <c r="F203" s="30" t="n">
        <v>41375</v>
      </c>
      <c r="G203" s="30" t="n">
        <v>41395</v>
      </c>
      <c r="H203" s="31" t="n">
        <f aca="false">INT(($H$327-G203)/30)</f>
        <v>32</v>
      </c>
      <c r="I203" s="24" t="n">
        <f aca="false">H203*1000</f>
        <v>32000</v>
      </c>
      <c r="J203" s="31" t="n">
        <v>9000</v>
      </c>
      <c r="K203" s="31"/>
      <c r="L203" s="32" t="n">
        <f aca="false">I203-J203-K203</f>
        <v>23000</v>
      </c>
      <c r="M203" s="33" t="n">
        <v>800</v>
      </c>
      <c r="N203" s="33" t="n">
        <v>800</v>
      </c>
      <c r="O203" s="33" t="n">
        <v>800</v>
      </c>
      <c r="P203" s="33" t="n">
        <v>800</v>
      </c>
      <c r="Q203" s="33" t="n">
        <v>800</v>
      </c>
      <c r="R203" s="33" t="n">
        <v>800</v>
      </c>
      <c r="S203" s="33" t="n">
        <v>800</v>
      </c>
      <c r="T203" s="33" t="n">
        <v>800</v>
      </c>
      <c r="U203" s="33" t="n">
        <v>800</v>
      </c>
      <c r="V203" s="33" t="n">
        <v>800</v>
      </c>
      <c r="W203" s="33" t="n">
        <v>800</v>
      </c>
      <c r="X203" s="33" t="n">
        <v>800</v>
      </c>
      <c r="Y203" s="32" t="n">
        <f aca="false">SUM(L203:X203)</f>
        <v>32600</v>
      </c>
      <c r="Z203" s="8" t="n">
        <f aca="false">VLOOKUP(A203,справочник!$E$2:$F$322,2,0)</f>
        <v>0</v>
      </c>
    </row>
    <row collapsed="false" customFormat="false" customHeight="false" hidden="true" ht="15" outlineLevel="0" r="204">
      <c r="A204" s="19" t="n">
        <f aca="false">VLOOKUP(B204,справочник!$B$2:$E$322,4,0)</f>
        <v>282</v>
      </c>
      <c r="B204" s="0" t="e">
        <f aca="false">CONCATENATE(C204;D204)</f>
        <v>#VALUE!</v>
      </c>
      <c r="C204" s="24" t="n">
        <v>294</v>
      </c>
      <c r="D204" s="29" t="s">
        <v>181</v>
      </c>
      <c r="E204" s="40" t="s">
        <v>531</v>
      </c>
      <c r="F204" s="41" t="n">
        <v>41716</v>
      </c>
      <c r="G204" s="41" t="n">
        <v>41730</v>
      </c>
      <c r="H204" s="31" t="n">
        <f aca="false">INT(($H$327-G204)/30)</f>
        <v>21</v>
      </c>
      <c r="I204" s="24" t="n">
        <f aca="false">H204*1000</f>
        <v>21000</v>
      </c>
      <c r="J204" s="31" t="n">
        <v>18000</v>
      </c>
      <c r="K204" s="31"/>
      <c r="L204" s="32" t="n">
        <f aca="false">I204-J204-K204</f>
        <v>3000</v>
      </c>
      <c r="M204" s="33" t="n">
        <v>800</v>
      </c>
      <c r="N204" s="33" t="n">
        <v>800</v>
      </c>
      <c r="O204" s="33" t="n">
        <v>800</v>
      </c>
      <c r="P204" s="33" t="n">
        <v>800</v>
      </c>
      <c r="Q204" s="33" t="n">
        <v>800</v>
      </c>
      <c r="R204" s="33" t="n">
        <v>800</v>
      </c>
      <c r="S204" s="33" t="n">
        <v>800</v>
      </c>
      <c r="T204" s="33" t="n">
        <v>800</v>
      </c>
      <c r="U204" s="33" t="n">
        <v>800</v>
      </c>
      <c r="V204" s="33" t="n">
        <v>800</v>
      </c>
      <c r="W204" s="33" t="n">
        <v>800</v>
      </c>
      <c r="X204" s="33" t="n">
        <v>800</v>
      </c>
      <c r="Y204" s="32" t="n">
        <f aca="false">SUM(L204:X204)</f>
        <v>12600</v>
      </c>
      <c r="Z204" s="8" t="n">
        <f aca="false">VLOOKUP(A204,справочник!$E$2:$F$322,2,0)</f>
        <v>0</v>
      </c>
    </row>
    <row collapsed="false" customFormat="false" customHeight="true" hidden="true" ht="25.5" outlineLevel="0" r="205">
      <c r="A205" s="19" t="n">
        <f aca="false">VLOOKUP(B205,справочник!$B$2:$E$322,4,0)</f>
        <v>204</v>
      </c>
      <c r="B205" s="0" t="e">
        <f aca="false">CONCATENATE(C205;D205)</f>
        <v>#VALUE!</v>
      </c>
      <c r="C205" s="24" t="n">
        <v>214</v>
      </c>
      <c r="D205" s="29" t="s">
        <v>211</v>
      </c>
      <c r="E205" s="24" t="s">
        <v>561</v>
      </c>
      <c r="F205" s="24"/>
      <c r="G205" s="24"/>
      <c r="H205" s="31"/>
      <c r="I205" s="24" t="n">
        <f aca="false">H205*1000</f>
        <v>0</v>
      </c>
      <c r="J205" s="31"/>
      <c r="K205" s="31"/>
      <c r="L205" s="32" t="n">
        <f aca="false">I205-J205-K205</f>
        <v>0</v>
      </c>
      <c r="M205" s="33" t="n">
        <v>800</v>
      </c>
      <c r="N205" s="33" t="n">
        <v>800</v>
      </c>
      <c r="O205" s="33" t="n">
        <v>800</v>
      </c>
      <c r="P205" s="33" t="n">
        <v>800</v>
      </c>
      <c r="Q205" s="33" t="n">
        <v>800</v>
      </c>
      <c r="R205" s="33" t="n">
        <v>800</v>
      </c>
      <c r="S205" s="33" t="n">
        <v>800</v>
      </c>
      <c r="T205" s="33" t="n">
        <v>800</v>
      </c>
      <c r="U205" s="33" t="n">
        <v>800</v>
      </c>
      <c r="V205" s="33" t="n">
        <v>800</v>
      </c>
      <c r="W205" s="33" t="n">
        <v>800</v>
      </c>
      <c r="X205" s="33" t="n">
        <v>800</v>
      </c>
      <c r="Y205" s="32" t="n">
        <f aca="false">SUM(L205:X205)</f>
        <v>9600</v>
      </c>
      <c r="Z205" s="8" t="n">
        <f aca="false">VLOOKUP(A205,справочник!$E$2:$F$322,2,0)</f>
        <v>0</v>
      </c>
    </row>
    <row collapsed="false" customFormat="false" customHeight="false" hidden="true" ht="15" outlineLevel="0" r="206">
      <c r="A206" s="19" t="n">
        <f aca="false">VLOOKUP(B206,справочник!$B$2:$E$322,4,0)</f>
        <v>291</v>
      </c>
      <c r="B206" s="0" t="e">
        <f aca="false">CONCATENATE(C206;D206)</f>
        <v>#VALUE!</v>
      </c>
      <c r="C206" s="24" t="n">
        <v>304</v>
      </c>
      <c r="D206" s="29" t="s">
        <v>207</v>
      </c>
      <c r="E206" s="24" t="s">
        <v>562</v>
      </c>
      <c r="F206" s="24"/>
      <c r="G206" s="24"/>
      <c r="H206" s="31"/>
      <c r="I206" s="24" t="n">
        <f aca="false">H206*1000</f>
        <v>0</v>
      </c>
      <c r="J206" s="31"/>
      <c r="K206" s="31"/>
      <c r="L206" s="32" t="n">
        <f aca="false">I206-J206-K206</f>
        <v>0</v>
      </c>
      <c r="M206" s="33" t="n">
        <v>800</v>
      </c>
      <c r="N206" s="33" t="n">
        <v>800</v>
      </c>
      <c r="O206" s="33" t="n">
        <v>800</v>
      </c>
      <c r="P206" s="33" t="n">
        <v>800</v>
      </c>
      <c r="Q206" s="33" t="n">
        <v>800</v>
      </c>
      <c r="R206" s="33" t="n">
        <v>800</v>
      </c>
      <c r="S206" s="33" t="n">
        <v>800</v>
      </c>
      <c r="T206" s="33" t="n">
        <v>800</v>
      </c>
      <c r="U206" s="33" t="n">
        <v>800</v>
      </c>
      <c r="V206" s="33" t="n">
        <v>800</v>
      </c>
      <c r="W206" s="33" t="n">
        <v>800</v>
      </c>
      <c r="X206" s="33" t="n">
        <v>800</v>
      </c>
      <c r="Y206" s="32" t="n">
        <f aca="false">SUM(L206:X206)</f>
        <v>9600</v>
      </c>
      <c r="Z206" s="8" t="n">
        <f aca="false">VLOOKUP(A206,справочник!$E$2:$F$322,2,0)</f>
        <v>0</v>
      </c>
    </row>
    <row collapsed="false" customFormat="false" customHeight="false" hidden="true" ht="15" outlineLevel="0" r="207">
      <c r="A207" s="19" t="n">
        <f aca="false">VLOOKUP(B207,справочник!$B$2:$E$322,4,0)</f>
        <v>89</v>
      </c>
      <c r="B207" s="0" t="e">
        <f aca="false">CONCATENATE(C207;D207)</f>
        <v>#VALUE!</v>
      </c>
      <c r="C207" s="24" t="n">
        <v>94</v>
      </c>
      <c r="D207" s="29" t="s">
        <v>87</v>
      </c>
      <c r="E207" s="24" t="s">
        <v>563</v>
      </c>
      <c r="F207" s="30" t="n">
        <v>41106</v>
      </c>
      <c r="G207" s="30" t="n">
        <v>41091</v>
      </c>
      <c r="H207" s="31" t="n">
        <f aca="false">INT(($H$327-G207)/30)</f>
        <v>42</v>
      </c>
      <c r="I207" s="24" t="n">
        <f aca="false">H207*1000</f>
        <v>42000</v>
      </c>
      <c r="J207" s="31" t="n">
        <f aca="false">21000</f>
        <v>21000</v>
      </c>
      <c r="K207" s="31"/>
      <c r="L207" s="32" t="n">
        <f aca="false">I207-J207-K207</f>
        <v>21000</v>
      </c>
      <c r="M207" s="33" t="n">
        <v>800</v>
      </c>
      <c r="N207" s="33" t="n">
        <v>800</v>
      </c>
      <c r="O207" s="33" t="n">
        <v>800</v>
      </c>
      <c r="P207" s="33" t="n">
        <v>800</v>
      </c>
      <c r="Q207" s="33" t="n">
        <v>800</v>
      </c>
      <c r="R207" s="33" t="n">
        <v>800</v>
      </c>
      <c r="S207" s="33" t="n">
        <v>800</v>
      </c>
      <c r="T207" s="33" t="n">
        <v>800</v>
      </c>
      <c r="U207" s="33" t="n">
        <v>800</v>
      </c>
      <c r="V207" s="33" t="n">
        <v>800</v>
      </c>
      <c r="W207" s="33" t="n">
        <v>800</v>
      </c>
      <c r="X207" s="33" t="n">
        <v>800</v>
      </c>
      <c r="Y207" s="32" t="n">
        <f aca="false">SUM(L207:X207)</f>
        <v>30600</v>
      </c>
      <c r="Z207" s="8" t="n">
        <f aca="false">VLOOKUP(A207,справочник!$E$2:$F$322,2,0)</f>
        <v>0</v>
      </c>
    </row>
    <row collapsed="false" customFormat="false" customHeight="false" hidden="true" ht="15" outlineLevel="0" r="208">
      <c r="A208" s="19" t="n">
        <f aca="false">VLOOKUP(B208,справочник!$B$2:$E$322,4,0)</f>
        <v>26</v>
      </c>
      <c r="B208" s="0" t="e">
        <f aca="false">CONCATENATE(C208;D208)</f>
        <v>#VALUE!</v>
      </c>
      <c r="C208" s="24" t="n">
        <v>26</v>
      </c>
      <c r="D208" s="29" t="s">
        <v>29</v>
      </c>
      <c r="E208" s="24" t="s">
        <v>564</v>
      </c>
      <c r="F208" s="30" t="n">
        <v>40788</v>
      </c>
      <c r="G208" s="30" t="n">
        <v>40787</v>
      </c>
      <c r="H208" s="31" t="n">
        <f aca="false">INT(($H$327-G208)/30)</f>
        <v>52</v>
      </c>
      <c r="I208" s="24" t="n">
        <f aca="false">H208*1000</f>
        <v>52000</v>
      </c>
      <c r="J208" s="31"/>
      <c r="K208" s="31"/>
      <c r="L208" s="32" t="n">
        <f aca="false">I208-J208-K208</f>
        <v>52000</v>
      </c>
      <c r="M208" s="33" t="n">
        <v>800</v>
      </c>
      <c r="N208" s="33" t="n">
        <v>800</v>
      </c>
      <c r="O208" s="33" t="n">
        <v>800</v>
      </c>
      <c r="P208" s="33" t="n">
        <v>800</v>
      </c>
      <c r="Q208" s="33" t="n">
        <v>800</v>
      </c>
      <c r="R208" s="33" t="n">
        <v>800</v>
      </c>
      <c r="S208" s="33" t="n">
        <v>800</v>
      </c>
      <c r="T208" s="33" t="n">
        <v>800</v>
      </c>
      <c r="U208" s="33" t="n">
        <v>800</v>
      </c>
      <c r="V208" s="33" t="n">
        <v>800</v>
      </c>
      <c r="W208" s="33" t="n">
        <v>800</v>
      </c>
      <c r="X208" s="33" t="n">
        <v>800</v>
      </c>
      <c r="Y208" s="32" t="n">
        <f aca="false">SUM(L208:X208)</f>
        <v>61600</v>
      </c>
      <c r="Z208" s="8" t="n">
        <f aca="false">VLOOKUP(A208,справочник!$E$2:$F$322,2,0)</f>
        <v>0</v>
      </c>
    </row>
    <row collapsed="false" customFormat="false" customHeight="false" hidden="true" ht="15" outlineLevel="0" r="209">
      <c r="A209" s="19" t="n">
        <f aca="false">VLOOKUP(B209,справочник!$B$2:$E$322,4,0)</f>
        <v>71</v>
      </c>
      <c r="B209" s="0" t="e">
        <f aca="false">CONCATENATE(C209;D209)</f>
        <v>#VALUE!</v>
      </c>
      <c r="C209" s="24" t="n">
        <v>77</v>
      </c>
      <c r="D209" s="29" t="s">
        <v>139</v>
      </c>
      <c r="E209" s="24" t="s">
        <v>565</v>
      </c>
      <c r="F209" s="30" t="n">
        <v>40788</v>
      </c>
      <c r="G209" s="30" t="n">
        <v>40787</v>
      </c>
      <c r="H209" s="31" t="n">
        <f aca="false">INT(($H$327-G209)/30)</f>
        <v>52</v>
      </c>
      <c r="I209" s="24" t="n">
        <f aca="false">H209*1000</f>
        <v>52000</v>
      </c>
      <c r="J209" s="31" t="n">
        <f aca="false">36000+4000</f>
        <v>40000</v>
      </c>
      <c r="K209" s="31"/>
      <c r="L209" s="32" t="n">
        <f aca="false">I209-J209-K209</f>
        <v>12000</v>
      </c>
      <c r="M209" s="33" t="n">
        <v>800</v>
      </c>
      <c r="N209" s="33" t="n">
        <v>800</v>
      </c>
      <c r="O209" s="33" t="n">
        <v>800</v>
      </c>
      <c r="P209" s="33" t="n">
        <v>800</v>
      </c>
      <c r="Q209" s="33" t="n">
        <v>800</v>
      </c>
      <c r="R209" s="33" t="n">
        <v>800</v>
      </c>
      <c r="S209" s="33" t="n">
        <v>800</v>
      </c>
      <c r="T209" s="33" t="n">
        <v>800</v>
      </c>
      <c r="U209" s="33" t="n">
        <v>800</v>
      </c>
      <c r="V209" s="33" t="n">
        <v>800</v>
      </c>
      <c r="W209" s="33" t="n">
        <v>800</v>
      </c>
      <c r="X209" s="33" t="n">
        <v>800</v>
      </c>
      <c r="Y209" s="32" t="n">
        <f aca="false">SUM(L209:X209)</f>
        <v>21600</v>
      </c>
      <c r="Z209" s="8" t="n">
        <f aca="false">VLOOKUP(A209,справочник!$E$2:$F$322,2,0)</f>
        <v>0</v>
      </c>
    </row>
    <row collapsed="false" customFormat="false" customHeight="true" hidden="true" ht="25.5" outlineLevel="0" r="210">
      <c r="A210" s="19" t="n">
        <f aca="false">VLOOKUP(B210,справочник!$B$2:$E$322,4,0)</f>
        <v>6</v>
      </c>
      <c r="B210" s="0" t="e">
        <f aca="false">CONCATENATE(C210;D210)</f>
        <v>#VALUE!</v>
      </c>
      <c r="C210" s="24" t="n">
        <v>6</v>
      </c>
      <c r="D210" s="29" t="s">
        <v>156</v>
      </c>
      <c r="E210" s="24" t="s">
        <v>566</v>
      </c>
      <c r="F210" s="30" t="n">
        <v>41939</v>
      </c>
      <c r="G210" s="30" t="n">
        <v>41944</v>
      </c>
      <c r="H210" s="31" t="n">
        <f aca="false">INT(($H$327-G210)/30)</f>
        <v>14</v>
      </c>
      <c r="I210" s="24" t="n">
        <f aca="false">H210*1000</f>
        <v>14000</v>
      </c>
      <c r="J210" s="31"/>
      <c r="K210" s="31"/>
      <c r="L210" s="32" t="n">
        <f aca="false">I210-J210-K210</f>
        <v>14000</v>
      </c>
      <c r="M210" s="33" t="n">
        <v>800</v>
      </c>
      <c r="N210" s="33" t="n">
        <v>800</v>
      </c>
      <c r="O210" s="33" t="n">
        <v>800</v>
      </c>
      <c r="P210" s="33" t="n">
        <v>800</v>
      </c>
      <c r="Q210" s="33" t="n">
        <v>800</v>
      </c>
      <c r="R210" s="33" t="n">
        <v>800</v>
      </c>
      <c r="S210" s="33" t="n">
        <v>800</v>
      </c>
      <c r="T210" s="33" t="n">
        <v>800</v>
      </c>
      <c r="U210" s="33" t="n">
        <v>800</v>
      </c>
      <c r="V210" s="33" t="n">
        <v>800</v>
      </c>
      <c r="W210" s="33" t="n">
        <v>800</v>
      </c>
      <c r="X210" s="33" t="n">
        <v>800</v>
      </c>
      <c r="Y210" s="32" t="n">
        <f aca="false">SUM(L210:X210)</f>
        <v>23600</v>
      </c>
      <c r="Z210" s="8" t="n">
        <f aca="false">VLOOKUP(A210,справочник!$E$2:$F$322,2,0)</f>
        <v>0</v>
      </c>
    </row>
    <row collapsed="false" customFormat="false" customHeight="true" hidden="true" ht="25.5" outlineLevel="0" r="211">
      <c r="A211" s="19" t="n">
        <f aca="false">VLOOKUP(B211,справочник!$B$2:$E$322,4,0)</f>
        <v>80</v>
      </c>
      <c r="B211" s="0" t="e">
        <f aca="false">CONCATENATE(C211;D211)</f>
        <v>#VALUE!</v>
      </c>
      <c r="C211" s="24" t="n">
        <v>85</v>
      </c>
      <c r="D211" s="29" t="s">
        <v>271</v>
      </c>
      <c r="E211" s="24" t="s">
        <v>567</v>
      </c>
      <c r="F211" s="30" t="n">
        <v>40995</v>
      </c>
      <c r="G211" s="30" t="n">
        <v>41000</v>
      </c>
      <c r="H211" s="31" t="n">
        <f aca="false">INT(($H$327-G211)/30)</f>
        <v>45</v>
      </c>
      <c r="I211" s="24" t="n">
        <f aca="false">H211*1000</f>
        <v>45000</v>
      </c>
      <c r="J211" s="31" t="n">
        <v>45000</v>
      </c>
      <c r="K211" s="31"/>
      <c r="L211" s="32" t="n">
        <f aca="false">I211-J211-K211</f>
        <v>0</v>
      </c>
      <c r="M211" s="33" t="n">
        <v>800</v>
      </c>
      <c r="N211" s="33" t="n">
        <v>800</v>
      </c>
      <c r="O211" s="33" t="n">
        <v>800</v>
      </c>
      <c r="P211" s="33" t="n">
        <v>800</v>
      </c>
      <c r="Q211" s="33" t="n">
        <v>800</v>
      </c>
      <c r="R211" s="33" t="n">
        <v>800</v>
      </c>
      <c r="S211" s="33" t="n">
        <v>800</v>
      </c>
      <c r="T211" s="33" t="n">
        <v>800</v>
      </c>
      <c r="U211" s="33" t="n">
        <v>800</v>
      </c>
      <c r="V211" s="33" t="n">
        <v>800</v>
      </c>
      <c r="W211" s="33" t="n">
        <v>800</v>
      </c>
      <c r="X211" s="33" t="n">
        <v>800</v>
      </c>
      <c r="Y211" s="32" t="n">
        <f aca="false">SUM(L211:X211)</f>
        <v>9600</v>
      </c>
      <c r="Z211" s="8" t="n">
        <f aca="false">VLOOKUP(A211,справочник!$E$2:$F$322,2,0)</f>
        <v>0</v>
      </c>
    </row>
    <row collapsed="false" customFormat="false" customHeight="true" hidden="true" ht="38.25" outlineLevel="0" r="212">
      <c r="A212" s="19" t="n">
        <f aca="false">VLOOKUP(B212,справочник!$B$2:$E$322,4,0)</f>
        <v>201</v>
      </c>
      <c r="B212" s="0" t="e">
        <f aca="false">CONCATENATE(C212;D212)</f>
        <v>#VALUE!</v>
      </c>
      <c r="C212" s="24" t="n">
        <v>209</v>
      </c>
      <c r="D212" s="29" t="s">
        <v>203</v>
      </c>
      <c r="E212" s="24" t="s">
        <v>568</v>
      </c>
      <c r="F212" s="30" t="n">
        <v>40974</v>
      </c>
      <c r="G212" s="30" t="n">
        <v>40969</v>
      </c>
      <c r="H212" s="31" t="n">
        <f aca="false">INT(($H$327-G212)/30)</f>
        <v>46</v>
      </c>
      <c r="I212" s="24" t="n">
        <f aca="false">H212*1000</f>
        <v>46000</v>
      </c>
      <c r="J212" s="31" t="n">
        <v>38000</v>
      </c>
      <c r="K212" s="31"/>
      <c r="L212" s="32" t="n">
        <f aca="false">I212-J212-K212</f>
        <v>8000</v>
      </c>
      <c r="M212" s="33" t="n">
        <v>800</v>
      </c>
      <c r="N212" s="33" t="n">
        <v>800</v>
      </c>
      <c r="O212" s="33" t="n">
        <v>800</v>
      </c>
      <c r="P212" s="33" t="n">
        <v>800</v>
      </c>
      <c r="Q212" s="33" t="n">
        <v>800</v>
      </c>
      <c r="R212" s="33" t="n">
        <v>800</v>
      </c>
      <c r="S212" s="33" t="n">
        <v>800</v>
      </c>
      <c r="T212" s="33" t="n">
        <v>800</v>
      </c>
      <c r="U212" s="33" t="n">
        <v>800</v>
      </c>
      <c r="V212" s="33" t="n">
        <v>800</v>
      </c>
      <c r="W212" s="33" t="n">
        <v>800</v>
      </c>
      <c r="X212" s="33" t="n">
        <v>800</v>
      </c>
      <c r="Y212" s="32" t="n">
        <f aca="false">SUM(L212:X212)</f>
        <v>17600</v>
      </c>
      <c r="Z212" s="8" t="n">
        <f aca="false">VLOOKUP(A212,справочник!$E$2:$F$322,2,0)</f>
        <v>0</v>
      </c>
    </row>
    <row collapsed="false" customFormat="false" customHeight="false" hidden="true" ht="15" outlineLevel="0" r="213">
      <c r="A213" s="19" t="n">
        <f aca="false">VLOOKUP(B213,справочник!$B$2:$E$322,4,0)</f>
        <v>147</v>
      </c>
      <c r="B213" s="0" t="e">
        <f aca="false">CONCATENATE(C213;D213)</f>
        <v>#VALUE!</v>
      </c>
      <c r="C213" s="24" t="n">
        <v>155</v>
      </c>
      <c r="D213" s="29" t="s">
        <v>119</v>
      </c>
      <c r="E213" s="24" t="s">
        <v>569</v>
      </c>
      <c r="F213" s="30" t="n">
        <v>40952</v>
      </c>
      <c r="G213" s="30" t="n">
        <v>40940</v>
      </c>
      <c r="H213" s="31" t="n">
        <f aca="false">INT(($H$327-G213)/30)</f>
        <v>47</v>
      </c>
      <c r="I213" s="24" t="n">
        <f aca="false">H213*1000</f>
        <v>47000</v>
      </c>
      <c r="J213" s="31" t="n">
        <v>32000</v>
      </c>
      <c r="K213" s="31"/>
      <c r="L213" s="32" t="n">
        <f aca="false">I213-J213-K213</f>
        <v>15000</v>
      </c>
      <c r="M213" s="33" t="n">
        <v>800</v>
      </c>
      <c r="N213" s="33" t="n">
        <v>800</v>
      </c>
      <c r="O213" s="33" t="n">
        <v>800</v>
      </c>
      <c r="P213" s="33" t="n">
        <v>800</v>
      </c>
      <c r="Q213" s="33" t="n">
        <v>800</v>
      </c>
      <c r="R213" s="33" t="n">
        <v>800</v>
      </c>
      <c r="S213" s="33" t="n">
        <v>800</v>
      </c>
      <c r="T213" s="33" t="n">
        <v>800</v>
      </c>
      <c r="U213" s="33" t="n">
        <v>800</v>
      </c>
      <c r="V213" s="33" t="n">
        <v>800</v>
      </c>
      <c r="W213" s="33" t="n">
        <v>800</v>
      </c>
      <c r="X213" s="33" t="n">
        <v>800</v>
      </c>
      <c r="Y213" s="32" t="n">
        <f aca="false">SUM(L213:X213)</f>
        <v>24600</v>
      </c>
      <c r="Z213" s="8" t="n">
        <f aca="false">VLOOKUP(A213,справочник!$E$2:$F$322,2,0)</f>
        <v>0</v>
      </c>
    </row>
    <row collapsed="false" customFormat="false" customHeight="false" hidden="true" ht="25.5" outlineLevel="0" r="214">
      <c r="A214" s="19" t="e">
        <f aca="false">VLOOKUP(B214,справочник!$B$2:$E$322,4,0)</f>
        <v>#VALUE!</v>
      </c>
      <c r="B214" s="0" t="e">
        <f aca="false">CONCATENATE(C214;D214)</f>
        <v>#VALUE!</v>
      </c>
      <c r="C214" s="24" t="s">
        <v>570</v>
      </c>
      <c r="D214" s="29" t="s">
        <v>219</v>
      </c>
      <c r="E214" s="24" t="s">
        <v>571</v>
      </c>
      <c r="F214" s="30" t="n">
        <v>40923</v>
      </c>
      <c r="G214" s="30" t="n">
        <v>40909</v>
      </c>
      <c r="H214" s="31" t="n">
        <v>7</v>
      </c>
      <c r="I214" s="24" t="n">
        <f aca="false">H214*1000</f>
        <v>7000</v>
      </c>
      <c r="J214" s="31" t="n">
        <v>7000</v>
      </c>
      <c r="K214" s="31"/>
      <c r="L214" s="32" t="n">
        <f aca="false">I214-J214-K214</f>
        <v>0</v>
      </c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2" t="n">
        <f aca="false">SUM(L214:X214)</f>
        <v>0</v>
      </c>
      <c r="Z214" s="8" t="e">
        <f aca="false">VLOOKUP(A214,справочник!$E$2:$F$322,2,0)</f>
        <v>#VALUE!</v>
      </c>
    </row>
    <row collapsed="false" customFormat="false" customHeight="false" hidden="true" ht="15" outlineLevel="0" r="215">
      <c r="A215" s="19" t="n">
        <f aca="false">VLOOKUP(B215,справочник!$B$2:$E$322,4,0)</f>
        <v>33</v>
      </c>
      <c r="B215" s="0" t="e">
        <f aca="false">CONCATENATE(C215;D215)</f>
        <v>#VALUE!</v>
      </c>
      <c r="C215" s="24" t="n">
        <v>33</v>
      </c>
      <c r="D215" s="29" t="s">
        <v>250</v>
      </c>
      <c r="E215" s="24" t="s">
        <v>572</v>
      </c>
      <c r="F215" s="30" t="n">
        <v>40791</v>
      </c>
      <c r="G215" s="30" t="n">
        <v>40787</v>
      </c>
      <c r="H215" s="31" t="n">
        <f aca="false">INT(($H$327-G215)/30)</f>
        <v>52</v>
      </c>
      <c r="I215" s="24" t="n">
        <f aca="false">H215*1000</f>
        <v>52000</v>
      </c>
      <c r="J215" s="31" t="n">
        <f aca="false">1000+44000</f>
        <v>45000</v>
      </c>
      <c r="K215" s="31"/>
      <c r="L215" s="32" t="n">
        <f aca="false">I215-J215-K215</f>
        <v>7000</v>
      </c>
      <c r="M215" s="33" t="n">
        <v>800</v>
      </c>
      <c r="N215" s="33" t="n">
        <v>800</v>
      </c>
      <c r="O215" s="33" t="n">
        <v>800</v>
      </c>
      <c r="P215" s="33" t="n">
        <v>800</v>
      </c>
      <c r="Q215" s="33" t="n">
        <v>800</v>
      </c>
      <c r="R215" s="33" t="n">
        <v>800</v>
      </c>
      <c r="S215" s="33" t="n">
        <v>800</v>
      </c>
      <c r="T215" s="33" t="n">
        <v>800</v>
      </c>
      <c r="U215" s="33" t="n">
        <v>800</v>
      </c>
      <c r="V215" s="33" t="n">
        <v>800</v>
      </c>
      <c r="W215" s="33" t="n">
        <v>800</v>
      </c>
      <c r="X215" s="33" t="n">
        <v>800</v>
      </c>
      <c r="Y215" s="32" t="n">
        <f aca="false">SUM(L215:X215)</f>
        <v>16600</v>
      </c>
      <c r="Z215" s="8" t="n">
        <f aca="false">VLOOKUP(A215,справочник!$E$2:$F$322,2,0)</f>
        <v>0</v>
      </c>
    </row>
    <row collapsed="false" customFormat="false" customHeight="false" hidden="true" ht="15" outlineLevel="0" r="216">
      <c r="A216" s="19" t="n">
        <f aca="false">VLOOKUP(B216,справочник!$B$2:$E$322,4,0)</f>
        <v>169</v>
      </c>
      <c r="B216" s="0" t="e">
        <f aca="false">CONCATENATE(C216;D216)</f>
        <v>#VALUE!</v>
      </c>
      <c r="C216" s="24" t="n">
        <v>177</v>
      </c>
      <c r="D216" s="29" t="s">
        <v>255</v>
      </c>
      <c r="E216" s="24" t="s">
        <v>573</v>
      </c>
      <c r="F216" s="30" t="n">
        <v>41598</v>
      </c>
      <c r="G216" s="30" t="n">
        <v>41609</v>
      </c>
      <c r="H216" s="31" t="n">
        <f aca="false">INT(($H$327-G216)/30)</f>
        <v>25</v>
      </c>
      <c r="I216" s="24" t="n">
        <f aca="false">H216*1000</f>
        <v>25000</v>
      </c>
      <c r="J216" s="31" t="n">
        <v>21000</v>
      </c>
      <c r="K216" s="31"/>
      <c r="L216" s="32" t="n">
        <f aca="false">I216-J216-K216</f>
        <v>4000</v>
      </c>
      <c r="M216" s="33" t="n">
        <v>800</v>
      </c>
      <c r="N216" s="33" t="n">
        <v>800</v>
      </c>
      <c r="O216" s="33" t="n">
        <v>800</v>
      </c>
      <c r="P216" s="33" t="n">
        <v>800</v>
      </c>
      <c r="Q216" s="33" t="n">
        <v>800</v>
      </c>
      <c r="R216" s="33" t="n">
        <v>800</v>
      </c>
      <c r="S216" s="33" t="n">
        <v>800</v>
      </c>
      <c r="T216" s="33" t="n">
        <v>800</v>
      </c>
      <c r="U216" s="33" t="n">
        <v>800</v>
      </c>
      <c r="V216" s="33" t="n">
        <v>800</v>
      </c>
      <c r="W216" s="33" t="n">
        <v>800</v>
      </c>
      <c r="X216" s="33" t="n">
        <v>800</v>
      </c>
      <c r="Y216" s="32" t="n">
        <f aca="false">SUM(L216:X216)</f>
        <v>13600</v>
      </c>
      <c r="Z216" s="8" t="n">
        <f aca="false">VLOOKUP(A216,справочник!$E$2:$F$322,2,0)</f>
        <v>0</v>
      </c>
    </row>
    <row collapsed="false" customFormat="false" customHeight="false" hidden="true" ht="15" outlineLevel="0" r="217">
      <c r="A217" s="19" t="n">
        <f aca="false">VLOOKUP(B217,справочник!$B$2:$E$322,4,0)</f>
        <v>185</v>
      </c>
      <c r="B217" s="0" t="e">
        <f aca="false">CONCATENATE(C217;D217)</f>
        <v>#VALUE!</v>
      </c>
      <c r="C217" s="24" t="n">
        <v>193</v>
      </c>
      <c r="D217" s="29" t="s">
        <v>124</v>
      </c>
      <c r="E217" s="24" t="s">
        <v>574</v>
      </c>
      <c r="F217" s="30" t="n">
        <v>41506</v>
      </c>
      <c r="G217" s="30" t="n">
        <v>41518</v>
      </c>
      <c r="H217" s="31" t="n">
        <f aca="false">INT(($H$327-G217)/30)</f>
        <v>28</v>
      </c>
      <c r="I217" s="24" t="n">
        <f aca="false">H217*1000</f>
        <v>28000</v>
      </c>
      <c r="J217" s="31" t="n">
        <v>14000</v>
      </c>
      <c r="K217" s="31"/>
      <c r="L217" s="32" t="n">
        <f aca="false">I217-J217-K217</f>
        <v>14000</v>
      </c>
      <c r="M217" s="33" t="n">
        <v>800</v>
      </c>
      <c r="N217" s="33" t="n">
        <v>800</v>
      </c>
      <c r="O217" s="33" t="n">
        <v>800</v>
      </c>
      <c r="P217" s="33" t="n">
        <v>800</v>
      </c>
      <c r="Q217" s="33" t="n">
        <v>800</v>
      </c>
      <c r="R217" s="33" t="n">
        <v>800</v>
      </c>
      <c r="S217" s="33" t="n">
        <v>800</v>
      </c>
      <c r="T217" s="33" t="n">
        <v>800</v>
      </c>
      <c r="U217" s="33" t="n">
        <v>800</v>
      </c>
      <c r="V217" s="33" t="n">
        <v>800</v>
      </c>
      <c r="W217" s="33" t="n">
        <v>800</v>
      </c>
      <c r="X217" s="33" t="n">
        <v>800</v>
      </c>
      <c r="Y217" s="32" t="n">
        <f aca="false">SUM(L217:X217)</f>
        <v>23600</v>
      </c>
      <c r="Z217" s="8" t="n">
        <f aca="false">VLOOKUP(A217,справочник!$E$2:$F$322,2,0)</f>
        <v>0</v>
      </c>
    </row>
    <row collapsed="false" customFormat="false" customHeight="false" hidden="true" ht="15" outlineLevel="0" r="218">
      <c r="A218" s="19" t="n">
        <f aca="false">VLOOKUP(B218,справочник!$B$2:$E$322,4,0)</f>
        <v>176</v>
      </c>
      <c r="B218" s="0" t="e">
        <f aca="false">CONCATENATE(C218;D218)</f>
        <v>#VALUE!</v>
      </c>
      <c r="C218" s="24" t="n">
        <v>184</v>
      </c>
      <c r="D218" s="29" t="s">
        <v>190</v>
      </c>
      <c r="E218" s="24" t="s">
        <v>575</v>
      </c>
      <c r="F218" s="30" t="n">
        <v>41734</v>
      </c>
      <c r="G218" s="30" t="n">
        <v>41760</v>
      </c>
      <c r="H218" s="31" t="n">
        <f aca="false">INT(($H$327-G218)/30)</f>
        <v>20</v>
      </c>
      <c r="I218" s="24" t="n">
        <f aca="false">H218*1000</f>
        <v>20000</v>
      </c>
      <c r="J218" s="31" t="n">
        <v>3000</v>
      </c>
      <c r="K218" s="31"/>
      <c r="L218" s="32" t="n">
        <f aca="false">I218-J218-K218</f>
        <v>17000</v>
      </c>
      <c r="M218" s="33" t="n">
        <v>800</v>
      </c>
      <c r="N218" s="33" t="n">
        <v>800</v>
      </c>
      <c r="O218" s="33" t="n">
        <v>800</v>
      </c>
      <c r="P218" s="33" t="n">
        <v>800</v>
      </c>
      <c r="Q218" s="33" t="n">
        <v>800</v>
      </c>
      <c r="R218" s="33" t="n">
        <v>800</v>
      </c>
      <c r="S218" s="33" t="n">
        <v>800</v>
      </c>
      <c r="T218" s="33" t="n">
        <v>800</v>
      </c>
      <c r="U218" s="33" t="n">
        <v>800</v>
      </c>
      <c r="V218" s="33" t="n">
        <v>800</v>
      </c>
      <c r="W218" s="33" t="n">
        <v>800</v>
      </c>
      <c r="X218" s="33" t="n">
        <v>800</v>
      </c>
      <c r="Y218" s="32" t="n">
        <f aca="false">SUM(L218:X218)</f>
        <v>26600</v>
      </c>
      <c r="Z218" s="8" t="n">
        <f aca="false">VLOOKUP(A218,справочник!$E$2:$F$322,2,0)</f>
        <v>0</v>
      </c>
    </row>
    <row collapsed="false" customFormat="false" customHeight="false" hidden="true" ht="15" outlineLevel="0" r="219">
      <c r="A219" s="19" t="n">
        <f aca="false">VLOOKUP(B219,справочник!$B$2:$E$322,4,0)</f>
        <v>307</v>
      </c>
      <c r="B219" s="0" t="e">
        <f aca="false">CONCATENATE(C219;D219)</f>
        <v>#VALUE!</v>
      </c>
      <c r="C219" s="24" t="n">
        <v>322</v>
      </c>
      <c r="D219" s="29" t="s">
        <v>169</v>
      </c>
      <c r="E219" s="24" t="s">
        <v>576</v>
      </c>
      <c r="F219" s="30" t="n">
        <v>41114</v>
      </c>
      <c r="G219" s="30" t="n">
        <v>41122</v>
      </c>
      <c r="H219" s="31" t="n">
        <f aca="false">INT(($H$327-G219)/30)</f>
        <v>41</v>
      </c>
      <c r="I219" s="24" t="n">
        <f aca="false">H219*1000</f>
        <v>41000</v>
      </c>
      <c r="J219" s="31" t="n">
        <v>27000</v>
      </c>
      <c r="K219" s="31"/>
      <c r="L219" s="32" t="n">
        <f aca="false">I219-J219-K219</f>
        <v>14000</v>
      </c>
      <c r="M219" s="33" t="n">
        <v>800</v>
      </c>
      <c r="N219" s="33" t="n">
        <v>800</v>
      </c>
      <c r="O219" s="33" t="n">
        <v>800</v>
      </c>
      <c r="P219" s="33" t="n">
        <v>800</v>
      </c>
      <c r="Q219" s="33" t="n">
        <v>800</v>
      </c>
      <c r="R219" s="33" t="n">
        <v>800</v>
      </c>
      <c r="S219" s="33" t="n">
        <v>800</v>
      </c>
      <c r="T219" s="33" t="n">
        <v>800</v>
      </c>
      <c r="U219" s="33" t="n">
        <v>800</v>
      </c>
      <c r="V219" s="33" t="n">
        <v>800</v>
      </c>
      <c r="W219" s="33" t="n">
        <v>800</v>
      </c>
      <c r="X219" s="33" t="n">
        <v>800</v>
      </c>
      <c r="Y219" s="32" t="n">
        <f aca="false">SUM(L219:X219)</f>
        <v>23600</v>
      </c>
      <c r="Z219" s="8" t="n">
        <f aca="false">VLOOKUP(A219,справочник!$E$2:$F$322,2,0)</f>
        <v>0</v>
      </c>
    </row>
    <row collapsed="false" customFormat="false" customHeight="false" hidden="true" ht="15" outlineLevel="0" r="220">
      <c r="A220" s="19" t="n">
        <f aca="false">VLOOKUP(B220,справочник!$B$2:$E$322,4,0)</f>
        <v>177</v>
      </c>
      <c r="B220" s="0" t="e">
        <f aca="false">CONCATENATE(C220;D220)</f>
        <v>#VALUE!</v>
      </c>
      <c r="C220" s="24" t="n">
        <v>185</v>
      </c>
      <c r="D220" s="29" t="s">
        <v>184</v>
      </c>
      <c r="E220" s="24" t="s">
        <v>577</v>
      </c>
      <c r="F220" s="30" t="n">
        <v>41898</v>
      </c>
      <c r="G220" s="30" t="n">
        <v>41913</v>
      </c>
      <c r="H220" s="31" t="n">
        <f aca="false">INT(($H$327-G220)/30)</f>
        <v>15</v>
      </c>
      <c r="I220" s="24" t="n">
        <f aca="false">H220*1000</f>
        <v>15000</v>
      </c>
      <c r="J220" s="31" t="n">
        <v>12000</v>
      </c>
      <c r="K220" s="31"/>
      <c r="L220" s="32" t="n">
        <f aca="false">I220-J220-K220</f>
        <v>3000</v>
      </c>
      <c r="M220" s="33" t="n">
        <v>800</v>
      </c>
      <c r="N220" s="33" t="n">
        <v>800</v>
      </c>
      <c r="O220" s="33" t="n">
        <v>800</v>
      </c>
      <c r="P220" s="33" t="n">
        <v>800</v>
      </c>
      <c r="Q220" s="33" t="n">
        <v>800</v>
      </c>
      <c r="R220" s="33" t="n">
        <v>800</v>
      </c>
      <c r="S220" s="33" t="n">
        <v>800</v>
      </c>
      <c r="T220" s="33" t="n">
        <v>800</v>
      </c>
      <c r="U220" s="33" t="n">
        <v>800</v>
      </c>
      <c r="V220" s="33" t="n">
        <v>800</v>
      </c>
      <c r="W220" s="33" t="n">
        <v>800</v>
      </c>
      <c r="X220" s="33" t="n">
        <v>800</v>
      </c>
      <c r="Y220" s="32" t="n">
        <f aca="false">SUM(L220:X220)</f>
        <v>12600</v>
      </c>
      <c r="Z220" s="8" t="n">
        <f aca="false">VLOOKUP(A220,справочник!$E$2:$F$322,2,0)</f>
        <v>0</v>
      </c>
    </row>
    <row collapsed="false" customFormat="false" customHeight="false" hidden="true" ht="15" outlineLevel="0" r="221">
      <c r="A221" s="19" t="n">
        <f aca="false">VLOOKUP(B221,справочник!$B$2:$E$322,4,0)</f>
        <v>160</v>
      </c>
      <c r="B221" s="0" t="e">
        <f aca="false">CONCATENATE(C221;D221)</f>
        <v>#VALUE!</v>
      </c>
      <c r="C221" s="24" t="n">
        <v>168</v>
      </c>
      <c r="D221" s="29" t="s">
        <v>86</v>
      </c>
      <c r="E221" s="24" t="s">
        <v>578</v>
      </c>
      <c r="F221" s="30" t="n">
        <v>41079</v>
      </c>
      <c r="G221" s="30" t="n">
        <v>41091</v>
      </c>
      <c r="H221" s="31" t="n">
        <f aca="false">INT(($H$327-G221)/30)</f>
        <v>42</v>
      </c>
      <c r="I221" s="24" t="n">
        <f aca="false">H221*1000</f>
        <v>42000</v>
      </c>
      <c r="J221" s="31" t="n">
        <v>21000</v>
      </c>
      <c r="K221" s="31"/>
      <c r="L221" s="32" t="n">
        <f aca="false">I221-J221-K221</f>
        <v>21000</v>
      </c>
      <c r="M221" s="33" t="n">
        <v>800</v>
      </c>
      <c r="N221" s="33" t="n">
        <v>800</v>
      </c>
      <c r="O221" s="33" t="n">
        <v>800</v>
      </c>
      <c r="P221" s="33" t="n">
        <v>800</v>
      </c>
      <c r="Q221" s="33" t="n">
        <v>800</v>
      </c>
      <c r="R221" s="33" t="n">
        <v>800</v>
      </c>
      <c r="S221" s="33" t="n">
        <v>800</v>
      </c>
      <c r="T221" s="33" t="n">
        <v>800</v>
      </c>
      <c r="U221" s="33" t="n">
        <v>800</v>
      </c>
      <c r="V221" s="33" t="n">
        <v>800</v>
      </c>
      <c r="W221" s="33" t="n">
        <v>800</v>
      </c>
      <c r="X221" s="33" t="n">
        <v>800</v>
      </c>
      <c r="Y221" s="32" t="n">
        <f aca="false">SUM(L221:X221)</f>
        <v>30600</v>
      </c>
      <c r="Z221" s="8" t="n">
        <f aca="false">VLOOKUP(A221,справочник!$E$2:$F$322,2,0)</f>
        <v>0</v>
      </c>
    </row>
    <row collapsed="false" customFormat="false" customHeight="true" hidden="true" ht="25.5" outlineLevel="0" r="222">
      <c r="A222" s="19" t="n">
        <f aca="false">VLOOKUP(B222,справочник!$B$2:$E$322,4,0)</f>
        <v>53</v>
      </c>
      <c r="B222" s="0" t="e">
        <f aca="false">CONCATENATE(C222;D222)</f>
        <v>#VALUE!</v>
      </c>
      <c r="C222" s="24" t="n">
        <v>55</v>
      </c>
      <c r="D222" s="29" t="s">
        <v>217</v>
      </c>
      <c r="E222" s="24" t="s">
        <v>579</v>
      </c>
      <c r="F222" s="30" t="n">
        <v>41995</v>
      </c>
      <c r="G222" s="30" t="n">
        <v>42005</v>
      </c>
      <c r="H222" s="31" t="n">
        <f aca="false">INT(($H$327-G222)/30)</f>
        <v>12</v>
      </c>
      <c r="I222" s="24" t="n">
        <f aca="false">H222*1000</f>
        <v>12000</v>
      </c>
      <c r="J222" s="31" t="n">
        <v>12000</v>
      </c>
      <c r="K222" s="31"/>
      <c r="L222" s="32" t="n">
        <f aca="false">I222-J222-K222</f>
        <v>0</v>
      </c>
      <c r="M222" s="33" t="n">
        <v>800</v>
      </c>
      <c r="N222" s="33" t="n">
        <v>800</v>
      </c>
      <c r="O222" s="33" t="n">
        <v>800</v>
      </c>
      <c r="P222" s="33" t="n">
        <v>800</v>
      </c>
      <c r="Q222" s="33" t="n">
        <v>800</v>
      </c>
      <c r="R222" s="33" t="n">
        <v>800</v>
      </c>
      <c r="S222" s="33" t="n">
        <v>800</v>
      </c>
      <c r="T222" s="33" t="n">
        <v>800</v>
      </c>
      <c r="U222" s="33" t="n">
        <v>800</v>
      </c>
      <c r="V222" s="33" t="n">
        <v>800</v>
      </c>
      <c r="W222" s="33" t="n">
        <v>800</v>
      </c>
      <c r="X222" s="33" t="n">
        <v>800</v>
      </c>
      <c r="Y222" s="32" t="n">
        <f aca="false">SUM(L222:X222)</f>
        <v>9600</v>
      </c>
      <c r="Z222" s="8" t="n">
        <f aca="false">VLOOKUP(A222,справочник!$E$2:$F$322,2,0)</f>
        <v>0</v>
      </c>
    </row>
    <row collapsed="false" customFormat="false" customHeight="false" hidden="true" ht="15" outlineLevel="0" r="223">
      <c r="A223" s="19" t="n">
        <f aca="false">VLOOKUP(B223,справочник!$B$2:$E$322,4,0)</f>
        <v>102</v>
      </c>
      <c r="B223" s="0" t="e">
        <f aca="false">CONCATENATE(C223;D223)</f>
        <v>#VALUE!</v>
      </c>
      <c r="C223" s="24" t="n">
        <v>107</v>
      </c>
      <c r="D223" s="29" t="s">
        <v>268</v>
      </c>
      <c r="E223" s="24" t="s">
        <v>580</v>
      </c>
      <c r="F223" s="30" t="n">
        <v>40757</v>
      </c>
      <c r="G223" s="30" t="n">
        <v>40756</v>
      </c>
      <c r="H223" s="31" t="n">
        <f aca="false">INT(($H$327-G223)/30)</f>
        <v>53</v>
      </c>
      <c r="I223" s="24" t="n">
        <f aca="false">H223*1000</f>
        <v>53000</v>
      </c>
      <c r="J223" s="31" t="n">
        <f aca="false">52000+1000</f>
        <v>53000</v>
      </c>
      <c r="K223" s="31"/>
      <c r="L223" s="32" t="n">
        <f aca="false">I223-J223-K223</f>
        <v>0</v>
      </c>
      <c r="M223" s="33" t="n">
        <v>800</v>
      </c>
      <c r="N223" s="33" t="n">
        <v>800</v>
      </c>
      <c r="O223" s="33" t="n">
        <v>800</v>
      </c>
      <c r="P223" s="33" t="n">
        <v>800</v>
      </c>
      <c r="Q223" s="33" t="n">
        <v>800</v>
      </c>
      <c r="R223" s="33" t="n">
        <v>800</v>
      </c>
      <c r="S223" s="33" t="n">
        <v>800</v>
      </c>
      <c r="T223" s="33" t="n">
        <v>800</v>
      </c>
      <c r="U223" s="33" t="n">
        <v>800</v>
      </c>
      <c r="V223" s="33" t="n">
        <v>800</v>
      </c>
      <c r="W223" s="33" t="n">
        <v>800</v>
      </c>
      <c r="X223" s="33" t="n">
        <v>800</v>
      </c>
      <c r="Y223" s="32" t="n">
        <f aca="false">SUM(L223:X223)</f>
        <v>9600</v>
      </c>
      <c r="Z223" s="8" t="n">
        <f aca="false">VLOOKUP(A223,справочник!$E$2:$F$322,2,0)</f>
        <v>0</v>
      </c>
    </row>
    <row collapsed="false" customFormat="false" customHeight="false" hidden="true" ht="15" outlineLevel="0" r="224">
      <c r="A224" s="19" t="n">
        <f aca="false">VLOOKUP(B224,справочник!$B$2:$E$322,4,0)</f>
        <v>174</v>
      </c>
      <c r="B224" s="0" t="e">
        <f aca="false">CONCATENATE(C224;D224)</f>
        <v>#VALUE!</v>
      </c>
      <c r="C224" s="24" t="n">
        <v>182</v>
      </c>
      <c r="D224" s="29" t="s">
        <v>264</v>
      </c>
      <c r="E224" s="24" t="s">
        <v>581</v>
      </c>
      <c r="F224" s="30" t="n">
        <v>41352</v>
      </c>
      <c r="G224" s="30" t="n">
        <v>41365</v>
      </c>
      <c r="H224" s="31" t="n">
        <f aca="false">INT(($H$327-G224)/30)</f>
        <v>33</v>
      </c>
      <c r="I224" s="24" t="n">
        <f aca="false">H224*1000</f>
        <v>33000</v>
      </c>
      <c r="J224" s="31" t="n">
        <v>33000</v>
      </c>
      <c r="K224" s="31"/>
      <c r="L224" s="32" t="n">
        <f aca="false">I224-J224-K224</f>
        <v>0</v>
      </c>
      <c r="M224" s="33" t="n">
        <v>800</v>
      </c>
      <c r="N224" s="33" t="n">
        <v>800</v>
      </c>
      <c r="O224" s="33" t="n">
        <v>800</v>
      </c>
      <c r="P224" s="33" t="n">
        <v>800</v>
      </c>
      <c r="Q224" s="33" t="n">
        <v>800</v>
      </c>
      <c r="R224" s="33" t="n">
        <v>800</v>
      </c>
      <c r="S224" s="33" t="n">
        <v>800</v>
      </c>
      <c r="T224" s="33" t="n">
        <v>800</v>
      </c>
      <c r="U224" s="33" t="n">
        <v>800</v>
      </c>
      <c r="V224" s="33" t="n">
        <v>800</v>
      </c>
      <c r="W224" s="33" t="n">
        <v>800</v>
      </c>
      <c r="X224" s="33" t="n">
        <v>800</v>
      </c>
      <c r="Y224" s="32" t="n">
        <f aca="false">SUM(L224:X224)</f>
        <v>9600</v>
      </c>
      <c r="Z224" s="8" t="n">
        <f aca="false">VLOOKUP(A224,справочник!$E$2:$F$322,2,0)</f>
        <v>0</v>
      </c>
    </row>
    <row collapsed="false" customFormat="false" customHeight="false" hidden="true" ht="15" outlineLevel="0" r="225">
      <c r="A225" s="19" t="n">
        <f aca="false">VLOOKUP(B225,справочник!$B$2:$E$322,4,0)</f>
        <v>165</v>
      </c>
      <c r="B225" s="0" t="e">
        <f aca="false">CONCATENATE(C225;D225)</f>
        <v>#VALUE!</v>
      </c>
      <c r="C225" s="24" t="n">
        <v>173</v>
      </c>
      <c r="D225" s="29" t="s">
        <v>214</v>
      </c>
      <c r="E225" s="24" t="s">
        <v>582</v>
      </c>
      <c r="F225" s="24"/>
      <c r="G225" s="24"/>
      <c r="H225" s="31" t="n">
        <v>17</v>
      </c>
      <c r="I225" s="24" t="n">
        <f aca="false">H225*1000</f>
        <v>17000</v>
      </c>
      <c r="J225" s="31" t="n">
        <v>17000</v>
      </c>
      <c r="K225" s="31"/>
      <c r="L225" s="32" t="n">
        <f aca="false">I225-J225-K225</f>
        <v>0</v>
      </c>
      <c r="M225" s="33" t="n">
        <v>800</v>
      </c>
      <c r="N225" s="33" t="n">
        <v>800</v>
      </c>
      <c r="O225" s="33" t="n">
        <v>800</v>
      </c>
      <c r="P225" s="33" t="n">
        <v>800</v>
      </c>
      <c r="Q225" s="33" t="n">
        <v>800</v>
      </c>
      <c r="R225" s="33" t="n">
        <v>800</v>
      </c>
      <c r="S225" s="33" t="n">
        <v>800</v>
      </c>
      <c r="T225" s="33" t="n">
        <v>800</v>
      </c>
      <c r="U225" s="33" t="n">
        <v>800</v>
      </c>
      <c r="V225" s="33" t="n">
        <v>800</v>
      </c>
      <c r="W225" s="33" t="n">
        <v>800</v>
      </c>
      <c r="X225" s="33" t="n">
        <v>800</v>
      </c>
      <c r="Y225" s="32" t="n">
        <f aca="false">SUM(L225:X225)</f>
        <v>9600</v>
      </c>
      <c r="Z225" s="8" t="n">
        <f aca="false">VLOOKUP(A225,справочник!$E$2:$F$322,2,0)</f>
        <v>0</v>
      </c>
    </row>
    <row collapsed="false" customFormat="false" customHeight="false" hidden="true" ht="15" outlineLevel="0" r="226">
      <c r="A226" s="19" t="n">
        <f aca="false">VLOOKUP(B226,справочник!$B$2:$E$322,4,0)</f>
        <v>251</v>
      </c>
      <c r="B226" s="0" t="e">
        <f aca="false">CONCATENATE(C226;D226)</f>
        <v>#VALUE!</v>
      </c>
      <c r="C226" s="24" t="n">
        <v>262</v>
      </c>
      <c r="D226" s="29" t="s">
        <v>93</v>
      </c>
      <c r="E226" s="24" t="s">
        <v>583</v>
      </c>
      <c r="F226" s="30" t="n">
        <v>41751</v>
      </c>
      <c r="G226" s="30" t="n">
        <v>41760</v>
      </c>
      <c r="H226" s="31" t="n">
        <f aca="false">INT(($H$327-G226)/30)</f>
        <v>20</v>
      </c>
      <c r="I226" s="24" t="n">
        <f aca="false">H226*1000</f>
        <v>20000</v>
      </c>
      <c r="J226" s="31"/>
      <c r="K226" s="31"/>
      <c r="L226" s="32" t="n">
        <f aca="false">I226-J226-K226</f>
        <v>20000</v>
      </c>
      <c r="M226" s="33" t="n">
        <v>800</v>
      </c>
      <c r="N226" s="33" t="n">
        <v>800</v>
      </c>
      <c r="O226" s="33" t="n">
        <v>800</v>
      </c>
      <c r="P226" s="33" t="n">
        <v>800</v>
      </c>
      <c r="Q226" s="33" t="n">
        <v>800</v>
      </c>
      <c r="R226" s="33" t="n">
        <v>800</v>
      </c>
      <c r="S226" s="33" t="n">
        <v>800</v>
      </c>
      <c r="T226" s="33" t="n">
        <v>800</v>
      </c>
      <c r="U226" s="33" t="n">
        <v>800</v>
      </c>
      <c r="V226" s="33" t="n">
        <v>800</v>
      </c>
      <c r="W226" s="33" t="n">
        <v>800</v>
      </c>
      <c r="X226" s="33" t="n">
        <v>800</v>
      </c>
      <c r="Y226" s="32" t="n">
        <f aca="false">SUM(L226:X226)</f>
        <v>29600</v>
      </c>
      <c r="Z226" s="8" t="n">
        <f aca="false">VLOOKUP(A226,справочник!$E$2:$F$322,2,0)</f>
        <v>0</v>
      </c>
    </row>
    <row collapsed="false" customFormat="false" customHeight="false" hidden="true" ht="15" outlineLevel="0" r="227">
      <c r="A227" s="19" t="n">
        <f aca="false">VLOOKUP(B227,справочник!$B$2:$E$322,4,0)</f>
        <v>315</v>
      </c>
      <c r="B227" s="0" t="e">
        <f aca="false">CONCATENATE(C227;D227)</f>
        <v>#VALUE!</v>
      </c>
      <c r="C227" s="24" t="s">
        <v>584</v>
      </c>
      <c r="D227" s="29" t="s">
        <v>99</v>
      </c>
      <c r="E227" s="24" t="s">
        <v>585</v>
      </c>
      <c r="F227" s="34" t="n">
        <v>40890</v>
      </c>
      <c r="G227" s="34" t="n">
        <v>40878</v>
      </c>
      <c r="H227" s="35" t="n">
        <f aca="false">INT(($H$327-G227)/30)</f>
        <v>49</v>
      </c>
      <c r="I227" s="36" t="n">
        <f aca="false">H227*1000</f>
        <v>49000</v>
      </c>
      <c r="J227" s="35" t="n">
        <f aca="false">28000+2000</f>
        <v>30000</v>
      </c>
      <c r="K227" s="35"/>
      <c r="L227" s="37" t="n">
        <f aca="false">I227-J227-K227</f>
        <v>19000</v>
      </c>
      <c r="M227" s="33" t="n">
        <v>800</v>
      </c>
      <c r="N227" s="33" t="n">
        <v>800</v>
      </c>
      <c r="O227" s="33" t="n">
        <v>800</v>
      </c>
      <c r="P227" s="33" t="n">
        <v>800</v>
      </c>
      <c r="Q227" s="33" t="n">
        <v>800</v>
      </c>
      <c r="R227" s="33" t="n">
        <v>800</v>
      </c>
      <c r="S227" s="33" t="n">
        <v>800</v>
      </c>
      <c r="T227" s="33" t="n">
        <v>800</v>
      </c>
      <c r="U227" s="33" t="n">
        <v>800</v>
      </c>
      <c r="V227" s="33" t="n">
        <v>800</v>
      </c>
      <c r="W227" s="33" t="n">
        <v>800</v>
      </c>
      <c r="X227" s="33" t="n">
        <v>800</v>
      </c>
      <c r="Y227" s="32" t="n">
        <f aca="false">SUM(L227:X227)</f>
        <v>28600</v>
      </c>
      <c r="Z227" s="8" t="n">
        <f aca="false">VLOOKUP(A227,справочник!$E$2:$F$322,2,0)</f>
        <v>0</v>
      </c>
    </row>
    <row collapsed="false" customFormat="true" customHeight="true" hidden="true" ht="25.5" outlineLevel="0" r="228" s="45">
      <c r="A228" s="19" t="e">
        <f aca="false">VLOOKUP(B228,справочник!$B$2:$E$322,4,0)</f>
        <v>#VALUE!</v>
      </c>
      <c r="B228" s="45" t="e">
        <f aca="false">CONCATENATE(C228;D228)</f>
        <v>#VALUE!</v>
      </c>
      <c r="C228" s="46" t="s">
        <v>586</v>
      </c>
      <c r="D228" s="47" t="s">
        <v>303</v>
      </c>
      <c r="E228" s="46" t="s">
        <v>587</v>
      </c>
      <c r="F228" s="48" t="n">
        <v>40816</v>
      </c>
      <c r="G228" s="48" t="n">
        <v>40817</v>
      </c>
      <c r="H228" s="49" t="n">
        <f aca="false">INT(($H$327-G228)/30)</f>
        <v>51</v>
      </c>
      <c r="I228" s="46" t="n">
        <v>61000</v>
      </c>
      <c r="J228" s="49" t="n">
        <f aca="false">2000+55000</f>
        <v>57000</v>
      </c>
      <c r="K228" s="49" t="n">
        <v>4000</v>
      </c>
      <c r="L228" s="50" t="n">
        <f aca="false">I228-J228-K228</f>
        <v>0</v>
      </c>
      <c r="M228" s="51" t="n">
        <v>800</v>
      </c>
      <c r="N228" s="51" t="n">
        <v>800</v>
      </c>
      <c r="O228" s="51" t="n">
        <v>800</v>
      </c>
      <c r="P228" s="51" t="n">
        <v>800</v>
      </c>
      <c r="Q228" s="51" t="n">
        <v>800</v>
      </c>
      <c r="R228" s="51" t="n">
        <v>800</v>
      </c>
      <c r="S228" s="51" t="n">
        <v>800</v>
      </c>
      <c r="T228" s="51" t="n">
        <v>800</v>
      </c>
      <c r="U228" s="51" t="n">
        <v>800</v>
      </c>
      <c r="V228" s="51" t="n">
        <v>800</v>
      </c>
      <c r="W228" s="51" t="n">
        <v>800</v>
      </c>
      <c r="X228" s="51" t="n">
        <v>800</v>
      </c>
      <c r="Y228" s="50" t="n">
        <f aca="false">SUM(L228:X228)</f>
        <v>9600</v>
      </c>
      <c r="Z228" s="45" t="e">
        <f aca="false">VLOOKUP(A228,справочник!$E$2:$F$322,2,0)</f>
        <v>#VALUE!</v>
      </c>
    </row>
    <row collapsed="false" customFormat="true" customHeight="false" hidden="true" ht="15" outlineLevel="0" r="229" s="45">
      <c r="A229" s="19" t="e">
        <f aca="false">VLOOKUP(B229,справочник!$B$2:$E$322,4,0)</f>
        <v>#VALUE!</v>
      </c>
      <c r="B229" s="45" t="e">
        <f aca="false">CONCATENATE(C229;D229)</f>
        <v>#VALUE!</v>
      </c>
      <c r="C229" s="46" t="s">
        <v>586</v>
      </c>
      <c r="D229" s="47" t="s">
        <v>303</v>
      </c>
      <c r="E229" s="46" t="s">
        <v>587</v>
      </c>
      <c r="F229" s="48" t="n">
        <v>40816</v>
      </c>
      <c r="G229" s="48" t="n">
        <v>40817</v>
      </c>
      <c r="H229" s="49" t="n">
        <f aca="false">INT(($H$327-G229)/30)</f>
        <v>51</v>
      </c>
      <c r="I229" s="46" t="n">
        <v>61000</v>
      </c>
      <c r="J229" s="49" t="n">
        <v>58000</v>
      </c>
      <c r="K229" s="49" t="n">
        <v>3000</v>
      </c>
      <c r="L229" s="50" t="n">
        <f aca="false">I229-J229-K229</f>
        <v>0</v>
      </c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0" t="n">
        <f aca="false">SUM(L229:X229)</f>
        <v>0</v>
      </c>
      <c r="Z229" s="45" t="e">
        <f aca="false">VLOOKUP(A229,справочник!$E$2:$F$322,2,0)</f>
        <v>#VALUE!</v>
      </c>
    </row>
    <row collapsed="false" customFormat="false" customHeight="false" hidden="true" ht="25.5" outlineLevel="0" r="230">
      <c r="A230" s="19" t="n">
        <f aca="false">VLOOKUP(B230,справочник!$B$2:$E$322,4,0)</f>
        <v>195</v>
      </c>
      <c r="B230" s="0" t="e">
        <f aca="false">CONCATENATE(C230;D230)</f>
        <v>#VALUE!</v>
      </c>
      <c r="C230" s="24" t="n">
        <v>203</v>
      </c>
      <c r="D230" s="29" t="s">
        <v>97</v>
      </c>
      <c r="E230" s="24" t="s">
        <v>588</v>
      </c>
      <c r="F230" s="30" t="n">
        <v>41599</v>
      </c>
      <c r="G230" s="30" t="n">
        <v>41609</v>
      </c>
      <c r="H230" s="31" t="n">
        <f aca="false">INT(($H$327-G230)/30)</f>
        <v>25</v>
      </c>
      <c r="I230" s="24" t="n">
        <f aca="false">H230*1000</f>
        <v>25000</v>
      </c>
      <c r="J230" s="31" t="n">
        <v>1000</v>
      </c>
      <c r="K230" s="31"/>
      <c r="L230" s="32" t="n">
        <f aca="false">I230-J230-K230</f>
        <v>24000</v>
      </c>
      <c r="M230" s="33" t="n">
        <v>800</v>
      </c>
      <c r="N230" s="33" t="n">
        <v>800</v>
      </c>
      <c r="O230" s="33" t="n">
        <v>800</v>
      </c>
      <c r="P230" s="33" t="n">
        <v>800</v>
      </c>
      <c r="Q230" s="33" t="n">
        <v>800</v>
      </c>
      <c r="R230" s="33" t="n">
        <v>800</v>
      </c>
      <c r="S230" s="33" t="n">
        <v>800</v>
      </c>
      <c r="T230" s="33" t="n">
        <v>800</v>
      </c>
      <c r="U230" s="33" t="n">
        <v>800</v>
      </c>
      <c r="V230" s="33" t="n">
        <v>800</v>
      </c>
      <c r="W230" s="33" t="n">
        <v>800</v>
      </c>
      <c r="X230" s="33" t="n">
        <v>800</v>
      </c>
      <c r="Y230" s="32" t="n">
        <f aca="false">SUM(L230:X230)</f>
        <v>33600</v>
      </c>
      <c r="Z230" s="8" t="n">
        <f aca="false">VLOOKUP(A230,справочник!$E$2:$F$322,2,0)</f>
        <v>0</v>
      </c>
    </row>
    <row collapsed="false" customFormat="false" customHeight="false" hidden="true" ht="15" outlineLevel="0" r="231">
      <c r="A231" s="19" t="n">
        <f aca="false">VLOOKUP(B231,справочник!$B$2:$E$322,4,0)</f>
        <v>144</v>
      </c>
      <c r="B231" s="0" t="e">
        <f aca="false">CONCATENATE(C231;D231)</f>
        <v>#VALUE!</v>
      </c>
      <c r="C231" s="24" t="n">
        <v>152</v>
      </c>
      <c r="D231" s="29" t="s">
        <v>23</v>
      </c>
      <c r="E231" s="24" t="s">
        <v>589</v>
      </c>
      <c r="F231" s="34" t="n">
        <v>40788</v>
      </c>
      <c r="G231" s="34" t="n">
        <v>40787</v>
      </c>
      <c r="H231" s="35" t="n">
        <f aca="false">INT(($H$327-G231)/30)</f>
        <v>52</v>
      </c>
      <c r="I231" s="36" t="n">
        <f aca="false">H231*1000</f>
        <v>52000</v>
      </c>
      <c r="J231" s="35" t="n">
        <v>1000</v>
      </c>
      <c r="K231" s="35"/>
      <c r="L231" s="37" t="n">
        <f aca="false">I231-J231-K231</f>
        <v>51000</v>
      </c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2" t="n">
        <f aca="false">SUM(L231:X231)</f>
        <v>51000</v>
      </c>
      <c r="Z231" s="8" t="n">
        <f aca="false">VLOOKUP(A231,справочник!$E$2:$F$322,2,0)</f>
        <v>1</v>
      </c>
    </row>
    <row collapsed="false" customFormat="false" customHeight="false" hidden="true" ht="15" outlineLevel="0" r="232">
      <c r="A232" s="19" t="n">
        <f aca="false">VLOOKUP(B232,справочник!$B$2:$E$322,4,0)</f>
        <v>144</v>
      </c>
      <c r="B232" s="0" t="e">
        <f aca="false">CONCATENATE(C232;D232)</f>
        <v>#VALUE!</v>
      </c>
      <c r="C232" s="24" t="n">
        <v>153</v>
      </c>
      <c r="D232" s="29" t="s">
        <v>23</v>
      </c>
      <c r="E232" s="24"/>
      <c r="F232" s="34" t="n">
        <v>40788</v>
      </c>
      <c r="G232" s="34" t="n">
        <v>40787</v>
      </c>
      <c r="H232" s="35" t="n">
        <f aca="false">INT(($H$327-G232)/30)</f>
        <v>52</v>
      </c>
      <c r="I232" s="36" t="n">
        <f aca="false">H232*1000</f>
        <v>52000</v>
      </c>
      <c r="J232" s="35" t="n">
        <v>1000</v>
      </c>
      <c r="K232" s="35"/>
      <c r="L232" s="37" t="n">
        <f aca="false">I232-J232-K232</f>
        <v>51000</v>
      </c>
      <c r="M232" s="33" t="n">
        <v>800</v>
      </c>
      <c r="N232" s="33" t="n">
        <v>800</v>
      </c>
      <c r="O232" s="33" t="n">
        <v>800</v>
      </c>
      <c r="P232" s="33" t="n">
        <v>800</v>
      </c>
      <c r="Q232" s="33" t="n">
        <v>800</v>
      </c>
      <c r="R232" s="33" t="n">
        <v>800</v>
      </c>
      <c r="S232" s="33" t="n">
        <v>800</v>
      </c>
      <c r="T232" s="33" t="n">
        <v>800</v>
      </c>
      <c r="U232" s="33" t="n">
        <v>800</v>
      </c>
      <c r="V232" s="33" t="n">
        <v>800</v>
      </c>
      <c r="W232" s="33" t="n">
        <v>800</v>
      </c>
      <c r="X232" s="33" t="n">
        <v>800</v>
      </c>
      <c r="Y232" s="32" t="n">
        <f aca="false">SUM(L232:X232)</f>
        <v>60600</v>
      </c>
      <c r="Z232" s="8" t="n">
        <f aca="false">VLOOKUP(A232,справочник!$E$2:$F$322,2,0)</f>
        <v>1</v>
      </c>
    </row>
    <row collapsed="false" customFormat="false" customHeight="false" hidden="true" ht="15" outlineLevel="0" r="233">
      <c r="A233" s="19" t="n">
        <f aca="false">VLOOKUP(B233,справочник!$B$2:$E$322,4,0)</f>
        <v>74</v>
      </c>
      <c r="B233" s="0" t="e">
        <f aca="false">CONCATENATE(C233;D233)</f>
        <v>#VALUE!</v>
      </c>
      <c r="C233" s="24" t="n">
        <v>80</v>
      </c>
      <c r="D233" s="29" t="s">
        <v>245</v>
      </c>
      <c r="E233" s="36" t="s">
        <v>590</v>
      </c>
      <c r="F233" s="34" t="n">
        <v>41310</v>
      </c>
      <c r="G233" s="34" t="n">
        <v>41334</v>
      </c>
      <c r="H233" s="35" t="n">
        <f aca="false">INT(($H$327-G233)/30)</f>
        <v>34</v>
      </c>
      <c r="I233" s="36" t="n">
        <f aca="false">H233*1000</f>
        <v>34000</v>
      </c>
      <c r="J233" s="35" t="n">
        <v>31000</v>
      </c>
      <c r="K233" s="35"/>
      <c r="L233" s="37" t="n">
        <f aca="false">I233-J233-K233</f>
        <v>3000</v>
      </c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2" t="n">
        <f aca="false">SUM(L233:X233)</f>
        <v>3000</v>
      </c>
      <c r="Z233" s="8" t="n">
        <f aca="false">VLOOKUP(A233,справочник!$E$2:$F$322,2,0)</f>
        <v>1</v>
      </c>
    </row>
    <row collapsed="false" customFormat="false" customHeight="false" hidden="true" ht="15" outlineLevel="0" r="234">
      <c r="A234" s="19" t="n">
        <f aca="false">VLOOKUP(B234,справочник!$B$2:$E$322,4,0)</f>
        <v>74</v>
      </c>
      <c r="B234" s="0" t="e">
        <f aca="false">CONCATENATE(C234;D234)</f>
        <v>#VALUE!</v>
      </c>
      <c r="C234" s="24" t="n">
        <v>81</v>
      </c>
      <c r="D234" s="29" t="s">
        <v>245</v>
      </c>
      <c r="E234" s="36" t="s">
        <v>591</v>
      </c>
      <c r="F234" s="34" t="n">
        <v>40682</v>
      </c>
      <c r="G234" s="34" t="n">
        <v>40695</v>
      </c>
      <c r="H234" s="35" t="n">
        <f aca="false">INT(($H$327-G234)/30)</f>
        <v>55</v>
      </c>
      <c r="I234" s="36" t="n">
        <f aca="false">H234*1000</f>
        <v>55000</v>
      </c>
      <c r="J234" s="35" t="n">
        <f aca="false">7000+48000-3000</f>
        <v>52000</v>
      </c>
      <c r="K234" s="35"/>
      <c r="L234" s="37" t="n">
        <f aca="false">I234-J234-K234</f>
        <v>3000</v>
      </c>
      <c r="M234" s="33" t="n">
        <v>800</v>
      </c>
      <c r="N234" s="33" t="n">
        <v>800</v>
      </c>
      <c r="O234" s="33" t="n">
        <v>800</v>
      </c>
      <c r="P234" s="33" t="n">
        <v>800</v>
      </c>
      <c r="Q234" s="33" t="n">
        <v>800</v>
      </c>
      <c r="R234" s="33" t="n">
        <v>800</v>
      </c>
      <c r="S234" s="33" t="n">
        <v>800</v>
      </c>
      <c r="T234" s="33" t="n">
        <v>800</v>
      </c>
      <c r="U234" s="33" t="n">
        <v>800</v>
      </c>
      <c r="V234" s="33" t="n">
        <v>800</v>
      </c>
      <c r="W234" s="33" t="n">
        <v>800</v>
      </c>
      <c r="X234" s="33" t="n">
        <v>800</v>
      </c>
      <c r="Y234" s="32" t="n">
        <f aca="false">SUM(L234:X234)</f>
        <v>12600</v>
      </c>
      <c r="Z234" s="8" t="n">
        <f aca="false">VLOOKUP(A234,справочник!$E$2:$F$322,2,0)</f>
        <v>1</v>
      </c>
    </row>
    <row collapsed="false" customFormat="false" customHeight="false" hidden="true" ht="15" outlineLevel="0" r="235">
      <c r="A235" s="19" t="n">
        <f aca="false">VLOOKUP(B235,справочник!$B$2:$E$322,4,0)</f>
        <v>68</v>
      </c>
      <c r="B235" s="0" t="e">
        <f aca="false">CONCATENATE(C235;D235)</f>
        <v>#VALUE!</v>
      </c>
      <c r="C235" s="24" t="n">
        <v>70</v>
      </c>
      <c r="D235" s="29" t="s">
        <v>272</v>
      </c>
      <c r="E235" s="24" t="s">
        <v>592</v>
      </c>
      <c r="F235" s="30" t="n">
        <v>40687</v>
      </c>
      <c r="G235" s="30" t="n">
        <v>40664</v>
      </c>
      <c r="H235" s="31" t="n">
        <f aca="false">INT(($H$327-G235)/30)</f>
        <v>56</v>
      </c>
      <c r="I235" s="24" t="n">
        <f aca="false">H235*1000</f>
        <v>56000</v>
      </c>
      <c r="J235" s="31" t="n">
        <f aca="false">12000+44000</f>
        <v>56000</v>
      </c>
      <c r="K235" s="31"/>
      <c r="L235" s="32" t="n">
        <f aca="false">I235-J235-K235</f>
        <v>0</v>
      </c>
      <c r="M235" s="33" t="n">
        <v>800</v>
      </c>
      <c r="N235" s="33" t="n">
        <v>800</v>
      </c>
      <c r="O235" s="33" t="n">
        <v>800</v>
      </c>
      <c r="P235" s="33" t="n">
        <v>800</v>
      </c>
      <c r="Q235" s="33" t="n">
        <v>800</v>
      </c>
      <c r="R235" s="33" t="n">
        <v>800</v>
      </c>
      <c r="S235" s="33" t="n">
        <v>800</v>
      </c>
      <c r="T235" s="33" t="n">
        <v>800</v>
      </c>
      <c r="U235" s="33" t="n">
        <v>800</v>
      </c>
      <c r="V235" s="33" t="n">
        <v>800</v>
      </c>
      <c r="W235" s="33" t="n">
        <v>800</v>
      </c>
      <c r="X235" s="33" t="n">
        <v>800</v>
      </c>
      <c r="Y235" s="32" t="n">
        <f aca="false">SUM(L235:X235)</f>
        <v>9600</v>
      </c>
      <c r="Z235" s="8" t="n">
        <f aca="false">VLOOKUP(A235,справочник!$E$2:$F$322,2,0)</f>
        <v>0</v>
      </c>
    </row>
    <row collapsed="false" customFormat="false" customHeight="false" hidden="true" ht="15" outlineLevel="0" r="236">
      <c r="A236" s="19" t="n">
        <f aca="false">VLOOKUP(B236,справочник!$B$2:$E$322,4,0)</f>
        <v>224</v>
      </c>
      <c r="B236" s="0" t="e">
        <f aca="false">CONCATENATE(C236;D236)</f>
        <v>#VALUE!</v>
      </c>
      <c r="C236" s="24" t="n">
        <v>233</v>
      </c>
      <c r="D236" s="29" t="s">
        <v>96</v>
      </c>
      <c r="E236" s="24" t="s">
        <v>593</v>
      </c>
      <c r="F236" s="30" t="n">
        <v>41751</v>
      </c>
      <c r="G236" s="30" t="n">
        <v>41760</v>
      </c>
      <c r="H236" s="31" t="n">
        <f aca="false">INT(($H$327-G236)/30)</f>
        <v>20</v>
      </c>
      <c r="I236" s="24" t="n">
        <f aca="false">H236*1000</f>
        <v>20000</v>
      </c>
      <c r="J236" s="31"/>
      <c r="K236" s="31"/>
      <c r="L236" s="32" t="n">
        <f aca="false">I236-J236-K236</f>
        <v>20000</v>
      </c>
      <c r="M236" s="33" t="n">
        <v>800</v>
      </c>
      <c r="N236" s="33" t="n">
        <v>800</v>
      </c>
      <c r="O236" s="33" t="n">
        <v>800</v>
      </c>
      <c r="P236" s="33" t="n">
        <v>800</v>
      </c>
      <c r="Q236" s="33" t="n">
        <v>800</v>
      </c>
      <c r="R236" s="33" t="n">
        <v>800</v>
      </c>
      <c r="S236" s="33" t="n">
        <v>800</v>
      </c>
      <c r="T236" s="33" t="n">
        <v>800</v>
      </c>
      <c r="U236" s="33" t="n">
        <v>800</v>
      </c>
      <c r="V236" s="33" t="n">
        <v>800</v>
      </c>
      <c r="W236" s="33" t="n">
        <v>800</v>
      </c>
      <c r="X236" s="33" t="n">
        <v>800</v>
      </c>
      <c r="Y236" s="32" t="n">
        <f aca="false">SUM(L236:X236)</f>
        <v>29600</v>
      </c>
      <c r="Z236" s="8" t="n">
        <f aca="false">VLOOKUP(A236,справочник!$E$2:$F$322,2,0)</f>
        <v>0</v>
      </c>
    </row>
    <row collapsed="false" customFormat="false" customHeight="false" hidden="true" ht="15" outlineLevel="0" r="237">
      <c r="A237" s="19" t="n">
        <f aca="false">VLOOKUP(B237,справочник!$B$2:$E$322,4,0)</f>
        <v>134</v>
      </c>
      <c r="B237" s="0" t="e">
        <f aca="false">CONCATENATE(C237;D237)</f>
        <v>#VALUE!</v>
      </c>
      <c r="C237" s="24" t="n">
        <v>141</v>
      </c>
      <c r="D237" s="29" t="s">
        <v>283</v>
      </c>
      <c r="E237" s="24" t="s">
        <v>594</v>
      </c>
      <c r="F237" s="30" t="n">
        <v>40893</v>
      </c>
      <c r="G237" s="30" t="n">
        <v>40878</v>
      </c>
      <c r="H237" s="31" t="n">
        <f aca="false">INT(($H$327-G237)/30)</f>
        <v>49</v>
      </c>
      <c r="I237" s="24" t="n">
        <f aca="false">H237*1000</f>
        <v>49000</v>
      </c>
      <c r="J237" s="31" t="n">
        <f aca="false">37000</f>
        <v>37000</v>
      </c>
      <c r="K237" s="31"/>
      <c r="L237" s="32" t="n">
        <f aca="false">I237-J237-K237</f>
        <v>12000</v>
      </c>
      <c r="M237" s="33" t="n">
        <v>800</v>
      </c>
      <c r="N237" s="33" t="n">
        <v>800</v>
      </c>
      <c r="O237" s="33" t="n">
        <v>800</v>
      </c>
      <c r="P237" s="33" t="n">
        <v>800</v>
      </c>
      <c r="Q237" s="33" t="n">
        <v>800</v>
      </c>
      <c r="R237" s="33" t="n">
        <v>800</v>
      </c>
      <c r="S237" s="33" t="n">
        <v>800</v>
      </c>
      <c r="T237" s="33" t="n">
        <v>800</v>
      </c>
      <c r="U237" s="33" t="n">
        <v>800</v>
      </c>
      <c r="V237" s="33" t="n">
        <v>800</v>
      </c>
      <c r="W237" s="33" t="n">
        <v>800</v>
      </c>
      <c r="X237" s="33" t="n">
        <v>800</v>
      </c>
      <c r="Y237" s="32" t="n">
        <f aca="false">SUM(L237:X237)</f>
        <v>21600</v>
      </c>
      <c r="Z237" s="8" t="n">
        <f aca="false">VLOOKUP(A237,справочник!$E$2:$F$322,2,0)</f>
        <v>0</v>
      </c>
    </row>
    <row collapsed="false" customFormat="false" customHeight="true" hidden="true" ht="38.25" outlineLevel="0" r="238">
      <c r="A238" s="19" t="n">
        <f aca="false">VLOOKUP(B238,справочник!$B$2:$E$322,4,0)</f>
        <v>267</v>
      </c>
      <c r="B238" s="0" t="e">
        <f aca="false">CONCATENATE(C238;D238)</f>
        <v>#VALUE!</v>
      </c>
      <c r="C238" s="24" t="n">
        <v>280</v>
      </c>
      <c r="D238" s="29" t="s">
        <v>258</v>
      </c>
      <c r="E238" s="24" t="s">
        <v>595</v>
      </c>
      <c r="F238" s="30" t="n">
        <v>41023</v>
      </c>
      <c r="G238" s="30" t="n">
        <v>41000</v>
      </c>
      <c r="H238" s="31" t="n">
        <f aca="false">INT(($H$327-G238)/30)</f>
        <v>45</v>
      </c>
      <c r="I238" s="24" t="n">
        <f aca="false">H238*1000</f>
        <v>45000</v>
      </c>
      <c r="J238" s="31" t="n">
        <f aca="false">41000</f>
        <v>41000</v>
      </c>
      <c r="K238" s="31"/>
      <c r="L238" s="32" t="n">
        <f aca="false">I238-J238-K238</f>
        <v>4000</v>
      </c>
      <c r="M238" s="33" t="n">
        <v>800</v>
      </c>
      <c r="N238" s="33" t="n">
        <v>800</v>
      </c>
      <c r="O238" s="33" t="n">
        <v>800</v>
      </c>
      <c r="P238" s="33" t="n">
        <v>800</v>
      </c>
      <c r="Q238" s="33" t="n">
        <v>800</v>
      </c>
      <c r="R238" s="33" t="n">
        <v>800</v>
      </c>
      <c r="S238" s="33" t="n">
        <v>800</v>
      </c>
      <c r="T238" s="33" t="n">
        <v>800</v>
      </c>
      <c r="U238" s="33" t="n">
        <v>800</v>
      </c>
      <c r="V238" s="33" t="n">
        <v>800</v>
      </c>
      <c r="W238" s="33" t="n">
        <v>800</v>
      </c>
      <c r="X238" s="33" t="n">
        <v>800</v>
      </c>
      <c r="Y238" s="32" t="n">
        <f aca="false">SUM(L238:X238)</f>
        <v>13600</v>
      </c>
      <c r="Z238" s="8" t="n">
        <f aca="false">VLOOKUP(A238,справочник!$E$2:$F$322,2,0)</f>
        <v>0</v>
      </c>
    </row>
    <row collapsed="false" customFormat="false" customHeight="false" hidden="true" ht="15" outlineLevel="0" r="239">
      <c r="A239" s="19" t="n">
        <f aca="false">VLOOKUP(B239,справочник!$B$2:$E$322,4,0)</f>
        <v>258</v>
      </c>
      <c r="B239" s="0" t="e">
        <f aca="false">CONCATENATE(C239;D239)</f>
        <v>#VALUE!</v>
      </c>
      <c r="C239" s="24" t="n">
        <v>271</v>
      </c>
      <c r="D239" s="29" t="s">
        <v>279</v>
      </c>
      <c r="E239" s="24" t="s">
        <v>596</v>
      </c>
      <c r="F239" s="30" t="n">
        <v>41039</v>
      </c>
      <c r="G239" s="30" t="n">
        <v>41030</v>
      </c>
      <c r="H239" s="31" t="n">
        <f aca="false">INT(($H$327-G239)/30)</f>
        <v>44</v>
      </c>
      <c r="I239" s="24" t="n">
        <f aca="false">H239*1000</f>
        <v>44000</v>
      </c>
      <c r="J239" s="31" t="n">
        <v>44000</v>
      </c>
      <c r="K239" s="31"/>
      <c r="L239" s="32" t="n">
        <f aca="false">I239-J239-K239</f>
        <v>0</v>
      </c>
      <c r="M239" s="33" t="n">
        <v>800</v>
      </c>
      <c r="N239" s="33" t="n">
        <v>800</v>
      </c>
      <c r="O239" s="33" t="n">
        <v>800</v>
      </c>
      <c r="P239" s="33" t="n">
        <v>800</v>
      </c>
      <c r="Q239" s="33" t="n">
        <v>800</v>
      </c>
      <c r="R239" s="33" t="n">
        <v>800</v>
      </c>
      <c r="S239" s="33" t="n">
        <v>800</v>
      </c>
      <c r="T239" s="33" t="n">
        <v>800</v>
      </c>
      <c r="U239" s="33" t="n">
        <v>800</v>
      </c>
      <c r="V239" s="33" t="n">
        <v>800</v>
      </c>
      <c r="W239" s="33" t="n">
        <v>800</v>
      </c>
      <c r="X239" s="33" t="n">
        <v>800</v>
      </c>
      <c r="Y239" s="32" t="n">
        <f aca="false">SUM(L239:X239)</f>
        <v>9600</v>
      </c>
      <c r="Z239" s="8" t="n">
        <f aca="false">VLOOKUP(A239,справочник!$E$2:$F$322,2,0)</f>
        <v>0</v>
      </c>
    </row>
    <row collapsed="false" customFormat="false" customHeight="false" hidden="true" ht="25.5" outlineLevel="0" r="240">
      <c r="A240" s="19" t="n">
        <f aca="false">VLOOKUP(B240,справочник!$B$2:$E$322,4,0)</f>
        <v>299</v>
      </c>
      <c r="B240" s="0" t="e">
        <f aca="false">CONCATENATE(C240;D240)</f>
        <v>#VALUE!</v>
      </c>
      <c r="C240" s="24" t="n">
        <v>314</v>
      </c>
      <c r="D240" s="29" t="s">
        <v>56</v>
      </c>
      <c r="E240" s="24"/>
      <c r="F240" s="30" t="n">
        <v>42017</v>
      </c>
      <c r="G240" s="30" t="n">
        <v>41275</v>
      </c>
      <c r="H240" s="31" t="n">
        <f aca="false">INT(($H$327-G240)/30)</f>
        <v>36</v>
      </c>
      <c r="I240" s="24" t="n">
        <f aca="false">H240*1000</f>
        <v>36000</v>
      </c>
      <c r="J240" s="31" t="n">
        <f aca="false">1000</f>
        <v>1000</v>
      </c>
      <c r="K240" s="31" t="n">
        <v>3000</v>
      </c>
      <c r="L240" s="32" t="n">
        <f aca="false">I240-J240-K240</f>
        <v>32000</v>
      </c>
      <c r="M240" s="33" t="n">
        <v>800</v>
      </c>
      <c r="N240" s="33" t="n">
        <v>800</v>
      </c>
      <c r="O240" s="33" t="n">
        <v>800</v>
      </c>
      <c r="P240" s="33" t="n">
        <v>800</v>
      </c>
      <c r="Q240" s="33" t="n">
        <v>800</v>
      </c>
      <c r="R240" s="33" t="n">
        <v>800</v>
      </c>
      <c r="S240" s="33" t="n">
        <v>800</v>
      </c>
      <c r="T240" s="33" t="n">
        <v>800</v>
      </c>
      <c r="U240" s="33" t="n">
        <v>800</v>
      </c>
      <c r="V240" s="33" t="n">
        <v>800</v>
      </c>
      <c r="W240" s="33" t="n">
        <v>800</v>
      </c>
      <c r="X240" s="33" t="n">
        <v>800</v>
      </c>
      <c r="Y240" s="32" t="n">
        <f aca="false">SUM(L240:X240)</f>
        <v>41600</v>
      </c>
      <c r="Z240" s="8" t="n">
        <f aca="false">VLOOKUP(A240,справочник!$E$2:$F$322,2,0)</f>
        <v>0</v>
      </c>
    </row>
    <row collapsed="false" customFormat="false" customHeight="false" hidden="true" ht="15" outlineLevel="0" r="241">
      <c r="A241" s="19"/>
      <c r="C241" s="24"/>
      <c r="D241" s="29"/>
      <c r="E241" s="24"/>
      <c r="F241" s="30"/>
      <c r="G241" s="30"/>
      <c r="H241" s="31"/>
      <c r="I241" s="24"/>
      <c r="J241" s="31"/>
      <c r="K241" s="31"/>
      <c r="L241" s="32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2"/>
    </row>
    <row collapsed="false" customFormat="false" customHeight="false" hidden="true" ht="15" outlineLevel="0" r="242">
      <c r="A242" s="19" t="n">
        <f aca="false">VLOOKUP(B242,справочник!$B$2:$E$322,4,0)</f>
        <v>239</v>
      </c>
      <c r="B242" s="0" t="e">
        <f aca="false">CONCATENATE(C242;D242)</f>
        <v>#VALUE!</v>
      </c>
      <c r="C242" s="24" t="n">
        <v>250</v>
      </c>
      <c r="D242" s="29" t="s">
        <v>94</v>
      </c>
      <c r="E242" s="24" t="s">
        <v>597</v>
      </c>
      <c r="F242" s="30" t="n">
        <v>40973</v>
      </c>
      <c r="G242" s="30" t="n">
        <v>40969</v>
      </c>
      <c r="H242" s="31" t="n">
        <f aca="false">INT(($H$327-G242)/30)</f>
        <v>46</v>
      </c>
      <c r="I242" s="24" t="n">
        <f aca="false">H242*1000</f>
        <v>46000</v>
      </c>
      <c r="J242" s="31" t="n">
        <v>26000</v>
      </c>
      <c r="K242" s="31"/>
      <c r="L242" s="32" t="n">
        <f aca="false">I242-J242-K242</f>
        <v>20000</v>
      </c>
      <c r="M242" s="33" t="n">
        <v>800</v>
      </c>
      <c r="N242" s="33" t="n">
        <v>800</v>
      </c>
      <c r="O242" s="33" t="n">
        <v>800</v>
      </c>
      <c r="P242" s="33" t="n">
        <v>800</v>
      </c>
      <c r="Q242" s="33" t="n">
        <v>800</v>
      </c>
      <c r="R242" s="33" t="n">
        <v>800</v>
      </c>
      <c r="S242" s="33" t="n">
        <v>800</v>
      </c>
      <c r="T242" s="33" t="n">
        <v>800</v>
      </c>
      <c r="U242" s="33" t="n">
        <v>800</v>
      </c>
      <c r="V242" s="33" t="n">
        <v>800</v>
      </c>
      <c r="W242" s="33" t="n">
        <v>800</v>
      </c>
      <c r="X242" s="33" t="n">
        <v>800</v>
      </c>
      <c r="Y242" s="32" t="n">
        <f aca="false">SUM(L242:X242)</f>
        <v>29600</v>
      </c>
      <c r="Z242" s="8" t="n">
        <f aca="false">VLOOKUP(A242,справочник!$E$2:$F$322,2,0)</f>
        <v>0</v>
      </c>
    </row>
    <row collapsed="false" customFormat="false" customHeight="false" hidden="true" ht="15" outlineLevel="0" r="243">
      <c r="A243" s="19" t="n">
        <f aca="false">VLOOKUP(B243,справочник!$B$2:$E$322,4,0)</f>
        <v>238</v>
      </c>
      <c r="B243" s="0" t="e">
        <f aca="false">CONCATENATE(C243;D243)</f>
        <v>#VALUE!</v>
      </c>
      <c r="C243" s="24" t="n">
        <v>249</v>
      </c>
      <c r="D243" s="29" t="s">
        <v>43</v>
      </c>
      <c r="E243" s="24" t="s">
        <v>598</v>
      </c>
      <c r="F243" s="30" t="n">
        <v>41079</v>
      </c>
      <c r="G243" s="30" t="n">
        <v>41061</v>
      </c>
      <c r="H243" s="31" t="n">
        <f aca="false">INT(($H$327-G243)/30)</f>
        <v>43</v>
      </c>
      <c r="I243" s="24" t="n">
        <f aca="false">H243*1000</f>
        <v>43000</v>
      </c>
      <c r="J243" s="31"/>
      <c r="K243" s="31"/>
      <c r="L243" s="32" t="n">
        <f aca="false">I243-J243-K243</f>
        <v>43000</v>
      </c>
      <c r="M243" s="33" t="n">
        <v>800</v>
      </c>
      <c r="N243" s="33" t="n">
        <v>800</v>
      </c>
      <c r="O243" s="33" t="n">
        <v>800</v>
      </c>
      <c r="P243" s="33" t="n">
        <v>800</v>
      </c>
      <c r="Q243" s="33" t="n">
        <v>800</v>
      </c>
      <c r="R243" s="33" t="n">
        <v>800</v>
      </c>
      <c r="S243" s="33" t="n">
        <v>800</v>
      </c>
      <c r="T243" s="33" t="n">
        <v>800</v>
      </c>
      <c r="U243" s="33" t="n">
        <v>800</v>
      </c>
      <c r="V243" s="33" t="n">
        <v>800</v>
      </c>
      <c r="W243" s="33" t="n">
        <v>800</v>
      </c>
      <c r="X243" s="33" t="n">
        <v>800</v>
      </c>
      <c r="Y243" s="32" t="n">
        <f aca="false">SUM(L243:X243)</f>
        <v>52600</v>
      </c>
      <c r="Z243" s="8" t="n">
        <f aca="false">VLOOKUP(A243,справочник!$E$2:$F$322,2,0)</f>
        <v>0</v>
      </c>
    </row>
    <row collapsed="false" customFormat="false" customHeight="false" hidden="true" ht="15" outlineLevel="0" r="244">
      <c r="A244" s="19" t="n">
        <f aca="false">VLOOKUP(B244,справочник!$B$2:$E$322,4,0)</f>
        <v>297</v>
      </c>
      <c r="B244" s="0" t="e">
        <f aca="false">CONCATENATE(C244;D244)</f>
        <v>#VALUE!</v>
      </c>
      <c r="C244" s="24" t="n">
        <v>312</v>
      </c>
      <c r="D244" s="29" t="s">
        <v>134</v>
      </c>
      <c r="E244" s="24" t="s">
        <v>599</v>
      </c>
      <c r="F244" s="30" t="n">
        <v>42004</v>
      </c>
      <c r="G244" s="30" t="n">
        <v>42005</v>
      </c>
      <c r="H244" s="31" t="n">
        <f aca="false">INT(($H$327-G244)/30)</f>
        <v>12</v>
      </c>
      <c r="I244" s="24" t="n">
        <f aca="false">H244*1000</f>
        <v>12000</v>
      </c>
      <c r="J244" s="31"/>
      <c r="K244" s="31"/>
      <c r="L244" s="32" t="n">
        <f aca="false">I244-J244-K244</f>
        <v>12000</v>
      </c>
      <c r="M244" s="33" t="n">
        <v>800</v>
      </c>
      <c r="N244" s="33" t="n">
        <v>800</v>
      </c>
      <c r="O244" s="33" t="n">
        <v>800</v>
      </c>
      <c r="P244" s="33" t="n">
        <v>800</v>
      </c>
      <c r="Q244" s="33" t="n">
        <v>800</v>
      </c>
      <c r="R244" s="33" t="n">
        <v>800</v>
      </c>
      <c r="S244" s="33" t="n">
        <v>800</v>
      </c>
      <c r="T244" s="33" t="n">
        <v>800</v>
      </c>
      <c r="U244" s="33" t="n">
        <v>800</v>
      </c>
      <c r="V244" s="33" t="n">
        <v>800</v>
      </c>
      <c r="W244" s="33" t="n">
        <v>800</v>
      </c>
      <c r="X244" s="33" t="n">
        <v>800</v>
      </c>
      <c r="Y244" s="32" t="n">
        <f aca="false">SUM(L244:X244)</f>
        <v>21600</v>
      </c>
      <c r="Z244" s="8" t="n">
        <f aca="false">VLOOKUP(A244,справочник!$E$2:$F$322,2,0)</f>
        <v>0</v>
      </c>
    </row>
    <row collapsed="false" customFormat="false" customHeight="false" hidden="true" ht="25.5" outlineLevel="0" r="245">
      <c r="A245" s="19" t="n">
        <f aca="false">VLOOKUP(B245,справочник!$B$2:$E$322,4,0)</f>
        <v>128</v>
      </c>
      <c r="B245" s="0" t="e">
        <f aca="false">CONCATENATE(C245;D245)</f>
        <v>#VALUE!</v>
      </c>
      <c r="C245" s="24" t="n">
        <v>135</v>
      </c>
      <c r="D245" s="29" t="s">
        <v>186</v>
      </c>
      <c r="E245" s="24" t="s">
        <v>600</v>
      </c>
      <c r="F245" s="30" t="n">
        <v>41358</v>
      </c>
      <c r="G245" s="30" t="n">
        <v>41365</v>
      </c>
      <c r="H245" s="31" t="n">
        <f aca="false">INT(($H$327-G245)/30)</f>
        <v>33</v>
      </c>
      <c r="I245" s="24" t="n">
        <f aca="false">H245*1000</f>
        <v>33000</v>
      </c>
      <c r="J245" s="31" t="n">
        <v>26000</v>
      </c>
      <c r="K245" s="31"/>
      <c r="L245" s="32" t="n">
        <f aca="false">I245-J245-K245</f>
        <v>7000</v>
      </c>
      <c r="M245" s="33" t="n">
        <v>800</v>
      </c>
      <c r="N245" s="33" t="n">
        <v>800</v>
      </c>
      <c r="O245" s="33" t="n">
        <v>800</v>
      </c>
      <c r="P245" s="33" t="n">
        <v>800</v>
      </c>
      <c r="Q245" s="33" t="n">
        <v>800</v>
      </c>
      <c r="R245" s="33" t="n">
        <v>800</v>
      </c>
      <c r="S245" s="33" t="n">
        <v>800</v>
      </c>
      <c r="T245" s="33" t="n">
        <v>800</v>
      </c>
      <c r="U245" s="33" t="n">
        <v>800</v>
      </c>
      <c r="V245" s="33" t="n">
        <v>800</v>
      </c>
      <c r="W245" s="33" t="n">
        <v>800</v>
      </c>
      <c r="X245" s="33" t="n">
        <v>800</v>
      </c>
      <c r="Y245" s="32" t="n">
        <f aca="false">SUM(L245:X245)</f>
        <v>16600</v>
      </c>
      <c r="Z245" s="8" t="n">
        <f aca="false">VLOOKUP(A245,справочник!$E$2:$F$322,2,0)</f>
        <v>0</v>
      </c>
    </row>
    <row collapsed="false" customFormat="false" customHeight="false" hidden="true" ht="15" outlineLevel="0" r="246">
      <c r="A246" s="19" t="n">
        <f aca="false">VLOOKUP(B246,справочник!$B$2:$E$322,4,0)</f>
        <v>67</v>
      </c>
      <c r="B246" s="0" t="e">
        <f aca="false">CONCATENATE(C246;D246)</f>
        <v>#VALUE!</v>
      </c>
      <c r="C246" s="24" t="n">
        <v>69</v>
      </c>
      <c r="D246" s="29" t="s">
        <v>41</v>
      </c>
      <c r="E246" s="24" t="s">
        <v>601</v>
      </c>
      <c r="F246" s="30" t="n">
        <v>41012</v>
      </c>
      <c r="G246" s="30" t="n">
        <v>41000</v>
      </c>
      <c r="H246" s="31" t="n">
        <f aca="false">INT(($H$327-G246)/30)</f>
        <v>45</v>
      </c>
      <c r="I246" s="24" t="n">
        <f aca="false">H246*1000</f>
        <v>45000</v>
      </c>
      <c r="J246" s="31" t="n">
        <v>1000</v>
      </c>
      <c r="K246" s="31"/>
      <c r="L246" s="32" t="n">
        <f aca="false">I246-J246-K246</f>
        <v>44000</v>
      </c>
      <c r="M246" s="33" t="n">
        <v>800</v>
      </c>
      <c r="N246" s="33" t="n">
        <v>800</v>
      </c>
      <c r="O246" s="33" t="n">
        <v>800</v>
      </c>
      <c r="P246" s="33" t="n">
        <v>800</v>
      </c>
      <c r="Q246" s="33" t="n">
        <v>800</v>
      </c>
      <c r="R246" s="33" t="n">
        <v>800</v>
      </c>
      <c r="S246" s="33" t="n">
        <v>800</v>
      </c>
      <c r="T246" s="33" t="n">
        <v>800</v>
      </c>
      <c r="U246" s="33" t="n">
        <v>800</v>
      </c>
      <c r="V246" s="33" t="n">
        <v>800</v>
      </c>
      <c r="W246" s="33" t="n">
        <v>800</v>
      </c>
      <c r="X246" s="33" t="n">
        <v>800</v>
      </c>
      <c r="Y246" s="32" t="n">
        <f aca="false">SUM(L246:X246)</f>
        <v>53600</v>
      </c>
      <c r="Z246" s="8" t="n">
        <f aca="false">VLOOKUP(A246,справочник!$E$2:$F$322,2,0)</f>
        <v>0</v>
      </c>
    </row>
    <row collapsed="false" customFormat="false" customHeight="false" hidden="true" ht="15" outlineLevel="0" r="247">
      <c r="A247" s="19" t="e">
        <f aca="false">VLOOKUP(B247,справочник!$B$2:$E$322,4,0)</f>
        <v>#VALUE!</v>
      </c>
      <c r="B247" s="0" t="e">
        <f aca="false">CONCATENATE(C247;D247)</f>
        <v>#VALUE!</v>
      </c>
      <c r="C247" s="24" t="s">
        <v>602</v>
      </c>
      <c r="D247" s="29" t="s">
        <v>33</v>
      </c>
      <c r="E247" s="24" t="s">
        <v>603</v>
      </c>
      <c r="F247" s="30" t="n">
        <v>40897</v>
      </c>
      <c r="G247" s="30" t="n">
        <v>40878</v>
      </c>
      <c r="H247" s="31" t="n">
        <f aca="false">INT(($H$327-G247)/30)</f>
        <v>49</v>
      </c>
      <c r="I247" s="52" t="n">
        <f aca="false">H247*1000</f>
        <v>49000</v>
      </c>
      <c r="J247" s="39" t="n">
        <v>1000</v>
      </c>
      <c r="K247" s="31"/>
      <c r="L247" s="32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2" t="n">
        <f aca="false">SUM(L247:X247)</f>
        <v>0</v>
      </c>
      <c r="Z247" s="8" t="e">
        <f aca="false">VLOOKUP(A247,справочник!$E$2:$F$322,2,0)</f>
        <v>#VALUE!</v>
      </c>
    </row>
    <row collapsed="false" customFormat="false" customHeight="false" hidden="true" ht="15" outlineLevel="0" r="248">
      <c r="A248" s="19" t="n">
        <f aca="false">VLOOKUP(B248,справочник!$B$2:$E$322,4,0)</f>
        <v>280</v>
      </c>
      <c r="B248" s="0" t="e">
        <f aca="false">CONCATENATE(C248;D248)</f>
        <v>#VALUE!</v>
      </c>
      <c r="C248" s="24" t="n">
        <v>292</v>
      </c>
      <c r="D248" s="29" t="s">
        <v>176</v>
      </c>
      <c r="E248" s="24" t="s">
        <v>604</v>
      </c>
      <c r="F248" s="30" t="n">
        <v>40897</v>
      </c>
      <c r="G248" s="30" t="n">
        <v>40878</v>
      </c>
      <c r="H248" s="31" t="n">
        <f aca="false">INT(($H$327-G248)/30)</f>
        <v>49</v>
      </c>
      <c r="I248" s="24" t="n">
        <f aca="false">H248*1000</f>
        <v>49000</v>
      </c>
      <c r="J248" s="31" t="n">
        <f aca="false">43000+1000</f>
        <v>44000</v>
      </c>
      <c r="K248" s="31"/>
      <c r="L248" s="32" t="n">
        <f aca="false">I248-J248-K248</f>
        <v>5000</v>
      </c>
      <c r="M248" s="33" t="n">
        <v>800</v>
      </c>
      <c r="N248" s="33" t="n">
        <v>800</v>
      </c>
      <c r="O248" s="33" t="n">
        <v>800</v>
      </c>
      <c r="P248" s="33" t="n">
        <v>800</v>
      </c>
      <c r="Q248" s="33" t="n">
        <v>800</v>
      </c>
      <c r="R248" s="33" t="n">
        <v>800</v>
      </c>
      <c r="S248" s="33" t="n">
        <v>800</v>
      </c>
      <c r="T248" s="33" t="n">
        <v>800</v>
      </c>
      <c r="U248" s="33" t="n">
        <v>800</v>
      </c>
      <c r="V248" s="33" t="n">
        <v>800</v>
      </c>
      <c r="W248" s="33" t="n">
        <v>800</v>
      </c>
      <c r="X248" s="33" t="n">
        <v>800</v>
      </c>
      <c r="Y248" s="32" t="n">
        <f aca="false">SUM(L248:X248)</f>
        <v>14600</v>
      </c>
      <c r="Z248" s="8" t="n">
        <f aca="false">VLOOKUP(A248,справочник!$E$2:$F$322,2,0)</f>
        <v>0</v>
      </c>
    </row>
    <row collapsed="false" customFormat="false" customHeight="false" hidden="true" ht="15" outlineLevel="0" r="249">
      <c r="A249" s="19" t="n">
        <f aca="false">VLOOKUP(B249,справочник!$B$2:$E$322,4,0)</f>
        <v>215</v>
      </c>
      <c r="B249" s="0" t="e">
        <f aca="false">CONCATENATE(C249;D249)</f>
        <v>#VALUE!</v>
      </c>
      <c r="C249" s="24" t="n">
        <v>224</v>
      </c>
      <c r="D249" s="29" t="s">
        <v>261</v>
      </c>
      <c r="E249" s="24" t="s">
        <v>605</v>
      </c>
      <c r="F249" s="30" t="n">
        <v>41772</v>
      </c>
      <c r="G249" s="30" t="n">
        <v>41791</v>
      </c>
      <c r="H249" s="31" t="n">
        <f aca="false">INT(($H$327-G249)/30)</f>
        <v>19</v>
      </c>
      <c r="I249" s="24" t="n">
        <f aca="false">H249*1000</f>
        <v>19000</v>
      </c>
      <c r="J249" s="31" t="n">
        <v>16000</v>
      </c>
      <c r="K249" s="31"/>
      <c r="L249" s="32" t="n">
        <f aca="false">I249-J249-K249</f>
        <v>3000</v>
      </c>
      <c r="M249" s="33" t="n">
        <v>800</v>
      </c>
      <c r="N249" s="33" t="n">
        <v>800</v>
      </c>
      <c r="O249" s="33" t="n">
        <v>800</v>
      </c>
      <c r="P249" s="33" t="n">
        <v>800</v>
      </c>
      <c r="Q249" s="33" t="n">
        <v>800</v>
      </c>
      <c r="R249" s="33" t="n">
        <v>800</v>
      </c>
      <c r="S249" s="33" t="n">
        <v>800</v>
      </c>
      <c r="T249" s="33" t="n">
        <v>800</v>
      </c>
      <c r="U249" s="33" t="n">
        <v>800</v>
      </c>
      <c r="V249" s="33" t="n">
        <v>800</v>
      </c>
      <c r="W249" s="33" t="n">
        <v>800</v>
      </c>
      <c r="X249" s="33" t="n">
        <v>800</v>
      </c>
      <c r="Y249" s="32" t="n">
        <f aca="false">SUM(L249:X249)</f>
        <v>12600</v>
      </c>
      <c r="Z249" s="8" t="n">
        <f aca="false">VLOOKUP(A249,справочник!$E$2:$F$322,2,0)</f>
        <v>0</v>
      </c>
    </row>
    <row collapsed="false" customFormat="false" customHeight="false" hidden="true" ht="15" outlineLevel="0" r="250">
      <c r="A250" s="19" t="n">
        <f aca="false">VLOOKUP(B250,справочник!$B$2:$E$322,4,0)</f>
        <v>241</v>
      </c>
      <c r="B250" s="0" t="e">
        <f aca="false">CONCATENATE(C250;D250)</f>
        <v>#VALUE!</v>
      </c>
      <c r="C250" s="24" t="n">
        <v>252</v>
      </c>
      <c r="D250" s="29" t="s">
        <v>208</v>
      </c>
      <c r="E250" s="24" t="s">
        <v>606</v>
      </c>
      <c r="F250" s="30" t="n">
        <v>40677</v>
      </c>
      <c r="G250" s="30" t="n">
        <v>40695</v>
      </c>
      <c r="H250" s="31" t="n">
        <f aca="false">INT(($H$327-G250)/30)</f>
        <v>55</v>
      </c>
      <c r="I250" s="24" t="n">
        <f aca="false">H250*1000</f>
        <v>55000</v>
      </c>
      <c r="J250" s="31" t="n">
        <f aca="false">7000+41000+4800</f>
        <v>52800</v>
      </c>
      <c r="K250" s="31"/>
      <c r="L250" s="32" t="n">
        <f aca="false">I250-J250-K250</f>
        <v>2200</v>
      </c>
      <c r="M250" s="33" t="n">
        <v>800</v>
      </c>
      <c r="N250" s="33" t="n">
        <v>800</v>
      </c>
      <c r="O250" s="33" t="n">
        <v>800</v>
      </c>
      <c r="P250" s="33" t="n">
        <v>800</v>
      </c>
      <c r="Q250" s="33" t="n">
        <v>800</v>
      </c>
      <c r="R250" s="33" t="n">
        <v>800</v>
      </c>
      <c r="S250" s="33" t="n">
        <v>800</v>
      </c>
      <c r="T250" s="33" t="n">
        <v>800</v>
      </c>
      <c r="U250" s="33" t="n">
        <v>800</v>
      </c>
      <c r="V250" s="33" t="n">
        <v>800</v>
      </c>
      <c r="W250" s="33" t="n">
        <v>800</v>
      </c>
      <c r="X250" s="33" t="n">
        <v>800</v>
      </c>
      <c r="Y250" s="32" t="n">
        <f aca="false">SUM(L250:X250)</f>
        <v>11800</v>
      </c>
      <c r="Z250" s="8" t="n">
        <f aca="false">VLOOKUP(A250,справочник!$E$2:$F$322,2,0)</f>
        <v>0</v>
      </c>
    </row>
    <row collapsed="false" customFormat="false" customHeight="false" hidden="true" ht="15" outlineLevel="0" r="251">
      <c r="A251" s="19" t="n">
        <f aca="false">VLOOKUP(B251,справочник!$B$2:$E$322,4,0)</f>
        <v>161</v>
      </c>
      <c r="B251" s="0" t="e">
        <f aca="false">CONCATENATE(C251;D251)</f>
        <v>#VALUE!</v>
      </c>
      <c r="C251" s="24" t="n">
        <v>169</v>
      </c>
      <c r="D251" s="29" t="s">
        <v>172</v>
      </c>
      <c r="E251" s="24" t="s">
        <v>607</v>
      </c>
      <c r="F251" s="30" t="n">
        <v>41039</v>
      </c>
      <c r="G251" s="30" t="n">
        <v>41030</v>
      </c>
      <c r="H251" s="31" t="n">
        <f aca="false">INT(($H$327-G251)/30)</f>
        <v>44</v>
      </c>
      <c r="I251" s="24" t="n">
        <f aca="false">H251*1000</f>
        <v>44000</v>
      </c>
      <c r="J251" s="31" t="n">
        <v>38000</v>
      </c>
      <c r="K251" s="31"/>
      <c r="L251" s="32" t="n">
        <f aca="false">I251-J251-K251</f>
        <v>6000</v>
      </c>
      <c r="M251" s="33" t="n">
        <v>800</v>
      </c>
      <c r="N251" s="33" t="n">
        <v>800</v>
      </c>
      <c r="O251" s="33" t="n">
        <v>800</v>
      </c>
      <c r="P251" s="33" t="n">
        <v>800</v>
      </c>
      <c r="Q251" s="33" t="n">
        <v>800</v>
      </c>
      <c r="R251" s="33" t="n">
        <v>800</v>
      </c>
      <c r="S251" s="33" t="n">
        <v>800</v>
      </c>
      <c r="T251" s="33" t="n">
        <v>800</v>
      </c>
      <c r="U251" s="33" t="n">
        <v>800</v>
      </c>
      <c r="V251" s="33" t="n">
        <v>800</v>
      </c>
      <c r="W251" s="33" t="n">
        <v>800</v>
      </c>
      <c r="X251" s="33" t="n">
        <v>800</v>
      </c>
      <c r="Y251" s="32" t="n">
        <f aca="false">SUM(L251:X251)</f>
        <v>15600</v>
      </c>
      <c r="Z251" s="8" t="n">
        <f aca="false">VLOOKUP(A251,справочник!$E$2:$F$322,2,0)</f>
        <v>0</v>
      </c>
    </row>
    <row collapsed="false" customFormat="false" customHeight="false" hidden="true" ht="15" outlineLevel="0" r="252">
      <c r="A252" s="19" t="n">
        <f aca="false">VLOOKUP(B252,справочник!$B$2:$E$322,4,0)</f>
        <v>272</v>
      </c>
      <c r="B252" s="0" t="e">
        <f aca="false">CONCATENATE(C252;D252)</f>
        <v>#VALUE!</v>
      </c>
      <c r="C252" s="24" t="n">
        <v>285</v>
      </c>
      <c r="D252" s="29" t="s">
        <v>177</v>
      </c>
      <c r="E252" s="24" t="s">
        <v>608</v>
      </c>
      <c r="F252" s="30" t="n">
        <v>42044</v>
      </c>
      <c r="G252" s="30" t="n">
        <v>42064</v>
      </c>
      <c r="H252" s="31" t="n">
        <f aca="false">INT(($H$327-G252)/30)</f>
        <v>10</v>
      </c>
      <c r="I252" s="24" t="n">
        <f aca="false">H252*1000</f>
        <v>10000</v>
      </c>
      <c r="J252" s="31" t="n">
        <v>5000</v>
      </c>
      <c r="K252" s="31"/>
      <c r="L252" s="32" t="n">
        <f aca="false">I252-J252-K252</f>
        <v>5000</v>
      </c>
      <c r="M252" s="33" t="n">
        <v>800</v>
      </c>
      <c r="N252" s="33" t="n">
        <v>800</v>
      </c>
      <c r="O252" s="33" t="n">
        <v>800</v>
      </c>
      <c r="P252" s="33" t="n">
        <v>800</v>
      </c>
      <c r="Q252" s="33" t="n">
        <v>800</v>
      </c>
      <c r="R252" s="33" t="n">
        <v>800</v>
      </c>
      <c r="S252" s="33" t="n">
        <v>800</v>
      </c>
      <c r="T252" s="33" t="n">
        <v>800</v>
      </c>
      <c r="U252" s="33" t="n">
        <v>800</v>
      </c>
      <c r="V252" s="33" t="n">
        <v>800</v>
      </c>
      <c r="W252" s="33" t="n">
        <v>800</v>
      </c>
      <c r="X252" s="33" t="n">
        <v>800</v>
      </c>
      <c r="Y252" s="32" t="n">
        <f aca="false">SUM(L252:X252)</f>
        <v>14600</v>
      </c>
      <c r="Z252" s="8" t="n">
        <f aca="false">VLOOKUP(A252,справочник!$E$2:$F$322,2,0)</f>
        <v>0</v>
      </c>
    </row>
    <row collapsed="false" customFormat="false" customHeight="false" hidden="true" ht="15" outlineLevel="0" r="253">
      <c r="A253" s="19" t="n">
        <f aca="false">VLOOKUP(B253,справочник!$B$2:$E$322,4,0)</f>
        <v>19</v>
      </c>
      <c r="B253" s="0" t="e">
        <f aca="false">CONCATENATE(C253;D253)</f>
        <v>#VALUE!</v>
      </c>
      <c r="C253" s="24" t="n">
        <v>19</v>
      </c>
      <c r="D253" s="29" t="s">
        <v>276</v>
      </c>
      <c r="E253" s="24" t="s">
        <v>609</v>
      </c>
      <c r="F253" s="30" t="n">
        <v>41421</v>
      </c>
      <c r="G253" s="30" t="n">
        <v>41456</v>
      </c>
      <c r="H253" s="31" t="n">
        <f aca="false">INT(($H$327-G253)/30)</f>
        <v>30</v>
      </c>
      <c r="I253" s="24" t="n">
        <f aca="false">H253*1000</f>
        <v>30000</v>
      </c>
      <c r="J253" s="31" t="n">
        <v>30000</v>
      </c>
      <c r="K253" s="31"/>
      <c r="L253" s="32" t="n">
        <f aca="false">I253-J253-K253</f>
        <v>0</v>
      </c>
      <c r="M253" s="33" t="n">
        <v>800</v>
      </c>
      <c r="N253" s="33" t="n">
        <v>800</v>
      </c>
      <c r="O253" s="33" t="n">
        <v>800</v>
      </c>
      <c r="P253" s="33" t="n">
        <v>800</v>
      </c>
      <c r="Q253" s="33" t="n">
        <v>800</v>
      </c>
      <c r="R253" s="33" t="n">
        <v>800</v>
      </c>
      <c r="S253" s="33" t="n">
        <v>800</v>
      </c>
      <c r="T253" s="33" t="n">
        <v>800</v>
      </c>
      <c r="U253" s="33" t="n">
        <v>800</v>
      </c>
      <c r="V253" s="33" t="n">
        <v>800</v>
      </c>
      <c r="W253" s="33" t="n">
        <v>800</v>
      </c>
      <c r="X253" s="33" t="n">
        <v>800</v>
      </c>
      <c r="Y253" s="32" t="n">
        <f aca="false">SUM(L253:X253)</f>
        <v>9600</v>
      </c>
      <c r="Z253" s="8" t="n">
        <f aca="false">VLOOKUP(A253,справочник!$E$2:$F$322,2,0)</f>
        <v>0</v>
      </c>
    </row>
    <row collapsed="false" customFormat="false" customHeight="true" hidden="true" ht="25.5" outlineLevel="0" r="254">
      <c r="A254" s="19" t="n">
        <f aca="false">VLOOKUP(B254,справочник!$B$2:$E$322,4,0)</f>
        <v>310</v>
      </c>
      <c r="B254" s="0" t="e">
        <f aca="false">CONCATENATE(C254;D254)</f>
        <v>#VALUE!</v>
      </c>
      <c r="C254" s="24" t="s">
        <v>610</v>
      </c>
      <c r="D254" s="29" t="s">
        <v>91</v>
      </c>
      <c r="E254" s="24" t="s">
        <v>611</v>
      </c>
      <c r="F254" s="34" t="n">
        <v>40778</v>
      </c>
      <c r="G254" s="34" t="n">
        <v>40787</v>
      </c>
      <c r="H254" s="35" t="n">
        <f aca="false">INT(($H$327-G254)/30)</f>
        <v>52</v>
      </c>
      <c r="I254" s="36" t="n">
        <f aca="false">H254*1000</f>
        <v>52000</v>
      </c>
      <c r="J254" s="35" t="n">
        <v>12000</v>
      </c>
      <c r="K254" s="35"/>
      <c r="L254" s="37" t="n">
        <f aca="false">I254-J254-K254</f>
        <v>40000</v>
      </c>
      <c r="M254" s="33" t="n">
        <v>800</v>
      </c>
      <c r="N254" s="33" t="n">
        <v>800</v>
      </c>
      <c r="O254" s="33" t="n">
        <v>800</v>
      </c>
      <c r="P254" s="33" t="n">
        <v>800</v>
      </c>
      <c r="Q254" s="33" t="n">
        <v>800</v>
      </c>
      <c r="R254" s="33" t="n">
        <v>800</v>
      </c>
      <c r="S254" s="33" t="n">
        <v>800</v>
      </c>
      <c r="T254" s="33" t="n">
        <v>800</v>
      </c>
      <c r="U254" s="33" t="n">
        <v>800</v>
      </c>
      <c r="V254" s="33" t="n">
        <v>800</v>
      </c>
      <c r="W254" s="33" t="n">
        <v>800</v>
      </c>
      <c r="X254" s="33" t="n">
        <v>800</v>
      </c>
      <c r="Y254" s="32" t="n">
        <f aca="false">SUM(L254:X254)</f>
        <v>49600</v>
      </c>
      <c r="Z254" s="8" t="n">
        <f aca="false">VLOOKUP(A254,справочник!$E$2:$F$322,2,0)</f>
        <v>0</v>
      </c>
    </row>
    <row collapsed="false" customFormat="false" customHeight="false" hidden="true" ht="15" outlineLevel="0" r="255">
      <c r="A255" s="19" t="n">
        <f aca="false">VLOOKUP(B255,справочник!$B$2:$E$322,4,0)</f>
        <v>205</v>
      </c>
      <c r="B255" s="0" t="e">
        <f aca="false">CONCATENATE(C255;D255)</f>
        <v>#VALUE!</v>
      </c>
      <c r="C255" s="24" t="n">
        <v>215</v>
      </c>
      <c r="D255" s="29" t="s">
        <v>136</v>
      </c>
      <c r="E255" s="24" t="s">
        <v>612</v>
      </c>
      <c r="F255" s="30" t="n">
        <v>41023</v>
      </c>
      <c r="G255" s="30" t="n">
        <v>41000</v>
      </c>
      <c r="H255" s="31" t="n">
        <f aca="false">INT(($H$327-G255)/30)</f>
        <v>45</v>
      </c>
      <c r="I255" s="24" t="n">
        <f aca="false">H255*1000</f>
        <v>45000</v>
      </c>
      <c r="J255" s="31" t="n">
        <v>33000</v>
      </c>
      <c r="K255" s="31"/>
      <c r="L255" s="32" t="n">
        <f aca="false">I255-J255-K255</f>
        <v>12000</v>
      </c>
      <c r="M255" s="33" t="n">
        <v>800</v>
      </c>
      <c r="N255" s="33" t="n">
        <v>800</v>
      </c>
      <c r="O255" s="33" t="n">
        <v>800</v>
      </c>
      <c r="P255" s="33" t="n">
        <v>800</v>
      </c>
      <c r="Q255" s="33" t="n">
        <v>800</v>
      </c>
      <c r="R255" s="33" t="n">
        <v>800</v>
      </c>
      <c r="S255" s="33" t="n">
        <v>800</v>
      </c>
      <c r="T255" s="33" t="n">
        <v>800</v>
      </c>
      <c r="U255" s="33" t="n">
        <v>800</v>
      </c>
      <c r="V255" s="33" t="n">
        <v>800</v>
      </c>
      <c r="W255" s="33" t="n">
        <v>800</v>
      </c>
      <c r="X255" s="33" t="n">
        <v>800</v>
      </c>
      <c r="Y255" s="32" t="n">
        <f aca="false">SUM(L255:X255)</f>
        <v>21600</v>
      </c>
      <c r="Z255" s="8" t="n">
        <f aca="false">VLOOKUP(A255,справочник!$E$2:$F$322,2,0)</f>
        <v>0</v>
      </c>
    </row>
    <row collapsed="false" customFormat="false" customHeight="true" hidden="true" ht="25.5" outlineLevel="0" r="256">
      <c r="A256" s="19" t="n">
        <f aca="false">VLOOKUP(B256,справочник!$B$2:$E$322,4,0)</f>
        <v>107</v>
      </c>
      <c r="B256" s="0" t="e">
        <f aca="false">CONCATENATE(C256;D256)</f>
        <v>#VALUE!</v>
      </c>
      <c r="C256" s="24" t="n">
        <v>112</v>
      </c>
      <c r="D256" s="29" t="s">
        <v>267</v>
      </c>
      <c r="E256" s="24" t="s">
        <v>613</v>
      </c>
      <c r="F256" s="30" t="n">
        <v>40932</v>
      </c>
      <c r="G256" s="30" t="n">
        <v>40909</v>
      </c>
      <c r="H256" s="31" t="n">
        <f aca="false">INT(($H$327-G256)/30)</f>
        <v>48</v>
      </c>
      <c r="I256" s="24" t="n">
        <f aca="false">H256*1000</f>
        <v>48000</v>
      </c>
      <c r="J256" s="31" t="n">
        <v>40000</v>
      </c>
      <c r="K256" s="31" t="n">
        <v>4000</v>
      </c>
      <c r="L256" s="32" t="n">
        <f aca="false">I256-J256-K256</f>
        <v>4000</v>
      </c>
      <c r="M256" s="33" t="n">
        <v>800</v>
      </c>
      <c r="N256" s="33" t="n">
        <v>800</v>
      </c>
      <c r="O256" s="33" t="n">
        <v>800</v>
      </c>
      <c r="P256" s="33" t="n">
        <v>800</v>
      </c>
      <c r="Q256" s="33" t="n">
        <v>800</v>
      </c>
      <c r="R256" s="33" t="n">
        <v>800</v>
      </c>
      <c r="S256" s="33" t="n">
        <v>800</v>
      </c>
      <c r="T256" s="33" t="n">
        <v>800</v>
      </c>
      <c r="U256" s="33" t="n">
        <v>800</v>
      </c>
      <c r="V256" s="33" t="n">
        <v>800</v>
      </c>
      <c r="W256" s="33" t="n">
        <v>800</v>
      </c>
      <c r="X256" s="33" t="n">
        <v>800</v>
      </c>
      <c r="Y256" s="32" t="n">
        <f aca="false">SUM(L256:X256)</f>
        <v>13600</v>
      </c>
      <c r="Z256" s="8" t="n">
        <f aca="false">VLOOKUP(A256,справочник!$E$2:$F$322,2,0)</f>
        <v>0</v>
      </c>
    </row>
    <row collapsed="false" customFormat="false" customHeight="false" hidden="true" ht="15" outlineLevel="0" r="257">
      <c r="A257" s="19" t="n">
        <f aca="false">VLOOKUP(B257,справочник!$B$2:$E$322,4,0)</f>
        <v>48</v>
      </c>
      <c r="B257" s="0" t="e">
        <f aca="false">CONCATENATE(C257;D257)</f>
        <v>#VALUE!</v>
      </c>
      <c r="C257" s="24" t="n">
        <v>48</v>
      </c>
      <c r="D257" s="29" t="s">
        <v>65</v>
      </c>
      <c r="E257" s="24" t="s">
        <v>614</v>
      </c>
      <c r="F257" s="30" t="n">
        <v>40786</v>
      </c>
      <c r="G257" s="30" t="n">
        <v>40787</v>
      </c>
      <c r="H257" s="31" t="n">
        <f aca="false">INT(($H$327-G257)/30)</f>
        <v>52</v>
      </c>
      <c r="I257" s="24" t="n">
        <f aca="false">H257*1000</f>
        <v>52000</v>
      </c>
      <c r="J257" s="31" t="n">
        <f aca="false">1000+22000</f>
        <v>23000</v>
      </c>
      <c r="K257" s="31"/>
      <c r="L257" s="32" t="n">
        <f aca="false">I257-J257-K257</f>
        <v>29000</v>
      </c>
      <c r="M257" s="33" t="n">
        <v>800</v>
      </c>
      <c r="N257" s="33" t="n">
        <v>800</v>
      </c>
      <c r="O257" s="33" t="n">
        <v>800</v>
      </c>
      <c r="P257" s="33" t="n">
        <v>800</v>
      </c>
      <c r="Q257" s="33" t="n">
        <v>800</v>
      </c>
      <c r="R257" s="33" t="n">
        <v>800</v>
      </c>
      <c r="S257" s="33" t="n">
        <v>800</v>
      </c>
      <c r="T257" s="33" t="n">
        <v>800</v>
      </c>
      <c r="U257" s="33" t="n">
        <v>800</v>
      </c>
      <c r="V257" s="33" t="n">
        <v>800</v>
      </c>
      <c r="W257" s="33" t="n">
        <v>800</v>
      </c>
      <c r="X257" s="33" t="n">
        <v>800</v>
      </c>
      <c r="Y257" s="32" t="n">
        <f aca="false">SUM(L257:X257)</f>
        <v>38600</v>
      </c>
      <c r="Z257" s="8" t="n">
        <f aca="false">VLOOKUP(A257,справочник!$E$2:$F$322,2,0)</f>
        <v>0</v>
      </c>
    </row>
    <row collapsed="false" customFormat="false" customHeight="false" hidden="true" ht="15" outlineLevel="0" r="258">
      <c r="A258" s="19" t="n">
        <f aca="false">VLOOKUP(B258,справочник!$B$2:$E$322,4,0)</f>
        <v>237</v>
      </c>
      <c r="B258" s="0" t="e">
        <f aca="false">CONCATENATE(C258;D258)</f>
        <v>#VALUE!</v>
      </c>
      <c r="C258" s="24" t="n">
        <v>248</v>
      </c>
      <c r="D258" s="29" t="s">
        <v>235</v>
      </c>
      <c r="E258" s="24" t="s">
        <v>615</v>
      </c>
      <c r="F258" s="30" t="n">
        <v>41036</v>
      </c>
      <c r="G258" s="30" t="n">
        <v>41030</v>
      </c>
      <c r="H258" s="31" t="n">
        <f aca="false">INT(($H$327-G258)/30)</f>
        <v>44</v>
      </c>
      <c r="I258" s="24" t="n">
        <f aca="false">H258*1000</f>
        <v>44000</v>
      </c>
      <c r="J258" s="31" t="n">
        <v>13000</v>
      </c>
      <c r="K258" s="31"/>
      <c r="L258" s="32" t="n">
        <f aca="false">I258-J258-K258</f>
        <v>31000</v>
      </c>
      <c r="M258" s="33" t="n">
        <v>800</v>
      </c>
      <c r="N258" s="33" t="n">
        <v>800</v>
      </c>
      <c r="O258" s="33" t="n">
        <v>800</v>
      </c>
      <c r="P258" s="33" t="n">
        <v>800</v>
      </c>
      <c r="Q258" s="33" t="n">
        <v>800</v>
      </c>
      <c r="R258" s="33" t="n">
        <v>800</v>
      </c>
      <c r="S258" s="33" t="n">
        <v>800</v>
      </c>
      <c r="T258" s="33" t="n">
        <v>800</v>
      </c>
      <c r="U258" s="33" t="n">
        <v>800</v>
      </c>
      <c r="V258" s="33" t="n">
        <v>800</v>
      </c>
      <c r="W258" s="33" t="n">
        <v>800</v>
      </c>
      <c r="X258" s="33" t="n">
        <v>800</v>
      </c>
      <c r="Y258" s="32" t="n">
        <f aca="false">SUM(L258:X258)</f>
        <v>40600</v>
      </c>
      <c r="Z258" s="8" t="n">
        <f aca="false">VLOOKUP(A258,справочник!$E$2:$F$322,2,0)</f>
        <v>0</v>
      </c>
    </row>
    <row collapsed="false" customFormat="false" customHeight="false" hidden="true" ht="15" outlineLevel="0" r="259">
      <c r="A259" s="19" t="n">
        <f aca="false">VLOOKUP(B259,справочник!$B$2:$E$322,4,0)</f>
        <v>263</v>
      </c>
      <c r="B259" s="0" t="e">
        <f aca="false">CONCATENATE(C259;D259)</f>
        <v>#VALUE!</v>
      </c>
      <c r="C259" s="24" t="n">
        <v>276</v>
      </c>
      <c r="D259" s="29" t="s">
        <v>223</v>
      </c>
      <c r="E259" s="24" t="s">
        <v>616</v>
      </c>
      <c r="F259" s="30" t="n">
        <v>41289</v>
      </c>
      <c r="G259" s="30" t="n">
        <v>41306</v>
      </c>
      <c r="H259" s="31" t="n">
        <f aca="false">INT(($H$327-G259)/30)</f>
        <v>35</v>
      </c>
      <c r="I259" s="24" t="n">
        <f aca="false">H259*1000</f>
        <v>35000</v>
      </c>
      <c r="J259" s="31" t="n">
        <v>32000</v>
      </c>
      <c r="K259" s="31"/>
      <c r="L259" s="32" t="n">
        <f aca="false">I259-J259-K259</f>
        <v>3000</v>
      </c>
      <c r="M259" s="33" t="n">
        <v>800</v>
      </c>
      <c r="N259" s="33" t="n">
        <v>800</v>
      </c>
      <c r="O259" s="33" t="n">
        <v>800</v>
      </c>
      <c r="P259" s="33" t="n">
        <v>800</v>
      </c>
      <c r="Q259" s="33" t="n">
        <v>800</v>
      </c>
      <c r="R259" s="33" t="n">
        <v>800</v>
      </c>
      <c r="S259" s="33" t="n">
        <v>800</v>
      </c>
      <c r="T259" s="33" t="n">
        <v>800</v>
      </c>
      <c r="U259" s="33" t="n">
        <v>800</v>
      </c>
      <c r="V259" s="33" t="n">
        <v>800</v>
      </c>
      <c r="W259" s="33" t="n">
        <v>800</v>
      </c>
      <c r="X259" s="33" t="n">
        <v>800</v>
      </c>
      <c r="Y259" s="32" t="n">
        <f aca="false">SUM(L259:X259)</f>
        <v>12600</v>
      </c>
      <c r="Z259" s="8" t="n">
        <f aca="false">VLOOKUP(A259,справочник!$E$2:$F$322,2,0)</f>
        <v>0</v>
      </c>
    </row>
    <row collapsed="false" customFormat="false" customHeight="false" hidden="true" ht="15" outlineLevel="0" r="260">
      <c r="A260" s="19" t="n">
        <f aca="false">VLOOKUP(B260,справочник!$B$2:$E$322,4,0)</f>
        <v>100</v>
      </c>
      <c r="B260" s="0" t="e">
        <f aca="false">CONCATENATE(C260;D260)</f>
        <v>#VALUE!</v>
      </c>
      <c r="C260" s="24" t="n">
        <v>105</v>
      </c>
      <c r="D260" s="29" t="s">
        <v>157</v>
      </c>
      <c r="E260" s="24" t="s">
        <v>617</v>
      </c>
      <c r="F260" s="30" t="n">
        <v>41065</v>
      </c>
      <c r="G260" s="30" t="n">
        <v>41061</v>
      </c>
      <c r="H260" s="31" t="n">
        <f aca="false">INT(($H$327-G260)/30)</f>
        <v>43</v>
      </c>
      <c r="I260" s="24" t="n">
        <f aca="false">H260*1000</f>
        <v>43000</v>
      </c>
      <c r="J260" s="31" t="n">
        <v>28000</v>
      </c>
      <c r="K260" s="31"/>
      <c r="L260" s="32" t="n">
        <f aca="false">I260-J260-K260</f>
        <v>15000</v>
      </c>
      <c r="M260" s="33" t="n">
        <v>800</v>
      </c>
      <c r="N260" s="33" t="n">
        <v>800</v>
      </c>
      <c r="O260" s="33" t="n">
        <v>800</v>
      </c>
      <c r="P260" s="33" t="n">
        <v>800</v>
      </c>
      <c r="Q260" s="33" t="n">
        <v>800</v>
      </c>
      <c r="R260" s="33" t="n">
        <v>800</v>
      </c>
      <c r="S260" s="33" t="n">
        <v>800</v>
      </c>
      <c r="T260" s="33" t="n">
        <v>800</v>
      </c>
      <c r="U260" s="33" t="n">
        <v>800</v>
      </c>
      <c r="V260" s="33" t="n">
        <v>800</v>
      </c>
      <c r="W260" s="33" t="n">
        <v>800</v>
      </c>
      <c r="X260" s="33" t="n">
        <v>800</v>
      </c>
      <c r="Y260" s="32" t="n">
        <f aca="false">SUM(L260:X260)</f>
        <v>24600</v>
      </c>
      <c r="Z260" s="8" t="n">
        <f aca="false">VLOOKUP(A260,справочник!$E$2:$F$322,2,0)</f>
        <v>0</v>
      </c>
    </row>
    <row collapsed="false" customFormat="false" customHeight="false" hidden="true" ht="15" outlineLevel="0" r="261">
      <c r="A261" s="19" t="n">
        <f aca="false">VLOOKUP(B261,справочник!$B$2:$E$322,4,0)</f>
        <v>131</v>
      </c>
      <c r="B261" s="0" t="e">
        <f aca="false">CONCATENATE(C261;D261)</f>
        <v>#VALUE!</v>
      </c>
      <c r="C261" s="24" t="n">
        <v>138</v>
      </c>
      <c r="D261" s="29" t="s">
        <v>243</v>
      </c>
      <c r="E261" s="24" t="s">
        <v>618</v>
      </c>
      <c r="F261" s="30" t="n">
        <v>41114</v>
      </c>
      <c r="G261" s="30" t="n">
        <v>41122</v>
      </c>
      <c r="H261" s="31" t="n">
        <f aca="false">INT(($H$327-G261)/30)</f>
        <v>41</v>
      </c>
      <c r="I261" s="24" t="n">
        <f aca="false">H261*1000</f>
        <v>41000</v>
      </c>
      <c r="J261" s="31" t="n">
        <v>23000</v>
      </c>
      <c r="K261" s="31" t="n">
        <v>6000</v>
      </c>
      <c r="L261" s="32" t="n">
        <f aca="false">I261-J261-K261</f>
        <v>12000</v>
      </c>
      <c r="M261" s="33" t="n">
        <v>800</v>
      </c>
      <c r="N261" s="33" t="n">
        <v>800</v>
      </c>
      <c r="O261" s="33" t="n">
        <v>800</v>
      </c>
      <c r="P261" s="33" t="n">
        <v>800</v>
      </c>
      <c r="Q261" s="33" t="n">
        <v>800</v>
      </c>
      <c r="R261" s="33" t="n">
        <v>800</v>
      </c>
      <c r="S261" s="33" t="n">
        <v>800</v>
      </c>
      <c r="T261" s="33" t="n">
        <v>800</v>
      </c>
      <c r="U261" s="33" t="n">
        <v>800</v>
      </c>
      <c r="V261" s="33" t="n">
        <v>800</v>
      </c>
      <c r="W261" s="33" t="n">
        <v>800</v>
      </c>
      <c r="X261" s="33" t="n">
        <v>800</v>
      </c>
      <c r="Y261" s="32" t="n">
        <f aca="false">SUM(L261:X261)</f>
        <v>21600</v>
      </c>
      <c r="Z261" s="8" t="n">
        <f aca="false">VLOOKUP(A261,справочник!$E$2:$F$322,2,0)</f>
        <v>0</v>
      </c>
    </row>
    <row collapsed="false" customFormat="false" customHeight="false" hidden="true" ht="15" outlineLevel="0" r="262">
      <c r="A262" s="19" t="n">
        <f aca="false">VLOOKUP(B262,справочник!$B$2:$E$322,4,0)</f>
        <v>183</v>
      </c>
      <c r="B262" s="0" t="e">
        <f aca="false">CONCATENATE(C262;D262)</f>
        <v>#VALUE!</v>
      </c>
      <c r="C262" s="24" t="n">
        <v>191</v>
      </c>
      <c r="D262" s="29" t="s">
        <v>32</v>
      </c>
      <c r="E262" s="24" t="s">
        <v>619</v>
      </c>
      <c r="F262" s="34" t="n">
        <v>41505</v>
      </c>
      <c r="G262" s="34" t="n">
        <v>41518</v>
      </c>
      <c r="H262" s="35" t="n">
        <f aca="false">INT(($H$327-G262)/30)</f>
        <v>28</v>
      </c>
      <c r="I262" s="36" t="n">
        <f aca="false">H262*1000</f>
        <v>28000</v>
      </c>
      <c r="J262" s="35" t="n">
        <v>1000</v>
      </c>
      <c r="K262" s="35"/>
      <c r="L262" s="37" t="n">
        <f aca="false">I262-J262-K262</f>
        <v>27000</v>
      </c>
      <c r="M262" s="33" t="n">
        <v>800</v>
      </c>
      <c r="N262" s="33" t="n">
        <v>800</v>
      </c>
      <c r="O262" s="33" t="n">
        <v>800</v>
      </c>
      <c r="P262" s="33" t="n">
        <v>800</v>
      </c>
      <c r="Q262" s="33" t="n">
        <v>800</v>
      </c>
      <c r="R262" s="33" t="n">
        <v>800</v>
      </c>
      <c r="S262" s="33" t="n">
        <v>800</v>
      </c>
      <c r="T262" s="33" t="n">
        <v>800</v>
      </c>
      <c r="U262" s="33" t="n">
        <v>800</v>
      </c>
      <c r="V262" s="33" t="n">
        <v>800</v>
      </c>
      <c r="W262" s="33" t="n">
        <v>800</v>
      </c>
      <c r="X262" s="33" t="n">
        <v>800</v>
      </c>
      <c r="Y262" s="32" t="n">
        <f aca="false">SUM(L262:X262)</f>
        <v>36600</v>
      </c>
      <c r="Z262" s="8" t="n">
        <f aca="false">VLOOKUP(A262,справочник!$E$2:$F$322,2,0)</f>
        <v>1</v>
      </c>
    </row>
    <row collapsed="false" customFormat="false" customHeight="false" hidden="true" ht="15" outlineLevel="0" r="263">
      <c r="A263" s="19" t="n">
        <f aca="false">VLOOKUP(B263,справочник!$B$2:$E$322,4,0)</f>
        <v>183</v>
      </c>
      <c r="B263" s="0" t="e">
        <f aca="false">CONCATENATE(C263;D263)</f>
        <v>#VALUE!</v>
      </c>
      <c r="C263" s="24" t="n">
        <v>192</v>
      </c>
      <c r="D263" s="29" t="s">
        <v>32</v>
      </c>
      <c r="E263" s="24" t="s">
        <v>620</v>
      </c>
      <c r="F263" s="34" t="n">
        <v>41505</v>
      </c>
      <c r="G263" s="34" t="n">
        <v>41518</v>
      </c>
      <c r="H263" s="35" t="n">
        <f aca="false">INT(($H$327-G263)/30)</f>
        <v>28</v>
      </c>
      <c r="I263" s="36" t="n">
        <f aca="false">H263*1000</f>
        <v>28000</v>
      </c>
      <c r="J263" s="35" t="n">
        <v>1000</v>
      </c>
      <c r="K263" s="35"/>
      <c r="L263" s="37" t="n">
        <f aca="false">I263-J263-K263</f>
        <v>27000</v>
      </c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2" t="n">
        <f aca="false">SUM(L263:X263)</f>
        <v>27000</v>
      </c>
      <c r="Z263" s="8" t="n">
        <f aca="false">VLOOKUP(A263,справочник!$E$2:$F$322,2,0)</f>
        <v>1</v>
      </c>
    </row>
    <row collapsed="false" customFormat="false" customHeight="true" hidden="true" ht="25.5" outlineLevel="0" r="264">
      <c r="A264" s="19" t="n">
        <f aca="false">VLOOKUP(B264,справочник!$B$2:$E$322,4,0)</f>
        <v>21</v>
      </c>
      <c r="B264" s="0" t="e">
        <f aca="false">CONCATENATE(C264;D264)</f>
        <v>#VALUE!</v>
      </c>
      <c r="C264" s="24" t="n">
        <v>21</v>
      </c>
      <c r="D264" s="29" t="s">
        <v>199</v>
      </c>
      <c r="E264" s="24" t="s">
        <v>621</v>
      </c>
      <c r="F264" s="30" t="n">
        <v>41107</v>
      </c>
      <c r="G264" s="30" t="n">
        <v>41091</v>
      </c>
      <c r="H264" s="31" t="n">
        <f aca="false">INT(($H$327-G264)/30)</f>
        <v>42</v>
      </c>
      <c r="I264" s="24" t="n">
        <f aca="false">H264*1000</f>
        <v>42000</v>
      </c>
      <c r="J264" s="31" t="n">
        <v>40000</v>
      </c>
      <c r="K264" s="31"/>
      <c r="L264" s="32" t="n">
        <f aca="false">I264-J264-K264</f>
        <v>2000</v>
      </c>
      <c r="M264" s="33" t="n">
        <v>800</v>
      </c>
      <c r="N264" s="33" t="n">
        <v>800</v>
      </c>
      <c r="O264" s="33" t="n">
        <v>800</v>
      </c>
      <c r="P264" s="33" t="n">
        <v>800</v>
      </c>
      <c r="Q264" s="33" t="n">
        <v>800</v>
      </c>
      <c r="R264" s="33" t="n">
        <v>800</v>
      </c>
      <c r="S264" s="33" t="n">
        <v>800</v>
      </c>
      <c r="T264" s="33" t="n">
        <v>800</v>
      </c>
      <c r="U264" s="33" t="n">
        <v>800</v>
      </c>
      <c r="V264" s="33" t="n">
        <v>800</v>
      </c>
      <c r="W264" s="33" t="n">
        <v>800</v>
      </c>
      <c r="X264" s="33" t="n">
        <v>800</v>
      </c>
      <c r="Y264" s="32" t="n">
        <f aca="false">SUM(L264:X264)</f>
        <v>11600</v>
      </c>
      <c r="Z264" s="8" t="n">
        <f aca="false">VLOOKUP(A264,справочник!$E$2:$F$322,2,0)</f>
        <v>0</v>
      </c>
    </row>
    <row collapsed="false" customFormat="false" customHeight="false" hidden="true" ht="15" outlineLevel="0" r="265">
      <c r="A265" s="19" t="n">
        <f aca="false">VLOOKUP(B265,справочник!$B$2:$E$322,4,0)</f>
        <v>298</v>
      </c>
      <c r="B265" s="0" t="e">
        <f aca="false">CONCATENATE(C265;D265)</f>
        <v>#VALUE!</v>
      </c>
      <c r="C265" s="24" t="n">
        <v>313</v>
      </c>
      <c r="D265" s="29" t="s">
        <v>278</v>
      </c>
      <c r="E265" s="24" t="s">
        <v>622</v>
      </c>
      <c r="F265" s="30" t="n">
        <v>41994</v>
      </c>
      <c r="G265" s="30" t="n">
        <v>42005</v>
      </c>
      <c r="H265" s="31" t="n">
        <f aca="false">INT(($H$327-G265)/30)</f>
        <v>12</v>
      </c>
      <c r="I265" s="24" t="n">
        <f aca="false">H265*1000</f>
        <v>12000</v>
      </c>
      <c r="J265" s="31" t="n">
        <v>12000</v>
      </c>
      <c r="K265" s="31"/>
      <c r="L265" s="32" t="n">
        <f aca="false">I265-J265-K265</f>
        <v>0</v>
      </c>
      <c r="M265" s="33" t="n">
        <v>800</v>
      </c>
      <c r="N265" s="33" t="n">
        <v>800</v>
      </c>
      <c r="O265" s="33" t="n">
        <v>800</v>
      </c>
      <c r="P265" s="33" t="n">
        <v>800</v>
      </c>
      <c r="Q265" s="33" t="n">
        <v>800</v>
      </c>
      <c r="R265" s="33" t="n">
        <v>800</v>
      </c>
      <c r="S265" s="33" t="n">
        <v>800</v>
      </c>
      <c r="T265" s="33" t="n">
        <v>800</v>
      </c>
      <c r="U265" s="33" t="n">
        <v>800</v>
      </c>
      <c r="V265" s="33" t="n">
        <v>800</v>
      </c>
      <c r="W265" s="33" t="n">
        <v>800</v>
      </c>
      <c r="X265" s="33" t="n">
        <v>800</v>
      </c>
      <c r="Y265" s="32" t="n">
        <f aca="false">SUM(L265:X265)</f>
        <v>9600</v>
      </c>
      <c r="Z265" s="8" t="n">
        <f aca="false">VLOOKUP(A265,справочник!$E$2:$F$322,2,0)</f>
        <v>0</v>
      </c>
    </row>
    <row collapsed="false" customFormat="false" customHeight="false" hidden="true" ht="15" outlineLevel="0" r="266">
      <c r="A266" s="19" t="n">
        <f aca="false">VLOOKUP(B266,справочник!$B$2:$E$322,4,0)</f>
        <v>91</v>
      </c>
      <c r="B266" s="0" t="e">
        <f aca="false">CONCATENATE(C266;D266)</f>
        <v>#VALUE!</v>
      </c>
      <c r="C266" s="24" t="n">
        <v>96</v>
      </c>
      <c r="D266" s="29" t="s">
        <v>58</v>
      </c>
      <c r="E266" s="24" t="s">
        <v>623</v>
      </c>
      <c r="F266" s="30" t="n">
        <v>41070</v>
      </c>
      <c r="G266" s="30" t="n">
        <v>41061</v>
      </c>
      <c r="H266" s="31" t="n">
        <f aca="false">INT(($H$327-G266)/30)</f>
        <v>43</v>
      </c>
      <c r="I266" s="24" t="n">
        <f aca="false">H266*1000</f>
        <v>43000</v>
      </c>
      <c r="J266" s="31" t="n">
        <v>12000</v>
      </c>
      <c r="K266" s="31"/>
      <c r="L266" s="32" t="n">
        <f aca="false">I266-J266-K266</f>
        <v>31000</v>
      </c>
      <c r="M266" s="33" t="n">
        <v>800</v>
      </c>
      <c r="N266" s="33" t="n">
        <v>800</v>
      </c>
      <c r="O266" s="33" t="n">
        <v>800</v>
      </c>
      <c r="P266" s="33" t="n">
        <v>800</v>
      </c>
      <c r="Q266" s="33" t="n">
        <v>800</v>
      </c>
      <c r="R266" s="33" t="n">
        <v>800</v>
      </c>
      <c r="S266" s="33" t="n">
        <v>800</v>
      </c>
      <c r="T266" s="33" t="n">
        <v>800</v>
      </c>
      <c r="U266" s="33" t="n">
        <v>800</v>
      </c>
      <c r="V266" s="33" t="n">
        <v>800</v>
      </c>
      <c r="W266" s="33" t="n">
        <v>800</v>
      </c>
      <c r="X266" s="33" t="n">
        <v>800</v>
      </c>
      <c r="Y266" s="32" t="n">
        <f aca="false">SUM(L266:X266)</f>
        <v>40600</v>
      </c>
      <c r="Z266" s="8" t="n">
        <f aca="false">VLOOKUP(A266,справочник!$E$2:$F$322,2,0)</f>
        <v>0</v>
      </c>
    </row>
    <row collapsed="false" customFormat="false" customHeight="false" hidden="true" ht="15" outlineLevel="0" r="267">
      <c r="A267" s="19" t="n">
        <v>317</v>
      </c>
      <c r="B267" s="0" t="e">
        <f aca="false">CONCATENATE(C267;D267)</f>
        <v>#VALUE!</v>
      </c>
      <c r="C267" s="24" t="s">
        <v>624</v>
      </c>
      <c r="D267" s="29" t="s">
        <v>205</v>
      </c>
      <c r="E267" s="24" t="s">
        <v>625</v>
      </c>
      <c r="F267" s="30" t="n">
        <v>41184</v>
      </c>
      <c r="G267" s="30" t="n">
        <v>41214</v>
      </c>
      <c r="H267" s="31" t="n">
        <f aca="false">INT(($H$327-G267)/30)</f>
        <v>38</v>
      </c>
      <c r="I267" s="24" t="n">
        <f aca="false">H267*1000</f>
        <v>38000</v>
      </c>
      <c r="J267" s="31" t="n">
        <v>38000</v>
      </c>
      <c r="K267" s="31"/>
      <c r="L267" s="32" t="n">
        <f aca="false">I267-J267-K267</f>
        <v>0</v>
      </c>
      <c r="M267" s="33" t="n">
        <v>800</v>
      </c>
      <c r="N267" s="33" t="n">
        <v>800</v>
      </c>
      <c r="O267" s="33" t="n">
        <v>800</v>
      </c>
      <c r="P267" s="33" t="n">
        <v>800</v>
      </c>
      <c r="Q267" s="33" t="n">
        <v>800</v>
      </c>
      <c r="R267" s="33" t="n">
        <v>800</v>
      </c>
      <c r="S267" s="33" t="n">
        <v>800</v>
      </c>
      <c r="T267" s="33" t="n">
        <v>800</v>
      </c>
      <c r="U267" s="33" t="n">
        <v>800</v>
      </c>
      <c r="V267" s="33" t="n">
        <v>800</v>
      </c>
      <c r="W267" s="33" t="n">
        <v>800</v>
      </c>
      <c r="X267" s="33" t="n">
        <v>800</v>
      </c>
      <c r="Y267" s="32" t="n">
        <f aca="false">SUM(L267:X267)</f>
        <v>9600</v>
      </c>
      <c r="Z267" s="8" t="n">
        <f aca="false">VLOOKUP(A267,справочник!$E$2:$F$322,2,0)</f>
        <v>0</v>
      </c>
    </row>
    <row collapsed="false" customFormat="false" customHeight="false" hidden="true" ht="15" outlineLevel="0" r="268">
      <c r="A268" s="19" t="n">
        <f aca="false">VLOOKUP(B268,справочник!$B$2:$E$322,4,0)</f>
        <v>317</v>
      </c>
      <c r="B268" s="0" t="e">
        <f aca="false">CONCATENATE(C268;D268)</f>
        <v>#VALUE!</v>
      </c>
      <c r="C268" s="24" t="s">
        <v>624</v>
      </c>
      <c r="D268" s="29" t="s">
        <v>205</v>
      </c>
      <c r="E268" s="24" t="s">
        <v>626</v>
      </c>
      <c r="F268" s="30" t="n">
        <v>41184</v>
      </c>
      <c r="G268" s="30" t="n">
        <v>41214</v>
      </c>
      <c r="H268" s="31" t="n">
        <f aca="false">INT(($H$327-G268)/30)*2</f>
        <v>76</v>
      </c>
      <c r="I268" s="24" t="n">
        <v>89000</v>
      </c>
      <c r="J268" s="31" t="n">
        <v>89000</v>
      </c>
      <c r="K268" s="31"/>
      <c r="L268" s="32" t="n">
        <f aca="false">I268-J268-K268</f>
        <v>0</v>
      </c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2" t="n">
        <f aca="false">SUM(L268:X268)</f>
        <v>0</v>
      </c>
      <c r="Z268" s="8" t="n">
        <f aca="false">VLOOKUP(A268,справочник!$E$2:$F$322,2,0)</f>
        <v>0</v>
      </c>
    </row>
    <row collapsed="false" customFormat="false" customHeight="false" hidden="true" ht="15" outlineLevel="0" r="269">
      <c r="A269" s="19" t="n">
        <f aca="false">VLOOKUP(B269,справочник!$B$2:$E$322,4,0)</f>
        <v>268</v>
      </c>
      <c r="B269" s="0" t="e">
        <f aca="false">CONCATENATE(C269;D269)</f>
        <v>#VALUE!</v>
      </c>
      <c r="C269" s="24" t="n">
        <v>281</v>
      </c>
      <c r="D269" s="29" t="s">
        <v>200</v>
      </c>
      <c r="E269" s="24" t="s">
        <v>627</v>
      </c>
      <c r="F269" s="30" t="n">
        <v>41184</v>
      </c>
      <c r="G269" s="30" t="n">
        <v>41214</v>
      </c>
      <c r="H269" s="31" t="n">
        <f aca="false">INT(($H$327-G269)/30)</f>
        <v>38</v>
      </c>
      <c r="I269" s="24" t="n">
        <f aca="false">H269*1000</f>
        <v>38000</v>
      </c>
      <c r="J269" s="31" t="n">
        <v>28000</v>
      </c>
      <c r="K269" s="31"/>
      <c r="L269" s="32" t="n">
        <f aca="false">I269-J269-K269</f>
        <v>10000</v>
      </c>
      <c r="M269" s="33" t="n">
        <v>800</v>
      </c>
      <c r="N269" s="33" t="n">
        <v>800</v>
      </c>
      <c r="O269" s="33" t="n">
        <v>800</v>
      </c>
      <c r="P269" s="33" t="n">
        <v>800</v>
      </c>
      <c r="Q269" s="33" t="n">
        <v>800</v>
      </c>
      <c r="R269" s="33" t="n">
        <v>800</v>
      </c>
      <c r="S269" s="33" t="n">
        <v>800</v>
      </c>
      <c r="T269" s="33" t="n">
        <v>800</v>
      </c>
      <c r="U269" s="33" t="n">
        <v>800</v>
      </c>
      <c r="V269" s="33" t="n">
        <v>800</v>
      </c>
      <c r="W269" s="33" t="n">
        <v>800</v>
      </c>
      <c r="X269" s="33" t="n">
        <v>800</v>
      </c>
      <c r="Y269" s="32" t="n">
        <f aca="false">SUM(L269:X269)</f>
        <v>19600</v>
      </c>
      <c r="Z269" s="8" t="n">
        <f aca="false">VLOOKUP(A269,справочник!$E$2:$F$322,2,0)</f>
        <v>0</v>
      </c>
    </row>
    <row collapsed="false" customFormat="false" customHeight="false" hidden="true" ht="15" outlineLevel="0" r="270">
      <c r="A270" s="19" t="n">
        <f aca="false">VLOOKUP(B270,справочник!$B$2:$E$322,4,0)</f>
        <v>172</v>
      </c>
      <c r="B270" s="0" t="e">
        <f aca="false">CONCATENATE(C270;D270)</f>
        <v>#VALUE!</v>
      </c>
      <c r="C270" s="24" t="n">
        <v>180</v>
      </c>
      <c r="D270" s="29" t="s">
        <v>47</v>
      </c>
      <c r="E270" s="24" t="s">
        <v>628</v>
      </c>
      <c r="F270" s="30" t="n">
        <v>40809</v>
      </c>
      <c r="G270" s="30" t="n">
        <v>40787</v>
      </c>
      <c r="H270" s="31" t="n">
        <f aca="false">INT(($H$327-G270)/30)</f>
        <v>52</v>
      </c>
      <c r="I270" s="24" t="n">
        <f aca="false">H270*1000</f>
        <v>52000</v>
      </c>
      <c r="J270" s="31" t="n">
        <f aca="false">13000+1000</f>
        <v>14000</v>
      </c>
      <c r="K270" s="31"/>
      <c r="L270" s="32" t="n">
        <f aca="false">I270-J270-K270</f>
        <v>38000</v>
      </c>
      <c r="M270" s="33" t="n">
        <v>800</v>
      </c>
      <c r="N270" s="33" t="n">
        <v>800</v>
      </c>
      <c r="O270" s="33" t="n">
        <v>800</v>
      </c>
      <c r="P270" s="33" t="n">
        <v>800</v>
      </c>
      <c r="Q270" s="33" t="n">
        <v>800</v>
      </c>
      <c r="R270" s="33" t="n">
        <v>800</v>
      </c>
      <c r="S270" s="33" t="n">
        <v>800</v>
      </c>
      <c r="T270" s="33" t="n">
        <v>800</v>
      </c>
      <c r="U270" s="33" t="n">
        <v>800</v>
      </c>
      <c r="V270" s="33" t="n">
        <v>800</v>
      </c>
      <c r="W270" s="33" t="n">
        <v>800</v>
      </c>
      <c r="X270" s="33" t="n">
        <v>800</v>
      </c>
      <c r="Y270" s="32" t="n">
        <f aca="false">SUM(L270:X270)</f>
        <v>47600</v>
      </c>
      <c r="Z270" s="8" t="n">
        <f aca="false">VLOOKUP(A270,справочник!$E$2:$F$322,2,0)</f>
        <v>0</v>
      </c>
    </row>
    <row collapsed="false" customFormat="false" customHeight="false" hidden="true" ht="15" outlineLevel="0" r="271">
      <c r="A271" s="19" t="n">
        <f aca="false">VLOOKUP(B271,справочник!$B$2:$E$322,4,0)</f>
        <v>116</v>
      </c>
      <c r="B271" s="0" t="e">
        <f aca="false">CONCATENATE(C271;D271)</f>
        <v>#VALUE!</v>
      </c>
      <c r="C271" s="24" t="n">
        <v>121</v>
      </c>
      <c r="D271" s="29" t="s">
        <v>237</v>
      </c>
      <c r="E271" s="24" t="s">
        <v>629</v>
      </c>
      <c r="F271" s="30" t="n">
        <v>41531</v>
      </c>
      <c r="G271" s="30" t="n">
        <v>41518</v>
      </c>
      <c r="H271" s="31" t="n">
        <f aca="false">INT(($H$327-G271)/30)</f>
        <v>28</v>
      </c>
      <c r="I271" s="24" t="n">
        <f aca="false">H271*1000</f>
        <v>28000</v>
      </c>
      <c r="J271" s="31" t="n">
        <v>20000</v>
      </c>
      <c r="K271" s="31"/>
      <c r="L271" s="32" t="n">
        <f aca="false">I271-J271-K271</f>
        <v>8000</v>
      </c>
      <c r="M271" s="33" t="n">
        <v>800</v>
      </c>
      <c r="N271" s="33" t="n">
        <v>800</v>
      </c>
      <c r="O271" s="33" t="n">
        <v>800</v>
      </c>
      <c r="P271" s="33" t="n">
        <v>800</v>
      </c>
      <c r="Q271" s="33" t="n">
        <v>800</v>
      </c>
      <c r="R271" s="33" t="n">
        <v>800</v>
      </c>
      <c r="S271" s="33" t="n">
        <v>800</v>
      </c>
      <c r="T271" s="33" t="n">
        <v>800</v>
      </c>
      <c r="U271" s="33" t="n">
        <v>800</v>
      </c>
      <c r="V271" s="33" t="n">
        <v>800</v>
      </c>
      <c r="W271" s="33" t="n">
        <v>800</v>
      </c>
      <c r="X271" s="33" t="n">
        <v>800</v>
      </c>
      <c r="Y271" s="32" t="n">
        <f aca="false">SUM(L271:X271)</f>
        <v>17600</v>
      </c>
      <c r="Z271" s="8" t="n">
        <f aca="false">VLOOKUP(A271,справочник!$E$2:$F$322,2,0)</f>
        <v>0</v>
      </c>
    </row>
    <row collapsed="false" customFormat="false" customHeight="false" hidden="true" ht="15" outlineLevel="0" r="272">
      <c r="A272" s="19" t="n">
        <f aca="false">VLOOKUP(B272,справочник!$B$2:$E$322,4,0)</f>
        <v>57</v>
      </c>
      <c r="B272" s="0" t="e">
        <f aca="false">CONCATENATE(C272;D272)</f>
        <v>#VALUE!</v>
      </c>
      <c r="C272" s="24" t="n">
        <v>59</v>
      </c>
      <c r="D272" s="29" t="s">
        <v>153</v>
      </c>
      <c r="E272" s="24" t="s">
        <v>630</v>
      </c>
      <c r="F272" s="30" t="n">
        <v>41044</v>
      </c>
      <c r="G272" s="30" t="n">
        <v>41030</v>
      </c>
      <c r="H272" s="31" t="n">
        <f aca="false">INT(($H$327-G272)/30)</f>
        <v>44</v>
      </c>
      <c r="I272" s="24" t="n">
        <f aca="false">H272*1000</f>
        <v>44000</v>
      </c>
      <c r="J272" s="31" t="n">
        <v>34000</v>
      </c>
      <c r="K272" s="31"/>
      <c r="L272" s="32" t="n">
        <f aca="false">I272-J272-K272</f>
        <v>10000</v>
      </c>
      <c r="M272" s="33" t="n">
        <v>800</v>
      </c>
      <c r="N272" s="33" t="n">
        <v>800</v>
      </c>
      <c r="O272" s="33" t="n">
        <v>800</v>
      </c>
      <c r="P272" s="33" t="n">
        <v>800</v>
      </c>
      <c r="Q272" s="33" t="n">
        <v>800</v>
      </c>
      <c r="R272" s="33" t="n">
        <v>800</v>
      </c>
      <c r="S272" s="33" t="n">
        <v>800</v>
      </c>
      <c r="T272" s="33" t="n">
        <v>800</v>
      </c>
      <c r="U272" s="33" t="n">
        <v>800</v>
      </c>
      <c r="V272" s="33" t="n">
        <v>800</v>
      </c>
      <c r="W272" s="33" t="n">
        <v>800</v>
      </c>
      <c r="X272" s="33" t="n">
        <v>800</v>
      </c>
      <c r="Y272" s="32" t="n">
        <f aca="false">SUM(L272:X272)</f>
        <v>19600</v>
      </c>
      <c r="Z272" s="8" t="n">
        <f aca="false">VLOOKUP(A272,справочник!$E$2:$F$322,2,0)</f>
        <v>0</v>
      </c>
    </row>
    <row collapsed="false" customFormat="false" customHeight="false" hidden="true" ht="15" outlineLevel="0" r="273">
      <c r="A273" s="19" t="n">
        <f aca="false">VLOOKUP(B273,справочник!$B$2:$E$322,4,0)</f>
        <v>46</v>
      </c>
      <c r="B273" s="0" t="e">
        <f aca="false">CONCATENATE(C273;D273)</f>
        <v>#VALUE!</v>
      </c>
      <c r="C273" s="24" t="n">
        <v>46</v>
      </c>
      <c r="D273" s="29" t="s">
        <v>121</v>
      </c>
      <c r="E273" s="24" t="s">
        <v>631</v>
      </c>
      <c r="F273" s="30" t="n">
        <v>41382</v>
      </c>
      <c r="G273" s="30" t="n">
        <v>41395</v>
      </c>
      <c r="H273" s="31" t="n">
        <f aca="false">INT(($H$327-G273)/30)</f>
        <v>32</v>
      </c>
      <c r="I273" s="24" t="n">
        <f aca="false">H273*1000</f>
        <v>32000</v>
      </c>
      <c r="J273" s="31" t="n">
        <v>17000</v>
      </c>
      <c r="K273" s="31"/>
      <c r="L273" s="32" t="n">
        <f aca="false">I273-J273-K273</f>
        <v>15000</v>
      </c>
      <c r="M273" s="33" t="n">
        <v>800</v>
      </c>
      <c r="N273" s="33" t="n">
        <v>800</v>
      </c>
      <c r="O273" s="33" t="n">
        <v>800</v>
      </c>
      <c r="P273" s="33" t="n">
        <v>800</v>
      </c>
      <c r="Q273" s="33" t="n">
        <v>800</v>
      </c>
      <c r="R273" s="33" t="n">
        <v>800</v>
      </c>
      <c r="S273" s="33" t="n">
        <v>800</v>
      </c>
      <c r="T273" s="33" t="n">
        <v>800</v>
      </c>
      <c r="U273" s="33" t="n">
        <v>800</v>
      </c>
      <c r="V273" s="33" t="n">
        <v>800</v>
      </c>
      <c r="W273" s="33" t="n">
        <v>800</v>
      </c>
      <c r="X273" s="33" t="n">
        <v>800</v>
      </c>
      <c r="Y273" s="32" t="n">
        <f aca="false">SUM(L273:X273)</f>
        <v>24600</v>
      </c>
      <c r="Z273" s="8" t="n">
        <f aca="false">VLOOKUP(A273,справочник!$E$2:$F$322,2,0)</f>
        <v>0</v>
      </c>
    </row>
    <row collapsed="false" customFormat="false" customHeight="false" hidden="true" ht="15" outlineLevel="0" r="274">
      <c r="A274" s="19" t="n">
        <f aca="false">VLOOKUP(B274,справочник!$B$2:$E$322,4,0)</f>
        <v>73</v>
      </c>
      <c r="B274" s="0" t="e">
        <f aca="false">CONCATENATE(C274;D274)</f>
        <v>#VALUE!</v>
      </c>
      <c r="C274" s="24" t="n">
        <v>79</v>
      </c>
      <c r="D274" s="29" t="s">
        <v>148</v>
      </c>
      <c r="E274" s="24" t="s">
        <v>632</v>
      </c>
      <c r="F274" s="30" t="n">
        <v>41382</v>
      </c>
      <c r="G274" s="30" t="n">
        <v>41395</v>
      </c>
      <c r="H274" s="31" t="n">
        <f aca="false">INT(($H$327-G274)/30)</f>
        <v>32</v>
      </c>
      <c r="I274" s="24" t="n">
        <f aca="false">H274*1000</f>
        <v>32000</v>
      </c>
      <c r="J274" s="31" t="n">
        <v>21000</v>
      </c>
      <c r="K274" s="31"/>
      <c r="L274" s="32" t="n">
        <f aca="false">I274-J274-K274</f>
        <v>11000</v>
      </c>
      <c r="M274" s="33" t="n">
        <v>800</v>
      </c>
      <c r="N274" s="33" t="n">
        <v>800</v>
      </c>
      <c r="O274" s="33" t="n">
        <v>800</v>
      </c>
      <c r="P274" s="33" t="n">
        <v>800</v>
      </c>
      <c r="Q274" s="33" t="n">
        <v>800</v>
      </c>
      <c r="R274" s="33" t="n">
        <v>800</v>
      </c>
      <c r="S274" s="33" t="n">
        <v>800</v>
      </c>
      <c r="T274" s="33" t="n">
        <v>800</v>
      </c>
      <c r="U274" s="33" t="n">
        <v>800</v>
      </c>
      <c r="V274" s="33" t="n">
        <v>800</v>
      </c>
      <c r="W274" s="33" t="n">
        <v>800</v>
      </c>
      <c r="X274" s="33" t="n">
        <v>800</v>
      </c>
      <c r="Y274" s="32" t="n">
        <f aca="false">SUM(L274:X274)</f>
        <v>20600</v>
      </c>
      <c r="Z274" s="8" t="n">
        <f aca="false">VLOOKUP(A274,справочник!$E$2:$F$322,2,0)</f>
        <v>0</v>
      </c>
    </row>
    <row collapsed="false" customFormat="false" customHeight="false" hidden="true" ht="15" outlineLevel="0" r="275">
      <c r="A275" s="19" t="n">
        <f aca="false">VLOOKUP(B275,справочник!$B$2:$E$322,4,0)</f>
        <v>162</v>
      </c>
      <c r="B275" s="0" t="e">
        <f aca="false">CONCATENATE(C275;D275)</f>
        <v>#VALUE!</v>
      </c>
      <c r="C275" s="24" t="n">
        <v>170</v>
      </c>
      <c r="D275" s="29" t="s">
        <v>306</v>
      </c>
      <c r="E275" s="24" t="s">
        <v>633</v>
      </c>
      <c r="F275" s="30" t="n">
        <v>41800</v>
      </c>
      <c r="G275" s="30" t="n">
        <v>41821</v>
      </c>
      <c r="H275" s="31" t="n">
        <f aca="false">INT(($H$327-G275)/30)</f>
        <v>18</v>
      </c>
      <c r="I275" s="24" t="n">
        <f aca="false">H275*1000</f>
        <v>18000</v>
      </c>
      <c r="J275" s="31" t="n">
        <v>12000</v>
      </c>
      <c r="K275" s="31"/>
      <c r="L275" s="32" t="n">
        <f aca="false">I275-J275-K275</f>
        <v>6000</v>
      </c>
      <c r="M275" s="33" t="n">
        <v>800</v>
      </c>
      <c r="N275" s="33" t="n">
        <v>800</v>
      </c>
      <c r="O275" s="33" t="n">
        <v>800</v>
      </c>
      <c r="P275" s="33" t="n">
        <v>800</v>
      </c>
      <c r="Q275" s="33" t="n">
        <v>800</v>
      </c>
      <c r="R275" s="33" t="n">
        <v>800</v>
      </c>
      <c r="S275" s="33" t="n">
        <v>800</v>
      </c>
      <c r="T275" s="33" t="n">
        <v>800</v>
      </c>
      <c r="U275" s="33" t="n">
        <v>800</v>
      </c>
      <c r="V275" s="33" t="n">
        <v>800</v>
      </c>
      <c r="W275" s="33" t="n">
        <v>800</v>
      </c>
      <c r="X275" s="33" t="n">
        <v>800</v>
      </c>
      <c r="Y275" s="32" t="n">
        <f aca="false">SUM(L275:X275)</f>
        <v>15600</v>
      </c>
      <c r="Z275" s="8" t="n">
        <f aca="false">VLOOKUP(A275,справочник!$E$2:$F$322,2,0)</f>
        <v>0</v>
      </c>
    </row>
    <row collapsed="false" customFormat="false" customHeight="false" hidden="true" ht="15" outlineLevel="0" r="276">
      <c r="A276" s="19" t="n">
        <f aca="false">VLOOKUP(B276,справочник!$B$2:$E$322,4,0)</f>
        <v>252</v>
      </c>
      <c r="B276" s="0" t="e">
        <f aca="false">CONCATENATE(C276;D276)</f>
        <v>#VALUE!</v>
      </c>
      <c r="C276" s="24" t="n">
        <v>263</v>
      </c>
      <c r="D276" s="29" t="s">
        <v>171</v>
      </c>
      <c r="E276" s="24" t="s">
        <v>634</v>
      </c>
      <c r="F276" s="34" t="n">
        <v>41967</v>
      </c>
      <c r="G276" s="34" t="n">
        <v>41974</v>
      </c>
      <c r="H276" s="35" t="n">
        <f aca="false">INT(($H$327-G276)/30)</f>
        <v>13</v>
      </c>
      <c r="I276" s="36" t="n">
        <f aca="false">H276*1000</f>
        <v>13000</v>
      </c>
      <c r="J276" s="35" t="n">
        <v>8000</v>
      </c>
      <c r="K276" s="35"/>
      <c r="L276" s="37" t="n">
        <f aca="false">I276-J276-K276</f>
        <v>5000</v>
      </c>
      <c r="M276" s="33" t="n">
        <v>800</v>
      </c>
      <c r="N276" s="33" t="n">
        <v>800</v>
      </c>
      <c r="O276" s="33" t="n">
        <v>800</v>
      </c>
      <c r="P276" s="33" t="n">
        <v>800</v>
      </c>
      <c r="Q276" s="33" t="n">
        <v>800</v>
      </c>
      <c r="R276" s="33" t="n">
        <v>800</v>
      </c>
      <c r="S276" s="33" t="n">
        <v>800</v>
      </c>
      <c r="T276" s="33" t="n">
        <v>800</v>
      </c>
      <c r="U276" s="33" t="n">
        <v>800</v>
      </c>
      <c r="V276" s="33" t="n">
        <v>800</v>
      </c>
      <c r="W276" s="33" t="n">
        <v>800</v>
      </c>
      <c r="X276" s="33" t="n">
        <v>800</v>
      </c>
      <c r="Y276" s="32" t="n">
        <f aca="false">SUM(L276:X276)</f>
        <v>14600</v>
      </c>
      <c r="Z276" s="8" t="n">
        <f aca="false">VLOOKUP(A276,справочник!$E$2:$F$322,2,0)</f>
        <v>1</v>
      </c>
    </row>
    <row collapsed="false" customFormat="false" customHeight="false" hidden="true" ht="15" outlineLevel="0" r="277">
      <c r="A277" s="19" t="n">
        <f aca="false">VLOOKUP(B277,справочник!$B$2:$E$322,4,0)</f>
        <v>252</v>
      </c>
      <c r="B277" s="0" t="e">
        <f aca="false">CONCATENATE(C277;D277)</f>
        <v>#VALUE!</v>
      </c>
      <c r="C277" s="24" t="n">
        <v>264</v>
      </c>
      <c r="D277" s="29" t="s">
        <v>171</v>
      </c>
      <c r="E277" s="24" t="s">
        <v>635</v>
      </c>
      <c r="F277" s="34" t="n">
        <v>41967</v>
      </c>
      <c r="G277" s="34" t="n">
        <v>41974</v>
      </c>
      <c r="H277" s="35" t="n">
        <f aca="false">INT(($H$327-G277)/30)</f>
        <v>13</v>
      </c>
      <c r="I277" s="36" t="n">
        <f aca="false">H277*1000</f>
        <v>13000</v>
      </c>
      <c r="J277" s="35" t="n">
        <v>8000</v>
      </c>
      <c r="K277" s="35"/>
      <c r="L277" s="37" t="n">
        <f aca="false">I277-J277-K277</f>
        <v>5000</v>
      </c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2" t="n">
        <f aca="false">SUM(L277:X277)</f>
        <v>5000</v>
      </c>
      <c r="Z277" s="8" t="n">
        <f aca="false">VLOOKUP(A277,справочник!$E$2:$F$322,2,0)</f>
        <v>1</v>
      </c>
    </row>
    <row collapsed="false" customFormat="false" customHeight="true" hidden="true" ht="25.5" outlineLevel="0" r="278">
      <c r="A278" s="19" t="n">
        <f aca="false">VLOOKUP(B278,справочник!$B$2:$E$322,4,0)</f>
        <v>45</v>
      </c>
      <c r="B278" s="0" t="e">
        <f aca="false">CONCATENATE(C278;D278)</f>
        <v>#VALUE!</v>
      </c>
      <c r="C278" s="24" t="n">
        <v>45</v>
      </c>
      <c r="D278" s="29" t="s">
        <v>289</v>
      </c>
      <c r="E278" s="24" t="s">
        <v>636</v>
      </c>
      <c r="F278" s="30" t="n">
        <v>41044</v>
      </c>
      <c r="G278" s="30" t="n">
        <v>41030</v>
      </c>
      <c r="H278" s="31" t="n">
        <f aca="false">INT(($H$327-G278)/30)</f>
        <v>44</v>
      </c>
      <c r="I278" s="24" t="n">
        <f aca="false">H278*1000</f>
        <v>44000</v>
      </c>
      <c r="J278" s="31" t="n">
        <f aca="false">27000+8000</f>
        <v>35000</v>
      </c>
      <c r="K278" s="31" t="n">
        <v>9000</v>
      </c>
      <c r="L278" s="32" t="n">
        <f aca="false">I278-J278-K278</f>
        <v>0</v>
      </c>
      <c r="M278" s="33" t="n">
        <v>800</v>
      </c>
      <c r="N278" s="33" t="n">
        <v>800</v>
      </c>
      <c r="O278" s="33" t="n">
        <v>800</v>
      </c>
      <c r="P278" s="33" t="n">
        <v>800</v>
      </c>
      <c r="Q278" s="33" t="n">
        <v>800</v>
      </c>
      <c r="R278" s="33" t="n">
        <v>800</v>
      </c>
      <c r="S278" s="33" t="n">
        <v>800</v>
      </c>
      <c r="T278" s="33" t="n">
        <v>800</v>
      </c>
      <c r="U278" s="33" t="n">
        <v>800</v>
      </c>
      <c r="V278" s="33" t="n">
        <v>800</v>
      </c>
      <c r="W278" s="33" t="n">
        <v>800</v>
      </c>
      <c r="X278" s="33" t="n">
        <v>800</v>
      </c>
      <c r="Y278" s="32" t="n">
        <f aca="false">SUM(L278:X278)</f>
        <v>9600</v>
      </c>
      <c r="Z278" s="8" t="n">
        <f aca="false">VLOOKUP(A278,справочник!$E$2:$F$322,2,0)</f>
        <v>0</v>
      </c>
    </row>
    <row collapsed="false" customFormat="false" customHeight="false" hidden="true" ht="15" outlineLevel="0" r="279">
      <c r="A279" s="19" t="n">
        <f aca="false">VLOOKUP(B279,справочник!$B$2:$E$322,4,0)</f>
        <v>319</v>
      </c>
      <c r="B279" s="0" t="e">
        <f aca="false">CONCATENATE(C279;D279)</f>
        <v>#VALUE!</v>
      </c>
      <c r="C279" s="24" t="s">
        <v>637</v>
      </c>
      <c r="D279" s="29" t="s">
        <v>318</v>
      </c>
      <c r="E279" s="24" t="s">
        <v>638</v>
      </c>
      <c r="F279" s="30" t="n">
        <v>40774</v>
      </c>
      <c r="G279" s="30" t="n">
        <v>40787</v>
      </c>
      <c r="H279" s="31" t="n">
        <f aca="false">INT(($H$327-G279)/30)</f>
        <v>52</v>
      </c>
      <c r="I279" s="24" t="n">
        <v>76000</v>
      </c>
      <c r="J279" s="31" t="n">
        <f aca="false">8000+68000</f>
        <v>76000</v>
      </c>
      <c r="K279" s="31"/>
      <c r="L279" s="32" t="n">
        <f aca="false">I279-J279-K279</f>
        <v>0</v>
      </c>
      <c r="M279" s="33" t="n">
        <v>800</v>
      </c>
      <c r="N279" s="33" t="n">
        <v>800</v>
      </c>
      <c r="O279" s="33" t="n">
        <v>800</v>
      </c>
      <c r="P279" s="33" t="n">
        <v>800</v>
      </c>
      <c r="Q279" s="33" t="n">
        <v>800</v>
      </c>
      <c r="R279" s="33" t="n">
        <v>800</v>
      </c>
      <c r="S279" s="33" t="n">
        <v>800</v>
      </c>
      <c r="T279" s="33" t="n">
        <v>800</v>
      </c>
      <c r="U279" s="33" t="n">
        <v>800</v>
      </c>
      <c r="V279" s="33" t="n">
        <v>800</v>
      </c>
      <c r="W279" s="33" t="n">
        <v>800</v>
      </c>
      <c r="X279" s="33" t="n">
        <v>800</v>
      </c>
      <c r="Y279" s="32" t="n">
        <f aca="false">SUM(L279:X279)</f>
        <v>9600</v>
      </c>
      <c r="Z279" s="8" t="n">
        <f aca="false">VLOOKUP(A279,справочник!$E$2:$F$322,2,0)</f>
        <v>0</v>
      </c>
    </row>
    <row collapsed="false" customFormat="false" customHeight="false" hidden="true" ht="15" outlineLevel="0" r="280">
      <c r="A280" s="19" t="n">
        <f aca="false">VLOOKUP(B280,справочник!$B$2:$E$322,4,0)</f>
        <v>93</v>
      </c>
      <c r="B280" s="0" t="e">
        <f aca="false">CONCATENATE(C280;D280)</f>
        <v>#VALUE!</v>
      </c>
      <c r="C280" s="24" t="n">
        <v>98</v>
      </c>
      <c r="D280" s="29" t="s">
        <v>107</v>
      </c>
      <c r="E280" s="24" t="s">
        <v>639</v>
      </c>
      <c r="F280" s="30" t="n">
        <v>40774</v>
      </c>
      <c r="G280" s="30" t="n">
        <v>40787</v>
      </c>
      <c r="H280" s="31" t="n">
        <f aca="false">INT(($H$327-G280)/30)</f>
        <v>52</v>
      </c>
      <c r="I280" s="24" t="n">
        <f aca="false">H280*1000</f>
        <v>52000</v>
      </c>
      <c r="J280" s="31" t="n">
        <f aca="false">4000+30000</f>
        <v>34000</v>
      </c>
      <c r="K280" s="31"/>
      <c r="L280" s="32" t="n">
        <f aca="false">I280-J280-K280</f>
        <v>18000</v>
      </c>
      <c r="M280" s="33" t="n">
        <v>800</v>
      </c>
      <c r="N280" s="33" t="n">
        <v>800</v>
      </c>
      <c r="O280" s="33" t="n">
        <v>800</v>
      </c>
      <c r="P280" s="33" t="n">
        <v>800</v>
      </c>
      <c r="Q280" s="33" t="n">
        <v>800</v>
      </c>
      <c r="R280" s="33" t="n">
        <v>800</v>
      </c>
      <c r="S280" s="33" t="n">
        <v>800</v>
      </c>
      <c r="T280" s="33" t="n">
        <v>800</v>
      </c>
      <c r="U280" s="33" t="n">
        <v>800</v>
      </c>
      <c r="V280" s="33" t="n">
        <v>800</v>
      </c>
      <c r="W280" s="33" t="n">
        <v>800</v>
      </c>
      <c r="X280" s="33" t="n">
        <v>800</v>
      </c>
      <c r="Y280" s="32" t="n">
        <f aca="false">SUM(L280:X280)</f>
        <v>27600</v>
      </c>
      <c r="Z280" s="8" t="n">
        <f aca="false">VLOOKUP(A280,справочник!$E$2:$F$322,2,0)</f>
        <v>0</v>
      </c>
    </row>
    <row collapsed="false" customFormat="false" customHeight="false" hidden="true" ht="15" outlineLevel="0" r="281">
      <c r="A281" s="19" t="n">
        <f aca="false">VLOOKUP(B281,справочник!$B$2:$E$322,4,0)</f>
        <v>255</v>
      </c>
      <c r="B281" s="0" t="e">
        <f aca="false">CONCATENATE(C281;D281)</f>
        <v>#VALUE!</v>
      </c>
      <c r="C281" s="24" t="n">
        <v>268</v>
      </c>
      <c r="D281" s="29" t="s">
        <v>308</v>
      </c>
      <c r="E281" s="24" t="s">
        <v>640</v>
      </c>
      <c r="F281" s="30" t="n">
        <v>40959</v>
      </c>
      <c r="G281" s="30" t="n">
        <v>40969</v>
      </c>
      <c r="H281" s="31" t="n">
        <f aca="false">INT(($H$327-G281)/30)</f>
        <v>46</v>
      </c>
      <c r="I281" s="24" t="n">
        <f aca="false">H281*1000</f>
        <v>46000</v>
      </c>
      <c r="J281" s="31" t="n">
        <f aca="false">37000+9000</f>
        <v>46000</v>
      </c>
      <c r="K281" s="31"/>
      <c r="L281" s="32" t="n">
        <f aca="false">I281-J281-K281</f>
        <v>0</v>
      </c>
      <c r="M281" s="33" t="n">
        <v>800</v>
      </c>
      <c r="N281" s="33" t="n">
        <v>800</v>
      </c>
      <c r="O281" s="33" t="n">
        <v>800</v>
      </c>
      <c r="P281" s="33" t="n">
        <v>800</v>
      </c>
      <c r="Q281" s="33" t="n">
        <v>800</v>
      </c>
      <c r="R281" s="33" t="n">
        <v>800</v>
      </c>
      <c r="S281" s="33" t="n">
        <v>800</v>
      </c>
      <c r="T281" s="33" t="n">
        <v>800</v>
      </c>
      <c r="U281" s="33" t="n">
        <v>800</v>
      </c>
      <c r="V281" s="33" t="n">
        <v>800</v>
      </c>
      <c r="W281" s="33" t="n">
        <v>800</v>
      </c>
      <c r="X281" s="33" t="n">
        <v>800</v>
      </c>
      <c r="Y281" s="32" t="n">
        <f aca="false">SUM(L281:X281)</f>
        <v>9600</v>
      </c>
      <c r="Z281" s="8" t="n">
        <f aca="false">VLOOKUP(A281,справочник!$E$2:$F$322,2,0)</f>
        <v>0</v>
      </c>
    </row>
    <row collapsed="false" customFormat="false" customHeight="false" hidden="true" ht="15" outlineLevel="0" r="282">
      <c r="A282" s="19" t="n">
        <f aca="false">VLOOKUP(B282,справочник!$B$2:$E$322,4,0)</f>
        <v>167</v>
      </c>
      <c r="B282" s="0" t="e">
        <f aca="false">CONCATENATE(C282;D282)</f>
        <v>#VALUE!</v>
      </c>
      <c r="C282" s="24" t="n">
        <v>175</v>
      </c>
      <c r="D282" s="29" t="s">
        <v>137</v>
      </c>
      <c r="E282" s="24" t="s">
        <v>641</v>
      </c>
      <c r="F282" s="30" t="n">
        <v>41613</v>
      </c>
      <c r="G282" s="30" t="n">
        <v>41640</v>
      </c>
      <c r="H282" s="31" t="n">
        <f aca="false">INT(($H$327-G282)/30)</f>
        <v>24</v>
      </c>
      <c r="I282" s="24" t="n">
        <f aca="false">H282*1000</f>
        <v>24000</v>
      </c>
      <c r="J282" s="31" t="n">
        <v>12000</v>
      </c>
      <c r="K282" s="31"/>
      <c r="L282" s="32" t="n">
        <f aca="false">I282-J282-K282</f>
        <v>12000</v>
      </c>
      <c r="M282" s="33" t="n">
        <v>800</v>
      </c>
      <c r="N282" s="33" t="n">
        <v>800</v>
      </c>
      <c r="O282" s="33" t="n">
        <v>800</v>
      </c>
      <c r="P282" s="33" t="n">
        <v>800</v>
      </c>
      <c r="Q282" s="33" t="n">
        <v>800</v>
      </c>
      <c r="R282" s="33" t="n">
        <v>800</v>
      </c>
      <c r="S282" s="33" t="n">
        <v>800</v>
      </c>
      <c r="T282" s="33" t="n">
        <v>800</v>
      </c>
      <c r="U282" s="33" t="n">
        <v>800</v>
      </c>
      <c r="V282" s="33" t="n">
        <v>800</v>
      </c>
      <c r="W282" s="33" t="n">
        <v>800</v>
      </c>
      <c r="X282" s="33" t="n">
        <v>800</v>
      </c>
      <c r="Y282" s="32" t="n">
        <f aca="false">SUM(L282:X282)</f>
        <v>21600</v>
      </c>
      <c r="Z282" s="8" t="n">
        <f aca="false">VLOOKUP(A282,справочник!$E$2:$F$322,2,0)</f>
        <v>0</v>
      </c>
    </row>
    <row collapsed="false" customFormat="false" customHeight="true" hidden="true" ht="25.5" outlineLevel="0" r="283">
      <c r="A283" s="19" t="n">
        <f aca="false">VLOOKUP(B283,справочник!$B$2:$E$322,4,0)</f>
        <v>99</v>
      </c>
      <c r="B283" s="0" t="e">
        <f aca="false">CONCATENATE(C283;D283)</f>
        <v>#VALUE!</v>
      </c>
      <c r="C283" s="24" t="n">
        <v>104</v>
      </c>
      <c r="D283" s="29" t="s">
        <v>64</v>
      </c>
      <c r="E283" s="24" t="s">
        <v>642</v>
      </c>
      <c r="F283" s="30" t="n">
        <v>41104</v>
      </c>
      <c r="G283" s="30" t="n">
        <v>41091</v>
      </c>
      <c r="H283" s="31" t="n">
        <f aca="false">INT(($H$327-G283)/30)</f>
        <v>42</v>
      </c>
      <c r="I283" s="24" t="n">
        <f aca="false">H283*1000</f>
        <v>42000</v>
      </c>
      <c r="J283" s="31" t="n">
        <v>13000</v>
      </c>
      <c r="K283" s="31"/>
      <c r="L283" s="32" t="n">
        <f aca="false">I283-J283-K283</f>
        <v>29000</v>
      </c>
      <c r="M283" s="33" t="n">
        <v>800</v>
      </c>
      <c r="N283" s="33" t="n">
        <v>800</v>
      </c>
      <c r="O283" s="33" t="n">
        <v>800</v>
      </c>
      <c r="P283" s="33" t="n">
        <v>800</v>
      </c>
      <c r="Q283" s="33" t="n">
        <v>800</v>
      </c>
      <c r="R283" s="33" t="n">
        <v>800</v>
      </c>
      <c r="S283" s="33" t="n">
        <v>800</v>
      </c>
      <c r="T283" s="33" t="n">
        <v>800</v>
      </c>
      <c r="U283" s="33" t="n">
        <v>800</v>
      </c>
      <c r="V283" s="33" t="n">
        <v>800</v>
      </c>
      <c r="W283" s="33" t="n">
        <v>800</v>
      </c>
      <c r="X283" s="33" t="n">
        <v>800</v>
      </c>
      <c r="Y283" s="32" t="n">
        <f aca="false">SUM(L283:X283)</f>
        <v>38600</v>
      </c>
      <c r="Z283" s="8" t="n">
        <f aca="false">VLOOKUP(A283,справочник!$E$2:$F$322,2,0)</f>
        <v>0</v>
      </c>
    </row>
    <row collapsed="false" customFormat="false" customHeight="false" hidden="true" ht="15" outlineLevel="0" r="284">
      <c r="A284" s="19" t="n">
        <f aca="false">VLOOKUP(B284,справочник!$B$2:$E$322,4,0)</f>
        <v>146</v>
      </c>
      <c r="B284" s="0" t="e">
        <f aca="false">CONCATENATE(C284;D284)</f>
        <v>#VALUE!</v>
      </c>
      <c r="C284" s="24" t="n">
        <v>154</v>
      </c>
      <c r="D284" s="29" t="s">
        <v>265</v>
      </c>
      <c r="E284" s="24" t="s">
        <v>643</v>
      </c>
      <c r="F284" s="30" t="n">
        <v>40757</v>
      </c>
      <c r="G284" s="30" t="n">
        <v>40756</v>
      </c>
      <c r="H284" s="31" t="n">
        <f aca="false">INT(($H$327-G284)/30)</f>
        <v>53</v>
      </c>
      <c r="I284" s="24" t="n">
        <f aca="false">H284*1000</f>
        <v>53000</v>
      </c>
      <c r="J284" s="31" t="n">
        <f aca="false">31000</f>
        <v>31000</v>
      </c>
      <c r="K284" s="31"/>
      <c r="L284" s="32" t="n">
        <f aca="false">I284-J284-K284</f>
        <v>22000</v>
      </c>
      <c r="M284" s="33" t="n">
        <v>800</v>
      </c>
      <c r="N284" s="33" t="n">
        <v>800</v>
      </c>
      <c r="O284" s="33" t="n">
        <v>800</v>
      </c>
      <c r="P284" s="33" t="n">
        <v>800</v>
      </c>
      <c r="Q284" s="33" t="n">
        <v>800</v>
      </c>
      <c r="R284" s="33" t="n">
        <v>800</v>
      </c>
      <c r="S284" s="33" t="n">
        <v>800</v>
      </c>
      <c r="T284" s="33" t="n">
        <v>800</v>
      </c>
      <c r="U284" s="33" t="n">
        <v>800</v>
      </c>
      <c r="V284" s="33" t="n">
        <v>800</v>
      </c>
      <c r="W284" s="33" t="n">
        <v>800</v>
      </c>
      <c r="X284" s="33" t="n">
        <v>800</v>
      </c>
      <c r="Y284" s="32" t="n">
        <f aca="false">SUM(L284:X284)</f>
        <v>31600</v>
      </c>
      <c r="Z284" s="8" t="n">
        <f aca="false">VLOOKUP(A284,справочник!$E$2:$F$322,2,0)</f>
        <v>0</v>
      </c>
    </row>
    <row collapsed="false" customFormat="false" customHeight="false" hidden="true" ht="15" outlineLevel="0" r="285">
      <c r="A285" s="19" t="n">
        <f aca="false">VLOOKUP(B285,справочник!$B$2:$E$322,4,0)</f>
        <v>29</v>
      </c>
      <c r="B285" s="0" t="e">
        <f aca="false">CONCATENATE(C285;D285)</f>
        <v>#VALUE!</v>
      </c>
      <c r="C285" s="24" t="n">
        <v>29</v>
      </c>
      <c r="D285" s="53" t="s">
        <v>644</v>
      </c>
      <c r="E285" s="24"/>
      <c r="F285" s="30" t="n">
        <v>41130</v>
      </c>
      <c r="G285" s="30" t="n">
        <v>41122</v>
      </c>
      <c r="H285" s="31" t="n">
        <f aca="false">INT(($H$327-G285)/30)</f>
        <v>41</v>
      </c>
      <c r="I285" s="24" t="n">
        <f aca="false">H285*1000</f>
        <v>41000</v>
      </c>
      <c r="J285" s="31" t="n">
        <v>32000</v>
      </c>
      <c r="K285" s="31"/>
      <c r="L285" s="32" t="n">
        <f aca="false">I285-J285-K285</f>
        <v>9000</v>
      </c>
      <c r="M285" s="33" t="n">
        <v>800</v>
      </c>
      <c r="N285" s="33" t="n">
        <v>800</v>
      </c>
      <c r="O285" s="33" t="n">
        <v>800</v>
      </c>
      <c r="P285" s="33" t="n">
        <v>800</v>
      </c>
      <c r="Q285" s="33" t="n">
        <v>800</v>
      </c>
      <c r="R285" s="33" t="n">
        <v>800</v>
      </c>
      <c r="S285" s="33" t="n">
        <v>800</v>
      </c>
      <c r="T285" s="33" t="n">
        <v>800</v>
      </c>
      <c r="U285" s="33" t="n">
        <v>800</v>
      </c>
      <c r="V285" s="33" t="n">
        <v>800</v>
      </c>
      <c r="W285" s="33" t="n">
        <v>800</v>
      </c>
      <c r="X285" s="33" t="n">
        <v>800</v>
      </c>
      <c r="Y285" s="32" t="n">
        <f aca="false">SUM(L285:X285)</f>
        <v>18600</v>
      </c>
      <c r="Z285" s="8" t="n">
        <f aca="false">VLOOKUP(A285,справочник!$E$2:$F$322,2,0)</f>
        <v>0</v>
      </c>
    </row>
    <row collapsed="false" customFormat="false" customHeight="false" hidden="true" ht="15" outlineLevel="0" r="286">
      <c r="A286" s="19" t="n">
        <f aca="false">VLOOKUP(B286,справочник!$B$2:$E$322,4,0)</f>
        <v>28</v>
      </c>
      <c r="B286" s="0" t="e">
        <f aca="false">CONCATENATE(C286;D286)</f>
        <v>#VALUE!</v>
      </c>
      <c r="C286" s="24" t="n">
        <v>28</v>
      </c>
      <c r="D286" s="29" t="s">
        <v>254</v>
      </c>
      <c r="E286" s="24" t="s">
        <v>645</v>
      </c>
      <c r="F286" s="30" t="n">
        <v>41039</v>
      </c>
      <c r="G286" s="30" t="n">
        <v>41030</v>
      </c>
      <c r="H286" s="31" t="n">
        <f aca="false">INT(($H$327-G286)/30)</f>
        <v>44</v>
      </c>
      <c r="I286" s="24" t="n">
        <f aca="false">H286*1000</f>
        <v>44000</v>
      </c>
      <c r="J286" s="31" t="n">
        <f aca="false">33000+8000</f>
        <v>41000</v>
      </c>
      <c r="K286" s="31"/>
      <c r="L286" s="32" t="n">
        <f aca="false">I286-J286-K286</f>
        <v>3000</v>
      </c>
      <c r="M286" s="33" t="n">
        <v>800</v>
      </c>
      <c r="N286" s="33" t="n">
        <v>800</v>
      </c>
      <c r="O286" s="33" t="n">
        <v>800</v>
      </c>
      <c r="P286" s="33" t="n">
        <v>800</v>
      </c>
      <c r="Q286" s="33" t="n">
        <v>800</v>
      </c>
      <c r="R286" s="33" t="n">
        <v>800</v>
      </c>
      <c r="S286" s="33" t="n">
        <v>800</v>
      </c>
      <c r="T286" s="33" t="n">
        <v>800</v>
      </c>
      <c r="U286" s="33" t="n">
        <v>800</v>
      </c>
      <c r="V286" s="33" t="n">
        <v>800</v>
      </c>
      <c r="W286" s="33" t="n">
        <v>800</v>
      </c>
      <c r="X286" s="33" t="n">
        <v>800</v>
      </c>
      <c r="Y286" s="32" t="n">
        <f aca="false">SUM(L286:X286)</f>
        <v>12600</v>
      </c>
      <c r="Z286" s="8" t="n">
        <f aca="false">VLOOKUP(A286,справочник!$E$2:$F$322,2,0)</f>
        <v>0</v>
      </c>
    </row>
    <row collapsed="false" customFormat="false" customHeight="false" hidden="true" ht="15" outlineLevel="0" r="287">
      <c r="A287" s="19" t="n">
        <f aca="false">VLOOKUP(B287,справочник!$B$2:$E$322,4,0)</f>
        <v>27</v>
      </c>
      <c r="B287" s="0" t="e">
        <f aca="false">CONCATENATE(C287;D287)</f>
        <v>#VALUE!</v>
      </c>
      <c r="C287" s="24" t="n">
        <v>27</v>
      </c>
      <c r="D287" s="29" t="s">
        <v>141</v>
      </c>
      <c r="E287" s="24" t="s">
        <v>646</v>
      </c>
      <c r="F287" s="30" t="n">
        <v>41260</v>
      </c>
      <c r="G287" s="30" t="n">
        <v>41275</v>
      </c>
      <c r="H287" s="31" t="n">
        <f aca="false">INT(($H$327-G287)/30)</f>
        <v>36</v>
      </c>
      <c r="I287" s="24" t="n">
        <f aca="false">H287*1000</f>
        <v>36000</v>
      </c>
      <c r="J287" s="31" t="n">
        <v>24000</v>
      </c>
      <c r="K287" s="31"/>
      <c r="L287" s="32" t="n">
        <f aca="false">I287-J287-K287</f>
        <v>12000</v>
      </c>
      <c r="M287" s="33" t="n">
        <v>800</v>
      </c>
      <c r="N287" s="33" t="n">
        <v>800</v>
      </c>
      <c r="O287" s="33" t="n">
        <v>800</v>
      </c>
      <c r="P287" s="33" t="n">
        <v>800</v>
      </c>
      <c r="Q287" s="33" t="n">
        <v>800</v>
      </c>
      <c r="R287" s="33" t="n">
        <v>800</v>
      </c>
      <c r="S287" s="33" t="n">
        <v>800</v>
      </c>
      <c r="T287" s="33" t="n">
        <v>800</v>
      </c>
      <c r="U287" s="33" t="n">
        <v>800</v>
      </c>
      <c r="V287" s="33" t="n">
        <v>800</v>
      </c>
      <c r="W287" s="33" t="n">
        <v>800</v>
      </c>
      <c r="X287" s="33" t="n">
        <v>800</v>
      </c>
      <c r="Y287" s="32" t="n">
        <f aca="false">SUM(L287:X287)</f>
        <v>21600</v>
      </c>
      <c r="Z287" s="8" t="n">
        <f aca="false">VLOOKUP(A287,справочник!$E$2:$F$322,2,0)</f>
        <v>0</v>
      </c>
    </row>
    <row collapsed="false" customFormat="false" customHeight="false" hidden="true" ht="15" outlineLevel="0" r="288">
      <c r="A288" s="19" t="n">
        <f aca="false">VLOOKUP(B288,справочник!$B$2:$E$322,4,0)</f>
        <v>135</v>
      </c>
      <c r="B288" s="0" t="e">
        <f aca="false">CONCATENATE(C288;D288)</f>
        <v>#VALUE!</v>
      </c>
      <c r="C288" s="24" t="s">
        <v>647</v>
      </c>
      <c r="D288" s="29" t="s">
        <v>60</v>
      </c>
      <c r="E288" s="24" t="s">
        <v>648</v>
      </c>
      <c r="F288" s="34" t="n">
        <v>40834</v>
      </c>
      <c r="G288" s="34" t="n">
        <v>40817</v>
      </c>
      <c r="H288" s="35" t="n">
        <v>11</v>
      </c>
      <c r="I288" s="36" t="n">
        <f aca="false">H288*1000</f>
        <v>11000</v>
      </c>
      <c r="J288" s="35" t="n">
        <v>1000</v>
      </c>
      <c r="K288" s="35"/>
      <c r="L288" s="37" t="n">
        <f aca="false">I288-J288-K288</f>
        <v>10000</v>
      </c>
      <c r="M288" s="33" t="n">
        <v>800</v>
      </c>
      <c r="N288" s="33" t="n">
        <v>800</v>
      </c>
      <c r="O288" s="33" t="n">
        <v>800</v>
      </c>
      <c r="P288" s="33" t="n">
        <v>800</v>
      </c>
      <c r="Q288" s="33" t="n">
        <v>800</v>
      </c>
      <c r="R288" s="33" t="n">
        <v>800</v>
      </c>
      <c r="S288" s="33" t="n">
        <v>800</v>
      </c>
      <c r="T288" s="33" t="n">
        <v>800</v>
      </c>
      <c r="U288" s="33" t="n">
        <v>800</v>
      </c>
      <c r="V288" s="33" t="n">
        <v>800</v>
      </c>
      <c r="W288" s="33" t="n">
        <v>800</v>
      </c>
      <c r="X288" s="33" t="n">
        <v>800</v>
      </c>
      <c r="Y288" s="32" t="n">
        <f aca="false">SUM(L288:X288)</f>
        <v>19600</v>
      </c>
      <c r="Z288" s="8" t="n">
        <f aca="false">VLOOKUP(A288,справочник!$E$2:$F$322,2,0)</f>
        <v>1</v>
      </c>
    </row>
    <row collapsed="false" customFormat="false" customHeight="false" hidden="true" ht="15" outlineLevel="0" r="289">
      <c r="A289" s="19" t="n">
        <f aca="false">VLOOKUP(B289,справочник!$B$2:$E$322,4,0)</f>
        <v>135</v>
      </c>
      <c r="B289" s="0" t="e">
        <f aca="false">CONCATENATE(C289;D289)</f>
        <v>#VALUE!</v>
      </c>
      <c r="C289" s="24" t="s">
        <v>647</v>
      </c>
      <c r="D289" s="29" t="s">
        <v>60</v>
      </c>
      <c r="E289" s="24"/>
      <c r="F289" s="34" t="n">
        <v>40834</v>
      </c>
      <c r="G289" s="34" t="n">
        <v>40817</v>
      </c>
      <c r="H289" s="35" t="n">
        <v>11</v>
      </c>
      <c r="I289" s="36" t="n">
        <f aca="false">H289*1000</f>
        <v>11000</v>
      </c>
      <c r="J289" s="35" t="n">
        <v>1000</v>
      </c>
      <c r="K289" s="35"/>
      <c r="L289" s="37" t="n">
        <f aca="false">I289-J289-K289</f>
        <v>10000</v>
      </c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2" t="n">
        <f aca="false">SUM(L289:X289)</f>
        <v>10000</v>
      </c>
      <c r="Z289" s="8" t="n">
        <f aca="false">VLOOKUP(A289,справочник!$E$2:$F$322,2,0)</f>
        <v>1</v>
      </c>
    </row>
    <row collapsed="false" customFormat="false" customHeight="false" hidden="true" ht="15" outlineLevel="0" r="290">
      <c r="A290" s="19" t="n">
        <f aca="false">VLOOKUP(B290,справочник!$B$2:$E$322,4,0)</f>
        <v>135</v>
      </c>
      <c r="B290" s="0" t="e">
        <f aca="false">CONCATENATE(C290;D290)</f>
        <v>#VALUE!</v>
      </c>
      <c r="C290" s="24" t="s">
        <v>647</v>
      </c>
      <c r="D290" s="29" t="s">
        <v>60</v>
      </c>
      <c r="E290" s="24"/>
      <c r="F290" s="34" t="n">
        <v>41183</v>
      </c>
      <c r="G290" s="34" t="n">
        <v>41183</v>
      </c>
      <c r="H290" s="35" t="n">
        <f aca="false">INT(($H$327-G290)/30)</f>
        <v>39</v>
      </c>
      <c r="I290" s="36" t="n">
        <f aca="false">H290*1000</f>
        <v>39000</v>
      </c>
      <c r="J290" s="35"/>
      <c r="K290" s="35"/>
      <c r="L290" s="37" t="n">
        <f aca="false">I290-J290-K290</f>
        <v>39000</v>
      </c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2" t="n">
        <f aca="false">SUM(L290:X290)</f>
        <v>39000</v>
      </c>
      <c r="Z290" s="8" t="n">
        <f aca="false">VLOOKUP(A290,справочник!$E$2:$F$322,2,0)</f>
        <v>1</v>
      </c>
    </row>
    <row collapsed="false" customFormat="false" customHeight="false" hidden="true" ht="15" outlineLevel="0" r="291">
      <c r="A291" s="19" t="n">
        <f aca="false">VLOOKUP(B291,справочник!$B$2:$E$322,4,0)</f>
        <v>59</v>
      </c>
      <c r="B291" s="0" t="e">
        <f aca="false">CONCATENATE(C291;D291)</f>
        <v>#VALUE!</v>
      </c>
      <c r="C291" s="24" t="n">
        <v>61</v>
      </c>
      <c r="D291" s="29" t="s">
        <v>246</v>
      </c>
      <c r="E291" s="24" t="s">
        <v>649</v>
      </c>
      <c r="F291" s="30" t="n">
        <v>40868</v>
      </c>
      <c r="G291" s="30" t="n">
        <v>40848</v>
      </c>
      <c r="H291" s="31" t="n">
        <f aca="false">INT(($H$327-G291)/30)</f>
        <v>50</v>
      </c>
      <c r="I291" s="24" t="n">
        <f aca="false">H291*1000</f>
        <v>50000</v>
      </c>
      <c r="J291" s="31" t="n">
        <f aca="false">1000+49000</f>
        <v>50000</v>
      </c>
      <c r="K291" s="31"/>
      <c r="L291" s="32" t="n">
        <f aca="false">I291-J291-K291</f>
        <v>0</v>
      </c>
      <c r="M291" s="33" t="n">
        <v>800</v>
      </c>
      <c r="N291" s="33" t="n">
        <v>800</v>
      </c>
      <c r="O291" s="33" t="n">
        <v>800</v>
      </c>
      <c r="P291" s="33" t="n">
        <v>800</v>
      </c>
      <c r="Q291" s="33" t="n">
        <v>800</v>
      </c>
      <c r="R291" s="33" t="n">
        <v>800</v>
      </c>
      <c r="S291" s="33" t="n">
        <v>800</v>
      </c>
      <c r="T291" s="33" t="n">
        <v>800</v>
      </c>
      <c r="U291" s="33" t="n">
        <v>800</v>
      </c>
      <c r="V291" s="33" t="n">
        <v>800</v>
      </c>
      <c r="W291" s="33" t="n">
        <v>800</v>
      </c>
      <c r="X291" s="33" t="n">
        <v>800</v>
      </c>
      <c r="Y291" s="32" t="n">
        <f aca="false">SUM(L291:X291)</f>
        <v>9600</v>
      </c>
      <c r="Z291" s="8" t="n">
        <f aca="false">VLOOKUP(A291,справочник!$E$2:$F$322,2,0)</f>
        <v>0</v>
      </c>
    </row>
    <row collapsed="false" customFormat="false" customHeight="false" hidden="true" ht="15" outlineLevel="0" r="292">
      <c r="A292" s="19" t="n">
        <f aca="false">VLOOKUP(B292,справочник!$B$2:$E$322,4,0)</f>
        <v>60</v>
      </c>
      <c r="B292" s="0" t="e">
        <f aca="false">CONCATENATE(C292;D292)</f>
        <v>#VALUE!</v>
      </c>
      <c r="C292" s="24" t="n">
        <v>62</v>
      </c>
      <c r="D292" s="29" t="s">
        <v>323</v>
      </c>
      <c r="E292" s="24" t="s">
        <v>650</v>
      </c>
      <c r="F292" s="30" t="n">
        <v>40885</v>
      </c>
      <c r="G292" s="30" t="n">
        <v>40878</v>
      </c>
      <c r="H292" s="31" t="n">
        <f aca="false">INT(($H$327-G292)/30)</f>
        <v>49</v>
      </c>
      <c r="I292" s="24" t="n">
        <f aca="false">H292*1000</f>
        <v>49000</v>
      </c>
      <c r="J292" s="31" t="n">
        <f aca="false">8000+54000</f>
        <v>62000</v>
      </c>
      <c r="K292" s="31"/>
      <c r="L292" s="32" t="n">
        <f aca="false">I292-J292-K292</f>
        <v>-13000</v>
      </c>
      <c r="M292" s="33" t="n">
        <v>800</v>
      </c>
      <c r="N292" s="33" t="n">
        <v>800</v>
      </c>
      <c r="O292" s="33" t="n">
        <v>800</v>
      </c>
      <c r="P292" s="33" t="n">
        <v>800</v>
      </c>
      <c r="Q292" s="33" t="n">
        <v>800</v>
      </c>
      <c r="R292" s="33" t="n">
        <v>800</v>
      </c>
      <c r="S292" s="33" t="n">
        <v>800</v>
      </c>
      <c r="T292" s="33" t="n">
        <v>800</v>
      </c>
      <c r="U292" s="33" t="n">
        <v>800</v>
      </c>
      <c r="V292" s="33" t="n">
        <v>800</v>
      </c>
      <c r="W292" s="33" t="n">
        <v>800</v>
      </c>
      <c r="X292" s="33" t="n">
        <v>800</v>
      </c>
      <c r="Y292" s="32" t="n">
        <f aca="false">SUM(L292:X292)</f>
        <v>-3400</v>
      </c>
      <c r="Z292" s="8" t="n">
        <f aca="false">VLOOKUP(A292,справочник!$E$2:$F$322,2,0)</f>
        <v>0</v>
      </c>
    </row>
    <row collapsed="false" customFormat="false" customHeight="false" hidden="true" ht="15" outlineLevel="0" r="293">
      <c r="A293" s="19" t="n">
        <f aca="false">VLOOKUP(B293,справочник!$B$2:$E$322,4,0)</f>
        <v>248</v>
      </c>
      <c r="B293" s="0" t="e">
        <f aca="false">CONCATENATE(C293;D293)</f>
        <v>#VALUE!</v>
      </c>
      <c r="C293" s="24" t="n">
        <v>259</v>
      </c>
      <c r="D293" s="29" t="s">
        <v>201</v>
      </c>
      <c r="E293" s="24" t="s">
        <v>651</v>
      </c>
      <c r="F293" s="30" t="n">
        <v>41628</v>
      </c>
      <c r="G293" s="30" t="n">
        <v>41640</v>
      </c>
      <c r="H293" s="31" t="n">
        <f aca="false">INT(($H$327-G293)/30)</f>
        <v>24</v>
      </c>
      <c r="I293" s="24" t="n">
        <f aca="false">H293*1000</f>
        <v>24000</v>
      </c>
      <c r="J293" s="31" t="n">
        <v>21300</v>
      </c>
      <c r="K293" s="31"/>
      <c r="L293" s="32" t="n">
        <f aca="false">I293-J293-K293</f>
        <v>2700</v>
      </c>
      <c r="M293" s="33" t="n">
        <v>800</v>
      </c>
      <c r="N293" s="33" t="n">
        <v>800</v>
      </c>
      <c r="O293" s="33" t="n">
        <v>800</v>
      </c>
      <c r="P293" s="33" t="n">
        <v>800</v>
      </c>
      <c r="Q293" s="33" t="n">
        <v>800</v>
      </c>
      <c r="R293" s="33" t="n">
        <v>800</v>
      </c>
      <c r="S293" s="33" t="n">
        <v>800</v>
      </c>
      <c r="T293" s="33" t="n">
        <v>800</v>
      </c>
      <c r="U293" s="33" t="n">
        <v>800</v>
      </c>
      <c r="V293" s="33" t="n">
        <v>800</v>
      </c>
      <c r="W293" s="33" t="n">
        <v>800</v>
      </c>
      <c r="X293" s="33" t="n">
        <v>800</v>
      </c>
      <c r="Y293" s="32" t="n">
        <f aca="false">SUM(L293:X293)</f>
        <v>12300</v>
      </c>
      <c r="Z293" s="8" t="n">
        <f aca="false">VLOOKUP(A293,справочник!$E$2:$F$322,2,0)</f>
        <v>0</v>
      </c>
    </row>
    <row collapsed="false" customFormat="false" customHeight="false" hidden="true" ht="15" outlineLevel="0" r="294">
      <c r="A294" s="19" t="n">
        <f aca="false">VLOOKUP(B294,справочник!$B$2:$E$322,4,0)</f>
        <v>247</v>
      </c>
      <c r="B294" s="0" t="e">
        <f aca="false">CONCATENATE(C294;D294)</f>
        <v>#VALUE!</v>
      </c>
      <c r="C294" s="24" t="n">
        <v>258</v>
      </c>
      <c r="D294" s="29" t="s">
        <v>147</v>
      </c>
      <c r="E294" s="24" t="s">
        <v>652</v>
      </c>
      <c r="F294" s="30" t="n">
        <v>41628</v>
      </c>
      <c r="G294" s="30" t="n">
        <v>41640</v>
      </c>
      <c r="H294" s="31" t="n">
        <f aca="false">INT(($H$327-G294)/30)</f>
        <v>24</v>
      </c>
      <c r="I294" s="24" t="n">
        <f aca="false">H294*1000</f>
        <v>24000</v>
      </c>
      <c r="J294" s="31" t="n">
        <v>13000</v>
      </c>
      <c r="K294" s="31"/>
      <c r="L294" s="32" t="n">
        <f aca="false">I294-J294-K294</f>
        <v>11000</v>
      </c>
      <c r="M294" s="33" t="n">
        <v>800</v>
      </c>
      <c r="N294" s="33" t="n">
        <v>800</v>
      </c>
      <c r="O294" s="33" t="n">
        <v>800</v>
      </c>
      <c r="P294" s="33" t="n">
        <v>800</v>
      </c>
      <c r="Q294" s="33" t="n">
        <v>800</v>
      </c>
      <c r="R294" s="33" t="n">
        <v>800</v>
      </c>
      <c r="S294" s="33" t="n">
        <v>800</v>
      </c>
      <c r="T294" s="33" t="n">
        <v>800</v>
      </c>
      <c r="U294" s="33" t="n">
        <v>800</v>
      </c>
      <c r="V294" s="33" t="n">
        <v>800</v>
      </c>
      <c r="W294" s="33" t="n">
        <v>800</v>
      </c>
      <c r="X294" s="33" t="n">
        <v>800</v>
      </c>
      <c r="Y294" s="32" t="n">
        <f aca="false">SUM(L294:X294)</f>
        <v>20600</v>
      </c>
      <c r="Z294" s="8" t="n">
        <f aca="false">VLOOKUP(A294,справочник!$E$2:$F$322,2,0)</f>
        <v>0</v>
      </c>
    </row>
    <row collapsed="false" customFormat="false" customHeight="false" hidden="true" ht="15" outlineLevel="0" r="295">
      <c r="A295" s="19" t="n">
        <f aca="false">VLOOKUP(B295,справочник!$B$2:$E$322,4,0)</f>
        <v>103</v>
      </c>
      <c r="B295" s="0" t="e">
        <f aca="false">CONCATENATE(C295;D295)</f>
        <v>#VALUE!</v>
      </c>
      <c r="C295" s="24" t="n">
        <v>108</v>
      </c>
      <c r="D295" s="29" t="s">
        <v>297</v>
      </c>
      <c r="E295" s="24" t="s">
        <v>653</v>
      </c>
      <c r="F295" s="30" t="n">
        <v>40715</v>
      </c>
      <c r="G295" s="30" t="n">
        <v>40725</v>
      </c>
      <c r="H295" s="31" t="n">
        <f aca="false">INT(($H$327-G295)/30)</f>
        <v>54</v>
      </c>
      <c r="I295" s="24" t="n">
        <f aca="false">H295*1000</f>
        <v>54000</v>
      </c>
      <c r="J295" s="31" t="n">
        <f aca="false">2000+45000</f>
        <v>47000</v>
      </c>
      <c r="K295" s="31"/>
      <c r="L295" s="32" t="n">
        <f aca="false">I295-J295-K295</f>
        <v>7000</v>
      </c>
      <c r="M295" s="33" t="n">
        <v>800</v>
      </c>
      <c r="N295" s="33" t="n">
        <v>800</v>
      </c>
      <c r="O295" s="33" t="n">
        <v>800</v>
      </c>
      <c r="P295" s="33" t="n">
        <v>800</v>
      </c>
      <c r="Q295" s="33" t="n">
        <v>800</v>
      </c>
      <c r="R295" s="33" t="n">
        <v>800</v>
      </c>
      <c r="S295" s="33" t="n">
        <v>800</v>
      </c>
      <c r="T295" s="33" t="n">
        <v>800</v>
      </c>
      <c r="U295" s="33" t="n">
        <v>800</v>
      </c>
      <c r="V295" s="33" t="n">
        <v>800</v>
      </c>
      <c r="W295" s="33" t="n">
        <v>800</v>
      </c>
      <c r="X295" s="33" t="n">
        <v>800</v>
      </c>
      <c r="Y295" s="32" t="n">
        <f aca="false">SUM(L295:X295)</f>
        <v>16600</v>
      </c>
      <c r="Z295" s="8" t="n">
        <f aca="false">VLOOKUP(A295,справочник!$E$2:$F$322,2,0)</f>
        <v>0</v>
      </c>
    </row>
    <row collapsed="false" customFormat="false" customHeight="true" hidden="true" ht="25.5" outlineLevel="0" r="296">
      <c r="A296" s="19" t="n">
        <f aca="false">VLOOKUP(B296,справочник!$B$2:$E$322,4,0)</f>
        <v>275</v>
      </c>
      <c r="B296" s="0" t="e">
        <f aca="false">CONCATENATE(C296;D296)</f>
        <v>#VALUE!</v>
      </c>
      <c r="C296" s="24" t="n">
        <v>288</v>
      </c>
      <c r="D296" s="29" t="s">
        <v>256</v>
      </c>
      <c r="E296" s="24" t="s">
        <v>654</v>
      </c>
      <c r="F296" s="30" t="n">
        <v>41999</v>
      </c>
      <c r="G296" s="30" t="n">
        <v>42005</v>
      </c>
      <c r="H296" s="31" t="n">
        <f aca="false">INT(($H$327-G296)/30)</f>
        <v>12</v>
      </c>
      <c r="I296" s="24" t="n">
        <f aca="false">H296*1000</f>
        <v>12000</v>
      </c>
      <c r="J296" s="31"/>
      <c r="K296" s="31"/>
      <c r="L296" s="32" t="n">
        <f aca="false">I296-J296-K296</f>
        <v>12000</v>
      </c>
      <c r="M296" s="33" t="n">
        <v>800</v>
      </c>
      <c r="N296" s="33" t="n">
        <v>800</v>
      </c>
      <c r="O296" s="33" t="n">
        <v>800</v>
      </c>
      <c r="P296" s="33" t="n">
        <v>800</v>
      </c>
      <c r="Q296" s="33" t="n">
        <v>800</v>
      </c>
      <c r="R296" s="33" t="n">
        <v>800</v>
      </c>
      <c r="S296" s="33" t="n">
        <v>800</v>
      </c>
      <c r="T296" s="33" t="n">
        <v>800</v>
      </c>
      <c r="U296" s="33" t="n">
        <v>800</v>
      </c>
      <c r="V296" s="33" t="n">
        <v>800</v>
      </c>
      <c r="W296" s="33" t="n">
        <v>800</v>
      </c>
      <c r="X296" s="33" t="n">
        <v>800</v>
      </c>
      <c r="Y296" s="32" t="n">
        <f aca="false">SUM(L296:X296)</f>
        <v>21600</v>
      </c>
      <c r="Z296" s="8" t="n">
        <f aca="false">VLOOKUP(A296,справочник!$E$2:$F$322,2,0)</f>
        <v>0</v>
      </c>
    </row>
    <row collapsed="false" customFormat="false" customHeight="false" hidden="true" ht="15" outlineLevel="0" r="297">
      <c r="A297" s="19" t="n">
        <f aca="false">VLOOKUP(B297,справочник!$B$2:$E$322,4,0)</f>
        <v>22</v>
      </c>
      <c r="B297" s="0" t="e">
        <f aca="false">CONCATENATE(C297;D297)</f>
        <v>#VALUE!</v>
      </c>
      <c r="C297" s="24" t="n">
        <v>22</v>
      </c>
      <c r="D297" s="29" t="s">
        <v>198</v>
      </c>
      <c r="E297" s="24" t="s">
        <v>655</v>
      </c>
      <c r="F297" s="30" t="n">
        <v>41107</v>
      </c>
      <c r="G297" s="30" t="n">
        <v>41091</v>
      </c>
      <c r="H297" s="31" t="n">
        <f aca="false">INT(($H$327-G297)/30)</f>
        <v>42</v>
      </c>
      <c r="I297" s="24" t="n">
        <f aca="false">H297*1000</f>
        <v>42000</v>
      </c>
      <c r="J297" s="31" t="n">
        <f aca="false">34000+6000</f>
        <v>40000</v>
      </c>
      <c r="K297" s="31"/>
      <c r="L297" s="32" t="n">
        <f aca="false">I297-J297-K297</f>
        <v>2000</v>
      </c>
      <c r="M297" s="33" t="n">
        <v>800</v>
      </c>
      <c r="N297" s="33" t="n">
        <v>800</v>
      </c>
      <c r="O297" s="33" t="n">
        <v>800</v>
      </c>
      <c r="P297" s="33" t="n">
        <v>800</v>
      </c>
      <c r="Q297" s="33" t="n">
        <v>800</v>
      </c>
      <c r="R297" s="33" t="n">
        <v>800</v>
      </c>
      <c r="S297" s="33" t="n">
        <v>800</v>
      </c>
      <c r="T297" s="33" t="n">
        <v>800</v>
      </c>
      <c r="U297" s="33" t="n">
        <v>800</v>
      </c>
      <c r="V297" s="33" t="n">
        <v>800</v>
      </c>
      <c r="W297" s="33" t="n">
        <v>800</v>
      </c>
      <c r="X297" s="33" t="n">
        <v>800</v>
      </c>
      <c r="Y297" s="32" t="n">
        <f aca="false">SUM(L297:X297)</f>
        <v>11600</v>
      </c>
      <c r="Z297" s="8" t="n">
        <f aca="false">VLOOKUP(A297,справочник!$E$2:$F$322,2,0)</f>
        <v>0</v>
      </c>
    </row>
    <row collapsed="false" customFormat="false" customHeight="false" hidden="true" ht="15" outlineLevel="0" r="298">
      <c r="A298" s="19" t="n">
        <f aca="false">VLOOKUP(B298,справочник!$B$2:$E$322,4,0)</f>
        <v>20</v>
      </c>
      <c r="B298" s="0" t="e">
        <f aca="false">CONCATENATE(C298;D298)</f>
        <v>#VALUE!</v>
      </c>
      <c r="C298" s="24" t="n">
        <v>20</v>
      </c>
      <c r="D298" s="29" t="s">
        <v>111</v>
      </c>
      <c r="E298" s="24" t="s">
        <v>656</v>
      </c>
      <c r="F298" s="30" t="n">
        <v>41443</v>
      </c>
      <c r="G298" s="30" t="n">
        <v>41487</v>
      </c>
      <c r="H298" s="31" t="n">
        <f aca="false">INT(($H$327-G298)/30)</f>
        <v>29</v>
      </c>
      <c r="I298" s="24" t="n">
        <f aca="false">H298*1000</f>
        <v>29000</v>
      </c>
      <c r="J298" s="31" t="n">
        <v>12000</v>
      </c>
      <c r="K298" s="31"/>
      <c r="L298" s="32" t="n">
        <f aca="false">I298-J298-K298</f>
        <v>17000</v>
      </c>
      <c r="M298" s="33" t="n">
        <v>800</v>
      </c>
      <c r="N298" s="33" t="n">
        <v>800</v>
      </c>
      <c r="O298" s="33" t="n">
        <v>800</v>
      </c>
      <c r="P298" s="33" t="n">
        <v>800</v>
      </c>
      <c r="Q298" s="33" t="n">
        <v>800</v>
      </c>
      <c r="R298" s="33" t="n">
        <v>800</v>
      </c>
      <c r="S298" s="33" t="n">
        <v>800</v>
      </c>
      <c r="T298" s="33" t="n">
        <v>800</v>
      </c>
      <c r="U298" s="33" t="n">
        <v>800</v>
      </c>
      <c r="V298" s="33" t="n">
        <v>800</v>
      </c>
      <c r="W298" s="33" t="n">
        <v>800</v>
      </c>
      <c r="X298" s="33" t="n">
        <v>800</v>
      </c>
      <c r="Y298" s="32" t="n">
        <f aca="false">SUM(L298:X298)</f>
        <v>26600</v>
      </c>
      <c r="Z298" s="8" t="n">
        <f aca="false">VLOOKUP(A298,справочник!$E$2:$F$322,2,0)</f>
        <v>0</v>
      </c>
    </row>
    <row collapsed="false" customFormat="false" customHeight="false" hidden="true" ht="15" outlineLevel="0" r="299">
      <c r="A299" s="19" t="n">
        <f aca="false">VLOOKUP(B299,справочник!$B$2:$E$322,4,0)</f>
        <v>233</v>
      </c>
      <c r="B299" s="0" t="e">
        <f aca="false">CONCATENATE(C299;D299)</f>
        <v>#VALUE!</v>
      </c>
      <c r="C299" s="24" t="n">
        <v>242</v>
      </c>
      <c r="D299" s="29" t="s">
        <v>260</v>
      </c>
      <c r="E299" s="24" t="s">
        <v>657</v>
      </c>
      <c r="F299" s="30" t="n">
        <v>41382</v>
      </c>
      <c r="G299" s="30" t="n">
        <v>41395</v>
      </c>
      <c r="H299" s="31" t="n">
        <f aca="false">INT(($H$327-G299)/30)</f>
        <v>32</v>
      </c>
      <c r="I299" s="24" t="n">
        <f aca="false">H299*1000</f>
        <v>32000</v>
      </c>
      <c r="J299" s="31" t="n">
        <v>29000</v>
      </c>
      <c r="K299" s="31"/>
      <c r="L299" s="32" t="n">
        <f aca="false">I299-J299-K299</f>
        <v>3000</v>
      </c>
      <c r="M299" s="33" t="n">
        <v>800</v>
      </c>
      <c r="N299" s="33" t="n">
        <v>800</v>
      </c>
      <c r="O299" s="33" t="n">
        <v>800</v>
      </c>
      <c r="P299" s="33" t="n">
        <v>800</v>
      </c>
      <c r="Q299" s="33" t="n">
        <v>800</v>
      </c>
      <c r="R299" s="33" t="n">
        <v>800</v>
      </c>
      <c r="S299" s="33" t="n">
        <v>800</v>
      </c>
      <c r="T299" s="33" t="n">
        <v>800</v>
      </c>
      <c r="U299" s="33" t="n">
        <v>800</v>
      </c>
      <c r="V299" s="33" t="n">
        <v>800</v>
      </c>
      <c r="W299" s="33" t="n">
        <v>800</v>
      </c>
      <c r="X299" s="33" t="n">
        <v>800</v>
      </c>
      <c r="Y299" s="32" t="n">
        <f aca="false">SUM(L299:X299)</f>
        <v>12600</v>
      </c>
      <c r="Z299" s="8" t="n">
        <f aca="false">VLOOKUP(A299,справочник!$E$2:$F$322,2,0)</f>
        <v>0</v>
      </c>
    </row>
    <row collapsed="false" customFormat="false" customHeight="false" hidden="true" ht="15" outlineLevel="0" r="300">
      <c r="A300" s="19" t="n">
        <f aca="false">VLOOKUP(B300,справочник!$B$2:$E$322,4,0)</f>
        <v>256</v>
      </c>
      <c r="B300" s="0" t="e">
        <f aca="false">CONCATENATE(C300;D300)</f>
        <v>#VALUE!</v>
      </c>
      <c r="C300" s="24" t="n">
        <v>269</v>
      </c>
      <c r="D300" s="29" t="s">
        <v>234</v>
      </c>
      <c r="E300" s="24" t="s">
        <v>658</v>
      </c>
      <c r="F300" s="30" t="n">
        <v>41012</v>
      </c>
      <c r="G300" s="30" t="n">
        <v>41000</v>
      </c>
      <c r="H300" s="31" t="n">
        <f aca="false">INT(($H$327-G300)/30)</f>
        <v>45</v>
      </c>
      <c r="I300" s="24" t="n">
        <f aca="false">H300*1000</f>
        <v>45000</v>
      </c>
      <c r="J300" s="31" t="n">
        <f aca="false">32000+7000</f>
        <v>39000</v>
      </c>
      <c r="K300" s="31" t="n">
        <v>8000</v>
      </c>
      <c r="L300" s="32" t="n">
        <f aca="false">I300-J300-K300</f>
        <v>-2000</v>
      </c>
      <c r="M300" s="33" t="n">
        <v>800</v>
      </c>
      <c r="N300" s="33" t="n">
        <v>800</v>
      </c>
      <c r="O300" s="33" t="n">
        <v>800</v>
      </c>
      <c r="P300" s="33" t="n">
        <v>800</v>
      </c>
      <c r="Q300" s="33" t="n">
        <v>800</v>
      </c>
      <c r="R300" s="33" t="n">
        <v>800</v>
      </c>
      <c r="S300" s="33" t="n">
        <v>800</v>
      </c>
      <c r="T300" s="33" t="n">
        <v>800</v>
      </c>
      <c r="U300" s="33" t="n">
        <v>800</v>
      </c>
      <c r="V300" s="33" t="n">
        <v>800</v>
      </c>
      <c r="W300" s="33" t="n">
        <v>800</v>
      </c>
      <c r="X300" s="33" t="n">
        <v>800</v>
      </c>
      <c r="Y300" s="32" t="n">
        <f aca="false">SUM(L300:X300)</f>
        <v>7600</v>
      </c>
      <c r="Z300" s="8" t="n">
        <f aca="false">VLOOKUP(A300,справочник!$E$2:$F$322,2,0)</f>
        <v>0</v>
      </c>
    </row>
    <row collapsed="false" customFormat="false" customHeight="true" hidden="true" ht="25.5" outlineLevel="0" r="301">
      <c r="A301" s="19" t="n">
        <f aca="false">VLOOKUP(B301,справочник!$B$2:$E$322,4,0)</f>
        <v>113</v>
      </c>
      <c r="B301" s="0" t="e">
        <f aca="false">CONCATENATE(C301;D301)</f>
        <v>#VALUE!</v>
      </c>
      <c r="C301" s="24" t="s">
        <v>659</v>
      </c>
      <c r="D301" s="29" t="s">
        <v>120</v>
      </c>
      <c r="E301" s="24" t="s">
        <v>660</v>
      </c>
      <c r="F301" s="30" t="n">
        <v>41107</v>
      </c>
      <c r="G301" s="30" t="n">
        <v>41122</v>
      </c>
      <c r="H301" s="31" t="n">
        <f aca="false">INT(($H$327-G301)/30)</f>
        <v>41</v>
      </c>
      <c r="I301" s="24" t="n">
        <f aca="false">H301*1000</f>
        <v>41000</v>
      </c>
      <c r="J301" s="31" t="n">
        <v>41000</v>
      </c>
      <c r="K301" s="31"/>
      <c r="L301" s="32" t="n">
        <f aca="false">I301-J301-K301</f>
        <v>0</v>
      </c>
      <c r="M301" s="33" t="n">
        <v>800</v>
      </c>
      <c r="N301" s="33" t="n">
        <v>800</v>
      </c>
      <c r="O301" s="33" t="n">
        <v>800</v>
      </c>
      <c r="P301" s="33" t="n">
        <v>800</v>
      </c>
      <c r="Q301" s="33" t="n">
        <v>800</v>
      </c>
      <c r="R301" s="33" t="n">
        <v>800</v>
      </c>
      <c r="S301" s="33" t="n">
        <v>800</v>
      </c>
      <c r="T301" s="33" t="n">
        <v>800</v>
      </c>
      <c r="U301" s="33" t="n">
        <v>800</v>
      </c>
      <c r="V301" s="33" t="n">
        <v>800</v>
      </c>
      <c r="W301" s="33" t="n">
        <v>800</v>
      </c>
      <c r="X301" s="33" t="n">
        <v>800</v>
      </c>
      <c r="Y301" s="32" t="n">
        <f aca="false">SUM(L301:X301)</f>
        <v>9600</v>
      </c>
      <c r="Z301" s="8" t="n">
        <f aca="false">VLOOKUP(A301,справочник!$E$2:$F$322,2,0)</f>
        <v>1</v>
      </c>
    </row>
    <row collapsed="false" customFormat="false" customHeight="false" hidden="true" ht="15" outlineLevel="0" r="302">
      <c r="A302" s="19" t="n">
        <f aca="false">VLOOKUP(B302,справочник!$B$2:$E$322,4,0)</f>
        <v>113</v>
      </c>
      <c r="B302" s="0" t="e">
        <f aca="false">CONCATENATE(C302;D302)</f>
        <v>#VALUE!</v>
      </c>
      <c r="C302" s="24" t="s">
        <v>659</v>
      </c>
      <c r="D302" s="29" t="s">
        <v>120</v>
      </c>
      <c r="E302" s="24" t="s">
        <v>660</v>
      </c>
      <c r="F302" s="34" t="n">
        <v>41107</v>
      </c>
      <c r="G302" s="34" t="n">
        <v>41122</v>
      </c>
      <c r="H302" s="35" t="n">
        <f aca="false">INT(($H$327-G302)/30)</f>
        <v>41</v>
      </c>
      <c r="I302" s="36" t="n">
        <f aca="false">H302*1000</f>
        <v>41000</v>
      </c>
      <c r="J302" s="35" t="n">
        <v>20000</v>
      </c>
      <c r="K302" s="35"/>
      <c r="L302" s="37" t="n">
        <f aca="false">I302-J302-K302</f>
        <v>21000</v>
      </c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2" t="n">
        <f aca="false">SUM(L302:X302)</f>
        <v>21000</v>
      </c>
      <c r="Z302" s="8" t="n">
        <f aca="false">VLOOKUP(A302,справочник!$E$2:$F$322,2,0)</f>
        <v>1</v>
      </c>
    </row>
    <row collapsed="false" customFormat="false" customHeight="false" hidden="true" ht="15" outlineLevel="0" r="303">
      <c r="A303" s="19" t="n">
        <f aca="false">VLOOKUP(B303,справочник!$B$2:$E$322,4,0)</f>
        <v>113</v>
      </c>
      <c r="B303" s="0" t="e">
        <f aca="false">CONCATENATE(C303;D303)</f>
        <v>#VALUE!</v>
      </c>
      <c r="C303" s="24" t="s">
        <v>659</v>
      </c>
      <c r="D303" s="29" t="s">
        <v>120</v>
      </c>
      <c r="E303" s="24" t="s">
        <v>660</v>
      </c>
      <c r="F303" s="34" t="n">
        <v>41107</v>
      </c>
      <c r="G303" s="34" t="n">
        <v>41122</v>
      </c>
      <c r="H303" s="35" t="n">
        <f aca="false">INT(($H$327-G303)/30)</f>
        <v>41</v>
      </c>
      <c r="I303" s="36" t="n">
        <f aca="false">H303*1000</f>
        <v>41000</v>
      </c>
      <c r="J303" s="35"/>
      <c r="K303" s="35"/>
      <c r="L303" s="37" t="n">
        <f aca="false">I303-J303-K303</f>
        <v>41000</v>
      </c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2" t="n">
        <f aca="false">SUM(L303:X303)</f>
        <v>41000</v>
      </c>
      <c r="Z303" s="8" t="n">
        <f aca="false">VLOOKUP(A303,справочник!$E$2:$F$322,2,0)</f>
        <v>1</v>
      </c>
    </row>
    <row collapsed="false" customFormat="false" customHeight="true" hidden="true" ht="25.5" outlineLevel="0" r="304">
      <c r="A304" s="19" t="n">
        <f aca="false">VLOOKUP(B304,справочник!$B$2:$E$322,4,0)</f>
        <v>180</v>
      </c>
      <c r="B304" s="0" t="e">
        <f aca="false">CONCATENATE(C304;D304)</f>
        <v>#VALUE!</v>
      </c>
      <c r="C304" s="24" t="n">
        <v>188</v>
      </c>
      <c r="D304" s="29" t="s">
        <v>282</v>
      </c>
      <c r="E304" s="24" t="s">
        <v>661</v>
      </c>
      <c r="F304" s="30" t="n">
        <v>41786</v>
      </c>
      <c r="G304" s="30" t="n">
        <v>41791</v>
      </c>
      <c r="H304" s="31" t="n">
        <f aca="false">INT(($H$327-G304)/30)</f>
        <v>19</v>
      </c>
      <c r="I304" s="24" t="n">
        <f aca="false">H304*1000</f>
        <v>19000</v>
      </c>
      <c r="J304" s="31" t="n">
        <v>19000</v>
      </c>
      <c r="K304" s="31"/>
      <c r="L304" s="32" t="n">
        <f aca="false">I304-J304-K304</f>
        <v>0</v>
      </c>
      <c r="M304" s="33" t="n">
        <v>800</v>
      </c>
      <c r="N304" s="33" t="n">
        <v>800</v>
      </c>
      <c r="O304" s="33" t="n">
        <v>800</v>
      </c>
      <c r="P304" s="33" t="n">
        <v>800</v>
      </c>
      <c r="Q304" s="33" t="n">
        <v>800</v>
      </c>
      <c r="R304" s="33" t="n">
        <v>800</v>
      </c>
      <c r="S304" s="33" t="n">
        <v>800</v>
      </c>
      <c r="T304" s="33" t="n">
        <v>800</v>
      </c>
      <c r="U304" s="33" t="n">
        <v>800</v>
      </c>
      <c r="V304" s="33" t="n">
        <v>800</v>
      </c>
      <c r="W304" s="33" t="n">
        <v>800</v>
      </c>
      <c r="X304" s="33" t="n">
        <v>800</v>
      </c>
      <c r="Y304" s="32" t="n">
        <f aca="false">SUM(L304:X304)</f>
        <v>9600</v>
      </c>
      <c r="Z304" s="8" t="n">
        <f aca="false">VLOOKUP(A304,справочник!$E$2:$F$322,2,0)</f>
        <v>0</v>
      </c>
    </row>
    <row collapsed="false" customFormat="false" customHeight="false" hidden="true" ht="15" outlineLevel="0" r="305">
      <c r="A305" s="19" t="n">
        <f aca="false">VLOOKUP(B305,справочник!$B$2:$E$322,4,0)</f>
        <v>2</v>
      </c>
      <c r="B305" s="0" t="e">
        <f aca="false">CONCATENATE(C305;D305)</f>
        <v>#VALUE!</v>
      </c>
      <c r="C305" s="24" t="n">
        <v>2</v>
      </c>
      <c r="D305" s="29" t="s">
        <v>161</v>
      </c>
      <c r="E305" s="24" t="s">
        <v>662</v>
      </c>
      <c r="F305" s="30" t="n">
        <v>41737</v>
      </c>
      <c r="G305" s="30" t="n">
        <v>41760</v>
      </c>
      <c r="H305" s="31" t="n">
        <f aca="false">INT(($H$327-G305)/30)</f>
        <v>20</v>
      </c>
      <c r="I305" s="24" t="n">
        <f aca="false">H305*1000</f>
        <v>20000</v>
      </c>
      <c r="J305" s="31" t="n">
        <v>11000</v>
      </c>
      <c r="K305" s="31"/>
      <c r="L305" s="32" t="n">
        <f aca="false">I305-J305-K305</f>
        <v>9000</v>
      </c>
      <c r="M305" s="33" t="n">
        <v>800</v>
      </c>
      <c r="N305" s="33" t="n">
        <v>800</v>
      </c>
      <c r="O305" s="33" t="n">
        <v>800</v>
      </c>
      <c r="P305" s="33" t="n">
        <v>800</v>
      </c>
      <c r="Q305" s="33" t="n">
        <v>800</v>
      </c>
      <c r="R305" s="33" t="n">
        <v>800</v>
      </c>
      <c r="S305" s="33" t="n">
        <v>800</v>
      </c>
      <c r="T305" s="33" t="n">
        <v>800</v>
      </c>
      <c r="U305" s="33" t="n">
        <v>800</v>
      </c>
      <c r="V305" s="33" t="n">
        <v>800</v>
      </c>
      <c r="W305" s="33" t="n">
        <v>800</v>
      </c>
      <c r="X305" s="33" t="n">
        <v>800</v>
      </c>
      <c r="Y305" s="32" t="n">
        <f aca="false">SUM(L305:X305)</f>
        <v>18600</v>
      </c>
      <c r="Z305" s="8" t="n">
        <f aca="false">VLOOKUP(A305,справочник!$E$2:$F$322,2,0)</f>
        <v>0</v>
      </c>
    </row>
    <row collapsed="false" customFormat="false" customHeight="false" hidden="true" ht="25.5" outlineLevel="0" r="306">
      <c r="A306" s="19" t="n">
        <f aca="false">VLOOKUP(B306,справочник!$B$2:$E$322,4,0)</f>
        <v>23</v>
      </c>
      <c r="B306" s="0" t="e">
        <f aca="false">CONCATENATE(C306;D306)</f>
        <v>#VALUE!</v>
      </c>
      <c r="C306" s="24" t="n">
        <v>23</v>
      </c>
      <c r="D306" s="29" t="s">
        <v>319</v>
      </c>
      <c r="E306" s="24" t="s">
        <v>663</v>
      </c>
      <c r="F306" s="30" t="n">
        <v>41422</v>
      </c>
      <c r="G306" s="30" t="n">
        <v>41456</v>
      </c>
      <c r="H306" s="31" t="n">
        <f aca="false">INT(($H$327-G306)/30)</f>
        <v>30</v>
      </c>
      <c r="I306" s="24" t="n">
        <f aca="false">H306*1000</f>
        <v>30000</v>
      </c>
      <c r="J306" s="31" t="n">
        <v>30000</v>
      </c>
      <c r="K306" s="31"/>
      <c r="L306" s="32" t="n">
        <f aca="false">I306-J306-K306</f>
        <v>0</v>
      </c>
      <c r="M306" s="33" t="n">
        <v>800</v>
      </c>
      <c r="N306" s="33" t="n">
        <v>800</v>
      </c>
      <c r="O306" s="33" t="n">
        <v>800</v>
      </c>
      <c r="P306" s="33" t="n">
        <v>800</v>
      </c>
      <c r="Q306" s="33" t="n">
        <v>800</v>
      </c>
      <c r="R306" s="33" t="n">
        <v>800</v>
      </c>
      <c r="S306" s="33" t="n">
        <v>800</v>
      </c>
      <c r="T306" s="33" t="n">
        <v>800</v>
      </c>
      <c r="U306" s="33" t="n">
        <v>800</v>
      </c>
      <c r="V306" s="33" t="n">
        <v>800</v>
      </c>
      <c r="W306" s="33" t="n">
        <v>800</v>
      </c>
      <c r="X306" s="33" t="n">
        <v>800</v>
      </c>
      <c r="Y306" s="32" t="n">
        <f aca="false">SUM(L306:X306)</f>
        <v>9600</v>
      </c>
      <c r="Z306" s="8" t="n">
        <f aca="false">VLOOKUP(A306,справочник!$E$2:$F$322,2,0)</f>
        <v>0</v>
      </c>
    </row>
    <row collapsed="false" customFormat="false" customHeight="false" hidden="true" ht="15" outlineLevel="0" r="307">
      <c r="A307" s="19" t="n">
        <f aca="false">VLOOKUP(B307,справочник!$B$2:$E$322,4,0)</f>
        <v>168</v>
      </c>
      <c r="B307" s="0" t="e">
        <f aca="false">CONCATENATE(C307;D307)</f>
        <v>#VALUE!</v>
      </c>
      <c r="C307" s="24" t="n">
        <v>176</v>
      </c>
      <c r="D307" s="29" t="s">
        <v>305</v>
      </c>
      <c r="E307" s="24" t="s">
        <v>664</v>
      </c>
      <c r="F307" s="30" t="n">
        <v>41939</v>
      </c>
      <c r="G307" s="30" t="n">
        <v>41974</v>
      </c>
      <c r="H307" s="31" t="n">
        <f aca="false">INT(($H$327-G307)/30)</f>
        <v>13</v>
      </c>
      <c r="I307" s="24" t="n">
        <f aca="false">H307*1000</f>
        <v>13000</v>
      </c>
      <c r="J307" s="31" t="n">
        <v>11000</v>
      </c>
      <c r="K307" s="31" t="n">
        <v>2000</v>
      </c>
      <c r="L307" s="32" t="n">
        <f aca="false">I307-J307-K307</f>
        <v>0</v>
      </c>
      <c r="M307" s="33" t="n">
        <v>800</v>
      </c>
      <c r="N307" s="33" t="n">
        <v>800</v>
      </c>
      <c r="O307" s="33" t="n">
        <v>800</v>
      </c>
      <c r="P307" s="33" t="n">
        <v>800</v>
      </c>
      <c r="Q307" s="33" t="n">
        <v>800</v>
      </c>
      <c r="R307" s="33" t="n">
        <v>800</v>
      </c>
      <c r="S307" s="33" t="n">
        <v>800</v>
      </c>
      <c r="T307" s="33" t="n">
        <v>800</v>
      </c>
      <c r="U307" s="33" t="n">
        <v>800</v>
      </c>
      <c r="V307" s="33" t="n">
        <v>800</v>
      </c>
      <c r="W307" s="33" t="n">
        <v>800</v>
      </c>
      <c r="X307" s="33" t="n">
        <v>800</v>
      </c>
      <c r="Y307" s="32" t="n">
        <f aca="false">SUM(L307:X307)</f>
        <v>9600</v>
      </c>
      <c r="Z307" s="8" t="n">
        <f aca="false">VLOOKUP(A307,справочник!$E$2:$F$322,2,0)</f>
        <v>0</v>
      </c>
    </row>
    <row collapsed="false" customFormat="false" customHeight="true" hidden="true" ht="25.5" outlineLevel="0" r="308">
      <c r="A308" s="19" t="n">
        <f aca="false">VLOOKUP(B308,справочник!$B$2:$E$322,4,0)</f>
        <v>84</v>
      </c>
      <c r="B308" s="0" t="e">
        <f aca="false">CONCATENATE(C308;D308)</f>
        <v>#VALUE!</v>
      </c>
      <c r="C308" s="24" t="n">
        <v>89</v>
      </c>
      <c r="D308" s="29" t="s">
        <v>288</v>
      </c>
      <c r="E308" s="24" t="s">
        <v>665</v>
      </c>
      <c r="F308" s="30" t="n">
        <v>40785</v>
      </c>
      <c r="G308" s="30" t="n">
        <v>40787</v>
      </c>
      <c r="H308" s="31" t="n">
        <f aca="false">INT(($H$327-G308)/30)</f>
        <v>52</v>
      </c>
      <c r="I308" s="24" t="n">
        <f aca="false">H308*1000</f>
        <v>52000</v>
      </c>
      <c r="J308" s="31" t="n">
        <f aca="false">1000+51000</f>
        <v>52000</v>
      </c>
      <c r="K308" s="31"/>
      <c r="L308" s="32" t="n">
        <f aca="false">I308-J308-K308</f>
        <v>0</v>
      </c>
      <c r="M308" s="33" t="n">
        <v>800</v>
      </c>
      <c r="N308" s="33" t="n">
        <v>800</v>
      </c>
      <c r="O308" s="33" t="n">
        <v>800</v>
      </c>
      <c r="P308" s="33" t="n">
        <v>800</v>
      </c>
      <c r="Q308" s="33" t="n">
        <v>800</v>
      </c>
      <c r="R308" s="33" t="n">
        <v>800</v>
      </c>
      <c r="S308" s="33" t="n">
        <v>800</v>
      </c>
      <c r="T308" s="33" t="n">
        <v>800</v>
      </c>
      <c r="U308" s="33" t="n">
        <v>800</v>
      </c>
      <c r="V308" s="33" t="n">
        <v>800</v>
      </c>
      <c r="W308" s="33" t="n">
        <v>800</v>
      </c>
      <c r="X308" s="33" t="n">
        <v>800</v>
      </c>
      <c r="Y308" s="32" t="n">
        <f aca="false">SUM(L308:X308)</f>
        <v>9600</v>
      </c>
      <c r="Z308" s="8" t="n">
        <f aca="false">VLOOKUP(A308,справочник!$E$2:$F$322,2,0)</f>
        <v>0</v>
      </c>
    </row>
    <row collapsed="false" customFormat="false" customHeight="false" hidden="true" ht="15" outlineLevel="0" r="309">
      <c r="A309" s="19" t="n">
        <f aca="false">VLOOKUP(B309,справочник!$B$2:$E$322,4,0)</f>
        <v>88</v>
      </c>
      <c r="B309" s="0" t="e">
        <f aca="false">CONCATENATE(C309;D309)</f>
        <v>#VALUE!</v>
      </c>
      <c r="C309" s="24" t="s">
        <v>666</v>
      </c>
      <c r="D309" s="29" t="s">
        <v>270</v>
      </c>
      <c r="E309" s="24" t="s">
        <v>667</v>
      </c>
      <c r="F309" s="30" t="n">
        <v>40925</v>
      </c>
      <c r="G309" s="30" t="n">
        <v>40909</v>
      </c>
      <c r="H309" s="31" t="n">
        <f aca="false">INT(($H$327-G309)/30)</f>
        <v>48</v>
      </c>
      <c r="I309" s="24" t="n">
        <f aca="false">H309*1000</f>
        <v>48000</v>
      </c>
      <c r="J309" s="31" t="n">
        <v>44000</v>
      </c>
      <c r="K309" s="31"/>
      <c r="L309" s="32" t="n">
        <f aca="false">I309-J309-K309</f>
        <v>4000</v>
      </c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2" t="n">
        <f aca="false">SUM(L309:X309)</f>
        <v>4000</v>
      </c>
      <c r="Z309" s="8" t="n">
        <f aca="false">VLOOKUP(A309,справочник!$E$2:$F$322,2,0)</f>
        <v>1</v>
      </c>
    </row>
    <row collapsed="false" customFormat="false" customHeight="false" hidden="true" ht="15" outlineLevel="0" r="310">
      <c r="A310" s="19" t="n">
        <f aca="false">VLOOKUP(B310,справочник!$B$2:$E$322,4,0)</f>
        <v>88</v>
      </c>
      <c r="B310" s="0" t="e">
        <f aca="false">CONCATENATE(C310;D310)</f>
        <v>#VALUE!</v>
      </c>
      <c r="C310" s="24" t="s">
        <v>666</v>
      </c>
      <c r="D310" s="29" t="s">
        <v>270</v>
      </c>
      <c r="E310" s="24" t="s">
        <v>668</v>
      </c>
      <c r="F310" s="30" t="n">
        <v>40925</v>
      </c>
      <c r="G310" s="30" t="n">
        <v>40909</v>
      </c>
      <c r="H310" s="31" t="n">
        <f aca="false">INT(($H$327-G310)/30)</f>
        <v>48</v>
      </c>
      <c r="I310" s="24" t="n">
        <f aca="false">H310*1000</f>
        <v>48000</v>
      </c>
      <c r="J310" s="31" t="n">
        <v>44000</v>
      </c>
      <c r="K310" s="31"/>
      <c r="L310" s="32" t="n">
        <f aca="false">I310-J310-K310</f>
        <v>4000</v>
      </c>
      <c r="M310" s="33" t="n">
        <v>800</v>
      </c>
      <c r="N310" s="33" t="n">
        <v>800</v>
      </c>
      <c r="O310" s="33" t="n">
        <v>800</v>
      </c>
      <c r="P310" s="33" t="n">
        <v>800</v>
      </c>
      <c r="Q310" s="33" t="n">
        <v>800</v>
      </c>
      <c r="R310" s="33" t="n">
        <v>800</v>
      </c>
      <c r="S310" s="33" t="n">
        <v>800</v>
      </c>
      <c r="T310" s="33" t="n">
        <v>800</v>
      </c>
      <c r="U310" s="33" t="n">
        <v>800</v>
      </c>
      <c r="V310" s="33" t="n">
        <v>800</v>
      </c>
      <c r="W310" s="33" t="n">
        <v>800</v>
      </c>
      <c r="X310" s="33" t="n">
        <v>800</v>
      </c>
      <c r="Y310" s="32" t="n">
        <f aca="false">SUM(L310:X310)</f>
        <v>13600</v>
      </c>
      <c r="Z310" s="8" t="n">
        <f aca="false">VLOOKUP(A310,справочник!$E$2:$F$322,2,0)</f>
        <v>1</v>
      </c>
    </row>
    <row collapsed="false" customFormat="false" customHeight="false" hidden="true" ht="15" outlineLevel="0" r="311">
      <c r="A311" s="19" t="n">
        <f aca="false">VLOOKUP(B311,справочник!$B$2:$E$322,4,0)</f>
        <v>78</v>
      </c>
      <c r="B311" s="0" t="e">
        <f aca="false">CONCATENATE(C311;D311)</f>
        <v>#VALUE!</v>
      </c>
      <c r="C311" s="24" t="n">
        <v>83</v>
      </c>
      <c r="D311" s="29" t="s">
        <v>61</v>
      </c>
      <c r="E311" s="24"/>
      <c r="F311" s="30" t="n">
        <v>41456</v>
      </c>
      <c r="G311" s="30" t="n">
        <v>41457</v>
      </c>
      <c r="H311" s="31" t="n">
        <f aca="false">INT(($H$327-G311)/30)</f>
        <v>30</v>
      </c>
      <c r="I311" s="24" t="n">
        <v>30000</v>
      </c>
      <c r="J311" s="31" t="n">
        <v>0</v>
      </c>
      <c r="K311" s="31"/>
      <c r="L311" s="32" t="n">
        <v>30000</v>
      </c>
      <c r="M311" s="33" t="n">
        <v>800</v>
      </c>
      <c r="N311" s="33" t="n">
        <v>800</v>
      </c>
      <c r="O311" s="33" t="n">
        <v>800</v>
      </c>
      <c r="P311" s="33" t="n">
        <v>800</v>
      </c>
      <c r="Q311" s="33" t="n">
        <v>800</v>
      </c>
      <c r="R311" s="33" t="n">
        <v>800</v>
      </c>
      <c r="S311" s="33" t="n">
        <v>800</v>
      </c>
      <c r="T311" s="33" t="n">
        <v>800</v>
      </c>
      <c r="U311" s="33" t="n">
        <v>800</v>
      </c>
      <c r="V311" s="33" t="n">
        <v>800</v>
      </c>
      <c r="W311" s="33" t="n">
        <v>800</v>
      </c>
      <c r="X311" s="33" t="n">
        <v>800</v>
      </c>
      <c r="Y311" s="32" t="n">
        <f aca="false">SUM(L311:X311)</f>
        <v>39600</v>
      </c>
      <c r="Z311" s="8" t="n">
        <f aca="false">VLOOKUP(A311,справочник!$E$2:$F$322,2,0)</f>
        <v>0</v>
      </c>
    </row>
    <row collapsed="false" customFormat="false" customHeight="false" hidden="true" ht="15" outlineLevel="0" r="312">
      <c r="A312" s="19" t="n">
        <f aca="false">VLOOKUP(B312,справочник!$B$2:$E$322,4,0)</f>
        <v>77</v>
      </c>
      <c r="B312" s="0" t="e">
        <f aca="false">CONCATENATE(C312;D312)</f>
        <v>#VALUE!</v>
      </c>
      <c r="C312" s="24" t="n">
        <v>83</v>
      </c>
      <c r="D312" s="29" t="s">
        <v>54</v>
      </c>
      <c r="E312" s="24" t="s">
        <v>669</v>
      </c>
      <c r="F312" s="30" t="n">
        <v>40932</v>
      </c>
      <c r="G312" s="30" t="n">
        <v>40909</v>
      </c>
      <c r="H312" s="31" t="n">
        <f aca="false">INT(($H$327-G312)/30)</f>
        <v>48</v>
      </c>
      <c r="I312" s="24" t="n">
        <f aca="false">H312*1000</f>
        <v>48000</v>
      </c>
      <c r="J312" s="31" t="n">
        <v>15000</v>
      </c>
      <c r="K312" s="31"/>
      <c r="L312" s="32" t="n">
        <f aca="false">I312-J312-K312</f>
        <v>33000</v>
      </c>
      <c r="M312" s="33" t="n">
        <v>800</v>
      </c>
      <c r="N312" s="33" t="n">
        <v>800</v>
      </c>
      <c r="O312" s="33" t="n">
        <v>800</v>
      </c>
      <c r="P312" s="33" t="n">
        <v>800</v>
      </c>
      <c r="Q312" s="33" t="n">
        <v>800</v>
      </c>
      <c r="R312" s="33" t="n">
        <v>800</v>
      </c>
      <c r="S312" s="33" t="n">
        <v>800</v>
      </c>
      <c r="T312" s="33" t="n">
        <v>800</v>
      </c>
      <c r="U312" s="33" t="n">
        <v>800</v>
      </c>
      <c r="V312" s="33" t="n">
        <v>800</v>
      </c>
      <c r="W312" s="33" t="n">
        <v>800</v>
      </c>
      <c r="X312" s="33" t="n">
        <v>800</v>
      </c>
      <c r="Y312" s="32" t="n">
        <f aca="false">SUM(L312:X312)</f>
        <v>42600</v>
      </c>
      <c r="Z312" s="8" t="n">
        <f aca="false">VLOOKUP(A312,справочник!$E$2:$F$322,2,0)</f>
        <v>0</v>
      </c>
    </row>
    <row collapsed="false" customFormat="false" customHeight="true" hidden="true" ht="25.5" outlineLevel="0" r="313">
      <c r="A313" s="19" t="n">
        <f aca="false">VLOOKUP(B313,справочник!$B$2:$E$322,4,0)</f>
        <v>306</v>
      </c>
      <c r="B313" s="0" t="e">
        <f aca="false">CONCATENATE(C313;D313)</f>
        <v>#VALUE!</v>
      </c>
      <c r="C313" s="24" t="n">
        <v>321</v>
      </c>
      <c r="D313" s="29" t="s">
        <v>57</v>
      </c>
      <c r="E313" s="24" t="s">
        <v>670</v>
      </c>
      <c r="F313" s="30" t="n">
        <v>41093</v>
      </c>
      <c r="G313" s="30" t="n">
        <v>41091</v>
      </c>
      <c r="H313" s="31" t="n">
        <f aca="false">INT(($H$327-G313)/30)</f>
        <v>42</v>
      </c>
      <c r="I313" s="24" t="n">
        <f aca="false">H313*1000</f>
        <v>42000</v>
      </c>
      <c r="J313" s="31" t="n">
        <v>11000</v>
      </c>
      <c r="K313" s="31"/>
      <c r="L313" s="32" t="n">
        <f aca="false">I313-J313-K313</f>
        <v>31000</v>
      </c>
      <c r="M313" s="33" t="n">
        <v>800</v>
      </c>
      <c r="N313" s="33" t="n">
        <v>800</v>
      </c>
      <c r="O313" s="33" t="n">
        <v>800</v>
      </c>
      <c r="P313" s="33" t="n">
        <v>800</v>
      </c>
      <c r="Q313" s="33" t="n">
        <v>800</v>
      </c>
      <c r="R313" s="33" t="n">
        <v>800</v>
      </c>
      <c r="S313" s="33" t="n">
        <v>800</v>
      </c>
      <c r="T313" s="33" t="n">
        <v>800</v>
      </c>
      <c r="U313" s="33" t="n">
        <v>800</v>
      </c>
      <c r="V313" s="33" t="n">
        <v>800</v>
      </c>
      <c r="W313" s="33" t="n">
        <v>800</v>
      </c>
      <c r="X313" s="33" t="n">
        <v>800</v>
      </c>
      <c r="Y313" s="32" t="n">
        <f aca="false">SUM(L313:X313)</f>
        <v>40600</v>
      </c>
      <c r="Z313" s="8" t="n">
        <f aca="false">VLOOKUP(A313,справочник!$E$2:$F$322,2,0)</f>
        <v>0</v>
      </c>
    </row>
    <row collapsed="false" customFormat="false" customHeight="true" hidden="true" ht="25.5" outlineLevel="0" r="314">
      <c r="A314" s="19" t="n">
        <f aca="false">VLOOKUP(B314,справочник!$B$2:$E$322,4,0)</f>
        <v>182</v>
      </c>
      <c r="B314" s="0" t="e">
        <f aca="false">CONCATENATE(C314;D314)</f>
        <v>#VALUE!</v>
      </c>
      <c r="C314" s="24" t="n">
        <v>190</v>
      </c>
      <c r="D314" s="29" t="s">
        <v>251</v>
      </c>
      <c r="E314" s="24" t="s">
        <v>671</v>
      </c>
      <c r="F314" s="30" t="n">
        <v>41734</v>
      </c>
      <c r="G314" s="30" t="n">
        <v>41760</v>
      </c>
      <c r="H314" s="31" t="n">
        <f aca="false">INT(($H$327-G314)/30)</f>
        <v>20</v>
      </c>
      <c r="I314" s="24" t="n">
        <f aca="false">H314*1000</f>
        <v>20000</v>
      </c>
      <c r="J314" s="31" t="n">
        <v>14000</v>
      </c>
      <c r="K314" s="31"/>
      <c r="L314" s="32" t="n">
        <f aca="false">I314-J314-K314</f>
        <v>6000</v>
      </c>
      <c r="M314" s="33" t="n">
        <v>800</v>
      </c>
      <c r="N314" s="33" t="n">
        <v>800</v>
      </c>
      <c r="O314" s="33" t="n">
        <v>800</v>
      </c>
      <c r="P314" s="33" t="n">
        <v>800</v>
      </c>
      <c r="Q314" s="33" t="n">
        <v>800</v>
      </c>
      <c r="R314" s="33" t="n">
        <v>800</v>
      </c>
      <c r="S314" s="33" t="n">
        <v>800</v>
      </c>
      <c r="T314" s="33" t="n">
        <v>800</v>
      </c>
      <c r="U314" s="33" t="n">
        <v>800</v>
      </c>
      <c r="V314" s="33" t="n">
        <v>800</v>
      </c>
      <c r="W314" s="33" t="n">
        <v>800</v>
      </c>
      <c r="X314" s="33" t="n">
        <v>800</v>
      </c>
      <c r="Y314" s="32" t="n">
        <f aca="false">SUM(L314:X314)</f>
        <v>15600</v>
      </c>
      <c r="Z314" s="8" t="n">
        <f aca="false">VLOOKUP(A314,справочник!$E$2:$F$322,2,0)</f>
        <v>0</v>
      </c>
    </row>
    <row collapsed="false" customFormat="false" customHeight="false" hidden="true" ht="15" outlineLevel="0" r="315">
      <c r="A315" s="19" t="n">
        <f aca="false">VLOOKUP(B315,справочник!$B$2:$E$322,4,0)</f>
        <v>95</v>
      </c>
      <c r="B315" s="0" t="e">
        <f aca="false">CONCATENATE(C315;D315)</f>
        <v>#VALUE!</v>
      </c>
      <c r="C315" s="24" t="n">
        <v>100</v>
      </c>
      <c r="D315" s="29" t="s">
        <v>269</v>
      </c>
      <c r="E315" s="24" t="s">
        <v>672</v>
      </c>
      <c r="F315" s="30" t="n">
        <v>41401</v>
      </c>
      <c r="G315" s="30" t="n">
        <v>41609</v>
      </c>
      <c r="H315" s="31" t="n">
        <f aca="false">INT(($H$327-G315)/30)</f>
        <v>25</v>
      </c>
      <c r="I315" s="24" t="n">
        <f aca="false">H315*1000</f>
        <v>25000</v>
      </c>
      <c r="J315" s="31" t="n">
        <v>20000</v>
      </c>
      <c r="K315" s="31"/>
      <c r="L315" s="32" t="n">
        <f aca="false">I315-J315-K315</f>
        <v>5000</v>
      </c>
      <c r="M315" s="33" t="n">
        <v>800</v>
      </c>
      <c r="N315" s="33" t="n">
        <v>800</v>
      </c>
      <c r="O315" s="33" t="n">
        <v>800</v>
      </c>
      <c r="P315" s="33" t="n">
        <v>800</v>
      </c>
      <c r="Q315" s="33" t="n">
        <v>800</v>
      </c>
      <c r="R315" s="33" t="n">
        <v>800</v>
      </c>
      <c r="S315" s="33" t="n">
        <v>800</v>
      </c>
      <c r="T315" s="33" t="n">
        <v>800</v>
      </c>
      <c r="U315" s="33" t="n">
        <v>800</v>
      </c>
      <c r="V315" s="33" t="n">
        <v>800</v>
      </c>
      <c r="W315" s="33" t="n">
        <v>800</v>
      </c>
      <c r="X315" s="33" t="n">
        <v>800</v>
      </c>
      <c r="Y315" s="32" t="n">
        <f aca="false">SUM(L315:X315)</f>
        <v>14600</v>
      </c>
      <c r="Z315" s="8" t="n">
        <f aca="false">VLOOKUP(A315,справочник!$E$2:$F$322,2,0)</f>
        <v>0</v>
      </c>
    </row>
    <row collapsed="false" customFormat="false" customHeight="false" hidden="true" ht="15" outlineLevel="0" r="316">
      <c r="A316" s="19" t="n">
        <f aca="false">VLOOKUP(B316,справочник!$B$2:$E$322,4,0)</f>
        <v>108</v>
      </c>
      <c r="B316" s="0" t="e">
        <f aca="false">CONCATENATE(C316;D316)</f>
        <v>#VALUE!</v>
      </c>
      <c r="C316" s="24" t="n">
        <v>113</v>
      </c>
      <c r="D316" s="29" t="s">
        <v>285</v>
      </c>
      <c r="E316" s="24" t="s">
        <v>673</v>
      </c>
      <c r="F316" s="30" t="n">
        <v>40938</v>
      </c>
      <c r="G316" s="30" t="n">
        <v>40940</v>
      </c>
      <c r="H316" s="31" t="n">
        <f aca="false">INT(($H$327-G316)/30)</f>
        <v>47</v>
      </c>
      <c r="I316" s="24" t="n">
        <f aca="false">H316*1000</f>
        <v>47000</v>
      </c>
      <c r="J316" s="31" t="n">
        <f aca="false">24000+11000</f>
        <v>35000</v>
      </c>
      <c r="K316" s="31" t="n">
        <v>8000</v>
      </c>
      <c r="L316" s="32" t="n">
        <f aca="false">I316-J316-K316</f>
        <v>4000</v>
      </c>
      <c r="M316" s="33" t="n">
        <v>800</v>
      </c>
      <c r="N316" s="33" t="n">
        <v>800</v>
      </c>
      <c r="O316" s="33" t="n">
        <v>800</v>
      </c>
      <c r="P316" s="33" t="n">
        <v>800</v>
      </c>
      <c r="Q316" s="33" t="n">
        <v>800</v>
      </c>
      <c r="R316" s="33" t="n">
        <v>800</v>
      </c>
      <c r="S316" s="33" t="n">
        <v>800</v>
      </c>
      <c r="T316" s="33" t="n">
        <v>800</v>
      </c>
      <c r="U316" s="33" t="n">
        <v>800</v>
      </c>
      <c r="V316" s="33" t="n">
        <v>800</v>
      </c>
      <c r="W316" s="33" t="n">
        <v>800</v>
      </c>
      <c r="X316" s="33" t="n">
        <v>800</v>
      </c>
      <c r="Y316" s="32" t="n">
        <f aca="false">SUM(L316:X316)</f>
        <v>13600</v>
      </c>
      <c r="Z316" s="8" t="n">
        <f aca="false">VLOOKUP(A316,справочник!$E$2:$F$322,2,0)</f>
        <v>0</v>
      </c>
    </row>
    <row collapsed="false" customFormat="false" customHeight="false" hidden="true" ht="15" outlineLevel="0" r="317">
      <c r="A317" s="19" t="n">
        <f aca="false">VLOOKUP(B317,справочник!$B$2:$E$322,4,0)</f>
        <v>41</v>
      </c>
      <c r="B317" s="0" t="e">
        <f aca="false">CONCATENATE(C317;D317)</f>
        <v>#VALUE!</v>
      </c>
      <c r="C317" s="24" t="n">
        <v>41</v>
      </c>
      <c r="D317" s="29" t="s">
        <v>122</v>
      </c>
      <c r="E317" s="24" t="s">
        <v>674</v>
      </c>
      <c r="F317" s="30" t="n">
        <v>40772</v>
      </c>
      <c r="G317" s="30" t="n">
        <v>40756</v>
      </c>
      <c r="H317" s="31" t="n">
        <f aca="false">INT(($H$327-G317)/30)</f>
        <v>53</v>
      </c>
      <c r="I317" s="24" t="n">
        <f aca="false">H317*1000</f>
        <v>53000</v>
      </c>
      <c r="J317" s="31" t="n">
        <f aca="false">1000+37000</f>
        <v>38000</v>
      </c>
      <c r="K317" s="31"/>
      <c r="L317" s="32" t="n">
        <f aca="false">I317-J317-K317</f>
        <v>15000</v>
      </c>
      <c r="M317" s="33" t="n">
        <v>800</v>
      </c>
      <c r="N317" s="33" t="n">
        <v>800</v>
      </c>
      <c r="O317" s="33" t="n">
        <v>800</v>
      </c>
      <c r="P317" s="33" t="n">
        <v>800</v>
      </c>
      <c r="Q317" s="33" t="n">
        <v>800</v>
      </c>
      <c r="R317" s="33" t="n">
        <v>800</v>
      </c>
      <c r="S317" s="33" t="n">
        <v>800</v>
      </c>
      <c r="T317" s="33" t="n">
        <v>800</v>
      </c>
      <c r="U317" s="33" t="n">
        <v>800</v>
      </c>
      <c r="V317" s="33" t="n">
        <v>800</v>
      </c>
      <c r="W317" s="33" t="n">
        <v>800</v>
      </c>
      <c r="X317" s="33" t="n">
        <v>800</v>
      </c>
      <c r="Y317" s="32" t="n">
        <f aca="false">SUM(L317:X317)</f>
        <v>24600</v>
      </c>
      <c r="Z317" s="8" t="n">
        <f aca="false">VLOOKUP(A317,справочник!$E$2:$F$322,2,0)</f>
        <v>0</v>
      </c>
    </row>
    <row collapsed="false" customFormat="false" customHeight="true" hidden="true" ht="25.5" outlineLevel="0" r="318">
      <c r="A318" s="19" t="n">
        <f aca="false">VLOOKUP(B318,справочник!$B$2:$E$322,4,0)</f>
        <v>152</v>
      </c>
      <c r="B318" s="0" t="e">
        <f aca="false">CONCATENATE(C318;D318)</f>
        <v>#VALUE!</v>
      </c>
      <c r="C318" s="24" t="n">
        <v>160</v>
      </c>
      <c r="D318" s="29" t="s">
        <v>185</v>
      </c>
      <c r="E318" s="24" t="s">
        <v>675</v>
      </c>
      <c r="F318" s="30" t="n">
        <v>40850</v>
      </c>
      <c r="G318" s="30" t="n">
        <v>40848</v>
      </c>
      <c r="H318" s="31" t="n">
        <f aca="false">INT(($H$327-G318)/30)</f>
        <v>50</v>
      </c>
      <c r="I318" s="24" t="n">
        <f aca="false">H318*1000</f>
        <v>50000</v>
      </c>
      <c r="J318" s="31" t="n">
        <f aca="false">46000+1000</f>
        <v>47000</v>
      </c>
      <c r="K318" s="31"/>
      <c r="L318" s="32" t="n">
        <f aca="false">I318-J318-K318</f>
        <v>3000</v>
      </c>
      <c r="M318" s="33" t="n">
        <v>800</v>
      </c>
      <c r="N318" s="33" t="n">
        <v>800</v>
      </c>
      <c r="O318" s="33" t="n">
        <v>800</v>
      </c>
      <c r="P318" s="33" t="n">
        <v>800</v>
      </c>
      <c r="Q318" s="33" t="n">
        <v>800</v>
      </c>
      <c r="R318" s="33" t="n">
        <v>800</v>
      </c>
      <c r="S318" s="33" t="n">
        <v>800</v>
      </c>
      <c r="T318" s="33" t="n">
        <v>800</v>
      </c>
      <c r="U318" s="33" t="n">
        <v>800</v>
      </c>
      <c r="V318" s="33" t="n">
        <v>800</v>
      </c>
      <c r="W318" s="33" t="n">
        <v>800</v>
      </c>
      <c r="X318" s="33" t="n">
        <v>800</v>
      </c>
      <c r="Y318" s="32" t="n">
        <f aca="false">SUM(L318:X318)</f>
        <v>12600</v>
      </c>
      <c r="Z318" s="8" t="n">
        <f aca="false">VLOOKUP(A318,справочник!$E$2:$F$322,2,0)</f>
        <v>0</v>
      </c>
    </row>
    <row collapsed="false" customFormat="false" customHeight="false" hidden="true" ht="15" outlineLevel="0" r="319">
      <c r="A319" s="19" t="n">
        <f aca="false">VLOOKUP(B319,справочник!$B$2:$E$322,4,0)</f>
        <v>227</v>
      </c>
      <c r="B319" s="0" t="e">
        <f aca="false">CONCATENATE(C319;D319)</f>
        <v>#VALUE!</v>
      </c>
      <c r="C319" s="24" t="n">
        <v>236</v>
      </c>
      <c r="D319" s="29" t="s">
        <v>191</v>
      </c>
      <c r="E319" s="24" t="s">
        <v>676</v>
      </c>
      <c r="F319" s="30" t="n">
        <v>41738</v>
      </c>
      <c r="G319" s="30" t="n">
        <v>41760</v>
      </c>
      <c r="H319" s="31" t="n">
        <f aca="false">INT(($H$327-G319)/30)</f>
        <v>20</v>
      </c>
      <c r="I319" s="24" t="n">
        <f aca="false">H319*1000</f>
        <v>20000</v>
      </c>
      <c r="J319" s="31" t="n">
        <v>9000</v>
      </c>
      <c r="K319" s="31"/>
      <c r="L319" s="32" t="n">
        <f aca="false">I319-J319-K319</f>
        <v>11000</v>
      </c>
      <c r="M319" s="33" t="n">
        <v>800</v>
      </c>
      <c r="N319" s="33" t="n">
        <v>800</v>
      </c>
      <c r="O319" s="33" t="n">
        <v>800</v>
      </c>
      <c r="P319" s="33" t="n">
        <v>800</v>
      </c>
      <c r="Q319" s="33" t="n">
        <v>800</v>
      </c>
      <c r="R319" s="33" t="n">
        <v>800</v>
      </c>
      <c r="S319" s="33" t="n">
        <v>800</v>
      </c>
      <c r="T319" s="33" t="n">
        <v>800</v>
      </c>
      <c r="U319" s="33" t="n">
        <v>800</v>
      </c>
      <c r="V319" s="33" t="n">
        <v>800</v>
      </c>
      <c r="W319" s="33" t="n">
        <v>800</v>
      </c>
      <c r="X319" s="33" t="n">
        <v>800</v>
      </c>
      <c r="Y319" s="32" t="n">
        <f aca="false">SUM(L319:X319)</f>
        <v>20600</v>
      </c>
      <c r="Z319" s="8" t="n">
        <f aca="false">VLOOKUP(A319,справочник!$E$2:$F$322,2,0)</f>
        <v>0</v>
      </c>
    </row>
    <row collapsed="false" customFormat="false" customHeight="false" hidden="true" ht="15" outlineLevel="0" r="320">
      <c r="A320" s="19" t="n">
        <f aca="false">VLOOKUP(B320,справочник!$B$2:$E$322,4,0)</f>
        <v>15</v>
      </c>
      <c r="B320" s="0" t="e">
        <f aca="false">CONCATENATE(C320;D320)</f>
        <v>#VALUE!</v>
      </c>
      <c r="C320" s="24" t="n">
        <v>15</v>
      </c>
      <c r="D320" s="29" t="s">
        <v>292</v>
      </c>
      <c r="E320" s="24" t="s">
        <v>677</v>
      </c>
      <c r="F320" s="30" t="n">
        <v>41261</v>
      </c>
      <c r="G320" s="30" t="n">
        <v>41275</v>
      </c>
      <c r="H320" s="31" t="n">
        <f aca="false">INT(($H$327-G320)/30)</f>
        <v>36</v>
      </c>
      <c r="I320" s="24" t="n">
        <f aca="false">H320*1000</f>
        <v>36000</v>
      </c>
      <c r="J320" s="31" t="n">
        <v>32000</v>
      </c>
      <c r="K320" s="31"/>
      <c r="L320" s="32" t="n">
        <f aca="false">I320-J320-K320</f>
        <v>4000</v>
      </c>
      <c r="M320" s="33" t="n">
        <v>800</v>
      </c>
      <c r="N320" s="33" t="n">
        <v>800</v>
      </c>
      <c r="O320" s="33" t="n">
        <v>800</v>
      </c>
      <c r="P320" s="33" t="n">
        <v>800</v>
      </c>
      <c r="Q320" s="33" t="n">
        <v>800</v>
      </c>
      <c r="R320" s="33" t="n">
        <v>800</v>
      </c>
      <c r="S320" s="33" t="n">
        <v>800</v>
      </c>
      <c r="T320" s="33" t="n">
        <v>800</v>
      </c>
      <c r="U320" s="33" t="n">
        <v>800</v>
      </c>
      <c r="V320" s="33" t="n">
        <v>800</v>
      </c>
      <c r="W320" s="33" t="n">
        <v>800</v>
      </c>
      <c r="X320" s="33" t="n">
        <v>800</v>
      </c>
      <c r="Y320" s="32" t="n">
        <f aca="false">SUM(L320:X320)</f>
        <v>13600</v>
      </c>
      <c r="Z320" s="8" t="n">
        <f aca="false">VLOOKUP(A320,справочник!$E$2:$F$322,2,0)</f>
        <v>0</v>
      </c>
    </row>
    <row collapsed="false" customFormat="false" customHeight="false" hidden="true" ht="15" outlineLevel="0" r="321">
      <c r="A321" s="19" t="n">
        <f aca="false">VLOOKUP(B321,справочник!$B$2:$E$322,4,0)</f>
        <v>240</v>
      </c>
      <c r="B321" s="0" t="e">
        <f aca="false">CONCATENATE(C321;D321)</f>
        <v>#VALUE!</v>
      </c>
      <c r="C321" s="24" t="n">
        <v>251</v>
      </c>
      <c r="D321" s="43" t="s">
        <v>225</v>
      </c>
      <c r="E321" s="24" t="s">
        <v>678</v>
      </c>
      <c r="F321" s="30" t="n">
        <v>40799</v>
      </c>
      <c r="G321" s="30" t="n">
        <v>40787</v>
      </c>
      <c r="H321" s="31" t="n">
        <f aca="false">INT(($H$327-G321)/30)</f>
        <v>52</v>
      </c>
      <c r="I321" s="24" t="n">
        <f aca="false">H321*1000</f>
        <v>52000</v>
      </c>
      <c r="J321" s="31" t="n">
        <f aca="false">1000+49000</f>
        <v>50000</v>
      </c>
      <c r="K321" s="31" t="n">
        <v>3000</v>
      </c>
      <c r="L321" s="32" t="n">
        <f aca="false">I321-J321-K321</f>
        <v>-1000</v>
      </c>
      <c r="M321" s="33" t="n">
        <v>800</v>
      </c>
      <c r="N321" s="33" t="n">
        <v>800</v>
      </c>
      <c r="O321" s="33" t="n">
        <v>800</v>
      </c>
      <c r="P321" s="33" t="n">
        <v>800</v>
      </c>
      <c r="Q321" s="33" t="n">
        <v>800</v>
      </c>
      <c r="R321" s="33" t="n">
        <v>800</v>
      </c>
      <c r="S321" s="33" t="n">
        <v>800</v>
      </c>
      <c r="T321" s="33" t="n">
        <v>800</v>
      </c>
      <c r="U321" s="33" t="n">
        <v>800</v>
      </c>
      <c r="V321" s="33" t="n">
        <v>800</v>
      </c>
      <c r="W321" s="33" t="n">
        <v>800</v>
      </c>
      <c r="X321" s="33" t="n">
        <v>800</v>
      </c>
      <c r="Y321" s="32" t="n">
        <f aca="false">SUM(L321:X321)</f>
        <v>8600</v>
      </c>
      <c r="Z321" s="8" t="n">
        <f aca="false">VLOOKUP(A321,справочник!$E$2:$F$322,2,0)</f>
        <v>0</v>
      </c>
    </row>
    <row collapsed="false" customFormat="false" customHeight="false" hidden="true" ht="15" outlineLevel="0" r="322">
      <c r="A322" s="19" t="n">
        <f aca="false">VLOOKUP(B322,справочник!$B$2:$E$322,4,0)</f>
        <v>10</v>
      </c>
      <c r="B322" s="0" t="e">
        <f aca="false">CONCATENATE(C322;D322)</f>
        <v>#VALUE!</v>
      </c>
      <c r="C322" s="24" t="n">
        <v>10</v>
      </c>
      <c r="D322" s="29" t="s">
        <v>221</v>
      </c>
      <c r="E322" s="24" t="s">
        <v>679</v>
      </c>
      <c r="F322" s="30" t="n">
        <v>42023</v>
      </c>
      <c r="G322" s="24"/>
      <c r="H322" s="31" t="n">
        <v>0</v>
      </c>
      <c r="I322" s="24" t="n">
        <f aca="false">H322*1000</f>
        <v>0</v>
      </c>
      <c r="J322" s="31"/>
      <c r="K322" s="31"/>
      <c r="L322" s="32" t="n">
        <f aca="false">I322-J322-K322</f>
        <v>0</v>
      </c>
      <c r="M322" s="33" t="n">
        <v>800</v>
      </c>
      <c r="N322" s="33" t="n">
        <v>800</v>
      </c>
      <c r="O322" s="33" t="n">
        <v>800</v>
      </c>
      <c r="P322" s="33" t="n">
        <v>800</v>
      </c>
      <c r="Q322" s="33" t="n">
        <v>800</v>
      </c>
      <c r="R322" s="33" t="n">
        <v>800</v>
      </c>
      <c r="S322" s="33" t="n">
        <v>800</v>
      </c>
      <c r="T322" s="33" t="n">
        <v>800</v>
      </c>
      <c r="U322" s="33" t="n">
        <v>800</v>
      </c>
      <c r="V322" s="33" t="n">
        <v>800</v>
      </c>
      <c r="W322" s="33" t="n">
        <v>800</v>
      </c>
      <c r="X322" s="33" t="n">
        <v>800</v>
      </c>
      <c r="Y322" s="32" t="n">
        <f aca="false">SUM(L322:X322)</f>
        <v>9600</v>
      </c>
      <c r="Z322" s="8" t="n">
        <f aca="false">VLOOKUP(A322,справочник!$E$2:$F$322,2,0)</f>
        <v>0</v>
      </c>
    </row>
    <row collapsed="false" customFormat="false" customHeight="false" hidden="true" ht="15" outlineLevel="0" r="323">
      <c r="A323" s="19" t="n">
        <f aca="false">VLOOKUP(B323,справочник!$B$2:$E$322,4,0)</f>
        <v>55</v>
      </c>
      <c r="B323" s="0" t="e">
        <f aca="false">CONCATENATE(C323;D323)</f>
        <v>#VALUE!</v>
      </c>
      <c r="C323" s="24" t="n">
        <v>57</v>
      </c>
      <c r="D323" s="29" t="s">
        <v>313</v>
      </c>
      <c r="E323" s="24" t="s">
        <v>680</v>
      </c>
      <c r="F323" s="30" t="n">
        <v>40772</v>
      </c>
      <c r="G323" s="30" t="n">
        <v>40756</v>
      </c>
      <c r="H323" s="31" t="n">
        <f aca="false">INT(($H$327-G323)/30)</f>
        <v>53</v>
      </c>
      <c r="I323" s="24" t="n">
        <f aca="false">H323*1000</f>
        <v>53000</v>
      </c>
      <c r="J323" s="31" t="n">
        <f aca="false">1000+53000</f>
        <v>54000</v>
      </c>
      <c r="K323" s="31" t="n">
        <v>3000</v>
      </c>
      <c r="L323" s="32" t="n">
        <f aca="false">I323-J323-K323</f>
        <v>-4000</v>
      </c>
      <c r="M323" s="33" t="n">
        <v>800</v>
      </c>
      <c r="N323" s="33" t="n">
        <v>800</v>
      </c>
      <c r="O323" s="33" t="n">
        <v>800</v>
      </c>
      <c r="P323" s="33" t="n">
        <v>800</v>
      </c>
      <c r="Q323" s="33" t="n">
        <v>800</v>
      </c>
      <c r="R323" s="33" t="n">
        <v>800</v>
      </c>
      <c r="S323" s="33" t="n">
        <v>800</v>
      </c>
      <c r="T323" s="33" t="n">
        <v>800</v>
      </c>
      <c r="U323" s="33" t="n">
        <v>800</v>
      </c>
      <c r="V323" s="33" t="n">
        <v>800</v>
      </c>
      <c r="W323" s="33" t="n">
        <v>800</v>
      </c>
      <c r="X323" s="33" t="n">
        <v>800</v>
      </c>
      <c r="Y323" s="32" t="n">
        <f aca="false">SUM(L323:X323)</f>
        <v>5600</v>
      </c>
      <c r="Z323" s="8" t="n">
        <f aca="false">VLOOKUP(A323,справочник!$E$2:$F$322,2,0)</f>
        <v>0</v>
      </c>
    </row>
    <row collapsed="false" customFormat="false" customHeight="false" hidden="true" ht="15" outlineLevel="0" r="324">
      <c r="A324" s="19" t="n">
        <f aca="false">VLOOKUP(B324,справочник!$B$2:$E$322,4,0)</f>
        <v>309</v>
      </c>
      <c r="B324" s="0" t="e">
        <f aca="false">CONCATENATE(C324;D324)</f>
        <v>#VALUE!</v>
      </c>
      <c r="C324" s="24" t="n">
        <v>324</v>
      </c>
      <c r="D324" s="29" t="s">
        <v>82</v>
      </c>
      <c r="E324" s="24" t="s">
        <v>681</v>
      </c>
      <c r="F324" s="30" t="n">
        <v>41002</v>
      </c>
      <c r="G324" s="30" t="n">
        <v>41000</v>
      </c>
      <c r="H324" s="31" t="n">
        <f aca="false">INT(($H$327-G324)/30)</f>
        <v>45</v>
      </c>
      <c r="I324" s="24" t="n">
        <f aca="false">H324*1000</f>
        <v>45000</v>
      </c>
      <c r="J324" s="31" t="n">
        <f aca="false">17000+1000</f>
        <v>18000</v>
      </c>
      <c r="K324" s="31" t="n">
        <v>5000</v>
      </c>
      <c r="L324" s="32" t="n">
        <f aca="false">I324-J324-K324</f>
        <v>22000</v>
      </c>
      <c r="M324" s="33" t="n">
        <v>800</v>
      </c>
      <c r="N324" s="33" t="n">
        <v>800</v>
      </c>
      <c r="O324" s="33" t="n">
        <v>800</v>
      </c>
      <c r="P324" s="33" t="n">
        <v>800</v>
      </c>
      <c r="Q324" s="33" t="n">
        <v>800</v>
      </c>
      <c r="R324" s="33" t="n">
        <v>800</v>
      </c>
      <c r="S324" s="33" t="n">
        <v>800</v>
      </c>
      <c r="T324" s="33" t="n">
        <v>800</v>
      </c>
      <c r="U324" s="33" t="n">
        <v>800</v>
      </c>
      <c r="V324" s="33" t="n">
        <v>800</v>
      </c>
      <c r="W324" s="33" t="n">
        <v>800</v>
      </c>
      <c r="X324" s="33" t="n">
        <v>800</v>
      </c>
      <c r="Y324" s="32" t="n">
        <f aca="false">SUM(L324:X324)</f>
        <v>31600</v>
      </c>
      <c r="Z324" s="8" t="n">
        <f aca="false">VLOOKUP(A324,справочник!$E$2:$F$322,2,0)</f>
        <v>0</v>
      </c>
    </row>
    <row collapsed="false" customFormat="false" customHeight="false" hidden="true" ht="15" outlineLevel="0" r="325">
      <c r="A325" s="19" t="n">
        <f aca="false">VLOOKUP(B325,справочник!$B$2:$E$322,4,0)</f>
        <v>17</v>
      </c>
      <c r="B325" s="0" t="e">
        <f aca="false">CONCATENATE(C325;D325)</f>
        <v>#VALUE!</v>
      </c>
      <c r="C325" s="24" t="n">
        <v>17</v>
      </c>
      <c r="D325" s="29" t="s">
        <v>239</v>
      </c>
      <c r="E325" s="24" t="s">
        <v>682</v>
      </c>
      <c r="F325" s="30" t="n">
        <v>41254</v>
      </c>
      <c r="G325" s="30" t="n">
        <v>41275</v>
      </c>
      <c r="H325" s="31" t="n">
        <f aca="false">INT(($H$327-G325)/30)</f>
        <v>36</v>
      </c>
      <c r="I325" s="24" t="n">
        <f aca="false">H325*1000</f>
        <v>36000</v>
      </c>
      <c r="J325" s="31" t="n">
        <v>31000</v>
      </c>
      <c r="K325" s="31"/>
      <c r="L325" s="32" t="n">
        <f aca="false">I325-J325-K325</f>
        <v>5000</v>
      </c>
      <c r="M325" s="33" t="n">
        <v>800</v>
      </c>
      <c r="N325" s="33" t="n">
        <v>800</v>
      </c>
      <c r="O325" s="33" t="n">
        <v>800</v>
      </c>
      <c r="P325" s="33" t="n">
        <v>800</v>
      </c>
      <c r="Q325" s="33" t="n">
        <v>800</v>
      </c>
      <c r="R325" s="33" t="n">
        <v>800</v>
      </c>
      <c r="S325" s="33" t="n">
        <v>800</v>
      </c>
      <c r="T325" s="33" t="n">
        <v>800</v>
      </c>
      <c r="U325" s="33" t="n">
        <v>800</v>
      </c>
      <c r="V325" s="33" t="n">
        <v>800</v>
      </c>
      <c r="W325" s="33" t="n">
        <v>800</v>
      </c>
      <c r="X325" s="33" t="n">
        <v>800</v>
      </c>
      <c r="Y325" s="32" t="n">
        <f aca="false">SUM(L325:X325)</f>
        <v>14600</v>
      </c>
      <c r="Z325" s="8" t="n">
        <f aca="false">VLOOKUP(A325,справочник!$E$2:$F$322,2,0)</f>
        <v>0</v>
      </c>
    </row>
    <row collapsed="false" customFormat="false" customHeight="false" hidden="true" ht="15" outlineLevel="0" r="326">
      <c r="A326" s="19" t="n">
        <f aca="false">VLOOKUP(B326,справочник!$B$2:$E$322,4,0)</f>
        <v>40</v>
      </c>
      <c r="B326" s="0" t="e">
        <f aca="false">CONCATENATE(C326;D326)</f>
        <v>#VALUE!</v>
      </c>
      <c r="C326" s="24" t="n">
        <v>40</v>
      </c>
      <c r="D326" s="29" t="s">
        <v>123</v>
      </c>
      <c r="E326" s="24" t="s">
        <v>683</v>
      </c>
      <c r="F326" s="30" t="n">
        <v>40772</v>
      </c>
      <c r="G326" s="30" t="n">
        <v>40756</v>
      </c>
      <c r="H326" s="31" t="n">
        <f aca="false">INT(($H$327-G326)/30)</f>
        <v>53</v>
      </c>
      <c r="I326" s="24" t="n">
        <f aca="false">H326*1000</f>
        <v>53000</v>
      </c>
      <c r="J326" s="31" t="n">
        <f aca="false">1000+37000</f>
        <v>38000</v>
      </c>
      <c r="K326" s="31"/>
      <c r="L326" s="32" t="n">
        <f aca="false">I326-J326-K326</f>
        <v>15000</v>
      </c>
      <c r="M326" s="33" t="n">
        <v>800</v>
      </c>
      <c r="N326" s="33" t="n">
        <v>800</v>
      </c>
      <c r="O326" s="33" t="n">
        <v>800</v>
      </c>
      <c r="P326" s="33" t="n">
        <v>800</v>
      </c>
      <c r="Q326" s="33" t="n">
        <v>800</v>
      </c>
      <c r="R326" s="33" t="n">
        <v>800</v>
      </c>
      <c r="S326" s="33" t="n">
        <v>800</v>
      </c>
      <c r="T326" s="33" t="n">
        <v>800</v>
      </c>
      <c r="U326" s="33" t="n">
        <v>800</v>
      </c>
      <c r="V326" s="33" t="n">
        <v>800</v>
      </c>
      <c r="W326" s="33" t="n">
        <v>800</v>
      </c>
      <c r="X326" s="33" t="n">
        <v>800</v>
      </c>
      <c r="Y326" s="32" t="n">
        <f aca="false">SUM(L326:X326)</f>
        <v>24600</v>
      </c>
      <c r="Z326" s="8" t="n">
        <f aca="false">VLOOKUP(A326,справочник!$E$2:$F$322,2,0)</f>
        <v>0</v>
      </c>
    </row>
    <row collapsed="false" customFormat="false" customHeight="false" hidden="true" ht="15" outlineLevel="0" r="327">
      <c r="H327" s="54" t="n">
        <v>42369</v>
      </c>
      <c r="L327" s="55" t="n">
        <f aca="false">SUM(L5:L326)</f>
        <v>3600608</v>
      </c>
      <c r="M327" s="55" t="n">
        <f aca="false">SUM(M5:M326)</f>
        <v>232800</v>
      </c>
      <c r="N327" s="55" t="n">
        <f aca="false">SUM(N5:N326)</f>
        <v>232800</v>
      </c>
      <c r="O327" s="55" t="n">
        <f aca="false">SUM(O5:O326)</f>
        <v>232800</v>
      </c>
      <c r="P327" s="55" t="n">
        <f aca="false">SUM(P5:P326)</f>
        <v>232800</v>
      </c>
      <c r="Q327" s="55" t="n">
        <f aca="false">SUM(Q5:Q326)</f>
        <v>232800</v>
      </c>
      <c r="R327" s="55" t="n">
        <f aca="false">SUM(R5:R326)</f>
        <v>232800</v>
      </c>
      <c r="S327" s="55" t="n">
        <f aca="false">SUM(S5:S326)</f>
        <v>232800</v>
      </c>
      <c r="T327" s="55" t="n">
        <f aca="false">SUM(T5:T326)</f>
        <v>232800</v>
      </c>
      <c r="U327" s="55" t="n">
        <f aca="false">SUM(U5:U326)</f>
        <v>232800</v>
      </c>
      <c r="V327" s="55" t="n">
        <f aca="false">SUM(V5:V326)</f>
        <v>232800</v>
      </c>
      <c r="W327" s="55" t="n">
        <f aca="false">SUM(W5:W326)</f>
        <v>232800</v>
      </c>
      <c r="X327" s="55" t="n">
        <f aca="false">SUM(X5:X326)</f>
        <v>232800</v>
      </c>
      <c r="Y327" s="55" t="n">
        <f aca="false">SUM(Y5:Y326)</f>
        <v>6394208</v>
      </c>
    </row>
  </sheetData>
  <autoFilter ref="A4:Z327">
    <filterColumn colId="3">
      <customFilters and="true">
        <customFilter operator="equal" val="Васильева Ольга Александровна"/>
      </customFilters>
    </filterColumn>
  </autoFilter>
  <mergeCells count="4">
    <mergeCell ref="C3:C4"/>
    <mergeCell ref="D3:D4"/>
    <mergeCell ref="E3:E4"/>
    <mergeCell ref="H3:L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N328"/>
  <sheetViews>
    <sheetView colorId="64" defaultGridColor="true" rightToLeft="false" showFormulas="false" showGridLines="true" showOutlineSymbols="true" showRowColHeaders="true" showZeros="true" tabSelected="true" topLeftCell="A1" view="normal" windowProtection="true" workbookViewId="0" zoomScale="100" zoomScaleNormal="100" zoomScalePageLayoutView="100">
      <pane activePane="bottomRight" state="frozen" topLeftCell="AH5" xSplit="4" ySplit="4"/>
      <selection activeCell="A1" activeCellId="0" pane="topLeft" sqref="A1"/>
      <selection activeCell="AH1" activeCellId="0" pane="topRight" sqref="AH1"/>
      <selection activeCell="A5" activeCellId="0" pane="bottomLeft" sqref="A5"/>
      <selection activeCell="C329" activeCellId="0" pane="bottomRight" sqref="C329"/>
    </sheetView>
  </sheetViews>
  <sheetFormatPr defaultRowHeight="15"/>
  <cols>
    <col collapsed="false" hidden="false" max="2" min="1" style="0" width="8.72959183673469"/>
    <col collapsed="false" hidden="false" max="3" min="3" style="0" width="8.29081632653061"/>
    <col collapsed="false" hidden="false" max="4" min="4" style="0" width="37.5714285714286"/>
    <col collapsed="false" hidden="false" max="5" min="5" style="0" width="20.5714285714286"/>
    <col collapsed="false" hidden="false" max="6" min="6" style="0" width="18.1428571428571"/>
    <col collapsed="false" hidden="false" max="7" min="7" style="0" width="15.5714285714286"/>
    <col collapsed="false" hidden="false" max="8" min="8" style="0" width="13.4285714285714"/>
    <col collapsed="false" hidden="false" max="9" min="9" style="0" width="19.5714285714286"/>
    <col collapsed="false" hidden="false" max="10" min="10" style="0" width="22.0051020408163"/>
    <col collapsed="false" hidden="false" max="11" min="11" style="0" width="12.8622448979592"/>
    <col collapsed="false" hidden="false" max="27" min="12" style="0" width="13.8571428571429"/>
    <col collapsed="false" hidden="false" max="29" min="28" style="0" width="16.2908163265306"/>
    <col collapsed="false" hidden="false" max="30" min="30" style="0" width="13.7040816326531"/>
    <col collapsed="false" hidden="false" max="31" min="31" style="0" width="14.8571428571429"/>
    <col collapsed="false" hidden="false" max="32" min="32" style="0" width="16.2908163265306"/>
    <col collapsed="false" hidden="false" max="33" min="33" style="0" width="13.7040816326531"/>
    <col collapsed="false" hidden="false" max="34" min="34" style="0" width="14.8571428571429"/>
    <col collapsed="false" hidden="false" max="35" min="35" style="0" width="16.2908163265306"/>
    <col collapsed="false" hidden="false" max="36" min="36" style="0" width="13.7040816326531"/>
    <col collapsed="false" hidden="false" max="37" min="37" style="0" width="14.8571428571429"/>
    <col collapsed="false" hidden="false" max="38" min="38" style="0" width="16.2908163265306"/>
    <col collapsed="false" hidden="false" max="39" min="39" style="0" width="13.7040816326531"/>
    <col collapsed="false" hidden="false" max="40" min="40" style="0" width="14.8571428571429"/>
    <col collapsed="false" hidden="false" max="1025" min="41" style="0" width="8.72959183673469"/>
  </cols>
  <sheetData>
    <row collapsed="false" customFormat="false" customHeight="false" hidden="true" ht="15" outlineLevel="0" r="1">
      <c r="C1" s="22" t="s">
        <v>360</v>
      </c>
      <c r="D1" s="22"/>
      <c r="E1" s="22"/>
      <c r="F1" s="22"/>
      <c r="G1" s="22"/>
      <c r="H1" s="23"/>
      <c r="I1" s="22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F1" s="23"/>
      <c r="AI1" s="23"/>
      <c r="AL1" s="23"/>
    </row>
    <row collapsed="false" customFormat="false" customHeight="false" hidden="true" ht="15" outlineLevel="0" r="2">
      <c r="C2" s="22" t="s">
        <v>361</v>
      </c>
      <c r="D2" s="22"/>
      <c r="E2" s="22"/>
      <c r="F2" s="22"/>
      <c r="G2" s="22"/>
      <c r="H2" s="23"/>
      <c r="I2" s="22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F2" s="23"/>
      <c r="AI2" s="23"/>
      <c r="AL2" s="23"/>
    </row>
    <row collapsed="false" customFormat="false" customHeight="true" hidden="true" ht="15" outlineLevel="0" r="3">
      <c r="C3" s="56" t="s">
        <v>362</v>
      </c>
      <c r="D3" s="29" t="s">
        <v>5</v>
      </c>
      <c r="E3" s="24" t="s">
        <v>363</v>
      </c>
      <c r="F3" s="24"/>
      <c r="G3" s="24"/>
      <c r="H3" s="25" t="s">
        <v>364</v>
      </c>
      <c r="I3" s="25"/>
      <c r="J3" s="25"/>
      <c r="K3" s="25"/>
      <c r="L3" s="25"/>
      <c r="M3" s="8" t="n">
        <f aca="false">COUNTA(M5:M324)</f>
        <v>44</v>
      </c>
      <c r="N3" s="8" t="n">
        <f aca="false">COUNTA(N5:N324)</f>
        <v>53</v>
      </c>
      <c r="O3" s="8" t="n">
        <f aca="false">COUNTA(O5:O324)</f>
        <v>50</v>
      </c>
      <c r="P3" s="8" t="n">
        <f aca="false">COUNTA(P5:P324)</f>
        <v>39</v>
      </c>
      <c r="Q3" s="8" t="n">
        <f aca="false">COUNTA(Q5:Q324)</f>
        <v>43</v>
      </c>
      <c r="R3" s="8" t="n">
        <f aca="false">COUNTA(R5:R324)</f>
        <v>64</v>
      </c>
      <c r="S3" s="8" t="n">
        <f aca="false">COUNTA(S5:S324)</f>
        <v>63</v>
      </c>
      <c r="T3" s="8" t="n">
        <f aca="false">COUNTA(T5:T324)</f>
        <v>55</v>
      </c>
      <c r="U3" s="8" t="n">
        <f aca="false">COUNTA(U5:U324)</f>
        <v>65</v>
      </c>
      <c r="V3" s="8" t="n">
        <f aca="false">COUNTA(V5:V324)</f>
        <v>53</v>
      </c>
      <c r="W3" s="18" t="n">
        <f aca="false">COUNTA(W5:W324)</f>
        <v>49</v>
      </c>
      <c r="X3" s="8" t="n">
        <f aca="false">COUNTA(X5:X324)</f>
        <v>52</v>
      </c>
    </row>
    <row collapsed="false" customFormat="false" customHeight="false" hidden="false" ht="73.1" outlineLevel="0" r="4">
      <c r="A4" s="17" t="s">
        <v>4</v>
      </c>
      <c r="B4" s="18" t="s">
        <v>365</v>
      </c>
      <c r="C4" s="56" t="s">
        <v>362</v>
      </c>
      <c r="D4" s="29" t="s">
        <v>5</v>
      </c>
      <c r="E4" s="24"/>
      <c r="F4" s="24" t="s">
        <v>366</v>
      </c>
      <c r="G4" s="24" t="s">
        <v>367</v>
      </c>
      <c r="H4" s="24" t="s">
        <v>368</v>
      </c>
      <c r="I4" s="24" t="s">
        <v>369</v>
      </c>
      <c r="J4" s="26" t="s">
        <v>370</v>
      </c>
      <c r="K4" s="26" t="s">
        <v>371</v>
      </c>
      <c r="L4" s="27" t="s">
        <v>372</v>
      </c>
      <c r="M4" s="28" t="s">
        <v>684</v>
      </c>
      <c r="N4" s="28" t="s">
        <v>685</v>
      </c>
      <c r="O4" s="28" t="s">
        <v>686</v>
      </c>
      <c r="P4" s="28" t="s">
        <v>687</v>
      </c>
      <c r="Q4" s="28" t="s">
        <v>688</v>
      </c>
      <c r="R4" s="28" t="s">
        <v>689</v>
      </c>
      <c r="S4" s="28" t="s">
        <v>690</v>
      </c>
      <c r="T4" s="28" t="s">
        <v>691</v>
      </c>
      <c r="U4" s="28" t="s">
        <v>692</v>
      </c>
      <c r="V4" s="28" t="s">
        <v>693</v>
      </c>
      <c r="W4" s="28" t="s">
        <v>694</v>
      </c>
      <c r="X4" s="28" t="s">
        <v>695</v>
      </c>
      <c r="Y4" s="27" t="s">
        <v>696</v>
      </c>
      <c r="Z4" s="27" t="s">
        <v>697</v>
      </c>
      <c r="AA4" s="27" t="s">
        <v>698</v>
      </c>
      <c r="AB4" s="27" t="s">
        <v>699</v>
      </c>
      <c r="AC4" s="27" t="s">
        <v>700</v>
      </c>
      <c r="AD4" s="57" t="s">
        <v>701</v>
      </c>
      <c r="AE4" s="58" t="s">
        <v>702</v>
      </c>
      <c r="AF4" s="27" t="s">
        <v>703</v>
      </c>
      <c r="AG4" s="57" t="s">
        <v>704</v>
      </c>
      <c r="AH4" s="58" t="s">
        <v>705</v>
      </c>
      <c r="AI4" s="27" t="s">
        <v>706</v>
      </c>
      <c r="AJ4" s="57" t="s">
        <v>707</v>
      </c>
      <c r="AK4" s="58" t="s">
        <v>708</v>
      </c>
      <c r="AL4" s="27" t="s">
        <v>709</v>
      </c>
      <c r="AM4" s="57" t="s">
        <v>710</v>
      </c>
      <c r="AN4" s="58" t="s">
        <v>711</v>
      </c>
    </row>
    <row collapsed="false" customFormat="false" customHeight="false" hidden="false" ht="15" outlineLevel="0" r="5">
      <c r="A5" s="19" t="n">
        <f aca="false">VLOOKUP(B5,справочник!$B$2:$E$322,4,0)</f>
        <v>79</v>
      </c>
      <c r="B5" s="0" t="str">
        <f aca="false">CONCATENATE(C5,D5)</f>
        <v>84Абу Махади Мохаммед Ибрагим</v>
      </c>
      <c r="C5" s="24" t="n">
        <v>84</v>
      </c>
      <c r="D5" s="29" t="s">
        <v>55</v>
      </c>
      <c r="E5" s="24" t="s">
        <v>375</v>
      </c>
      <c r="F5" s="30" t="n">
        <v>40716</v>
      </c>
      <c r="G5" s="30" t="n">
        <v>40725</v>
      </c>
      <c r="H5" s="31" t="n">
        <f aca="false">INT(($H$325-G5)/30)</f>
        <v>54</v>
      </c>
      <c r="I5" s="24" t="n">
        <f aca="false">H5*1000</f>
        <v>54000</v>
      </c>
      <c r="J5" s="31" t="n">
        <f aca="false">49000+1000</f>
        <v>50000</v>
      </c>
      <c r="K5" s="31"/>
      <c r="L5" s="59" t="n">
        <f aca="false">I5-J5-K5</f>
        <v>4000</v>
      </c>
      <c r="M5" s="60"/>
      <c r="N5" s="60" t="n">
        <v>4000</v>
      </c>
      <c r="O5" s="60"/>
      <c r="P5" s="60" t="n">
        <v>2400</v>
      </c>
      <c r="Q5" s="60"/>
      <c r="R5" s="60"/>
      <c r="S5" s="60"/>
      <c r="T5" s="60"/>
      <c r="U5" s="60" t="n">
        <v>4800</v>
      </c>
      <c r="V5" s="60"/>
      <c r="W5" s="60"/>
      <c r="X5" s="60"/>
      <c r="Y5" s="59" t="n">
        <f aca="false">SUM(M5:X5)</f>
        <v>11200</v>
      </c>
      <c r="Z5" s="59" t="n">
        <v>12</v>
      </c>
      <c r="AA5" s="59" t="n">
        <f aca="false">Z5*800</f>
        <v>9600</v>
      </c>
      <c r="AB5" s="59" t="n">
        <f aca="false">L5+AA5-Y5</f>
        <v>2400</v>
      </c>
      <c r="AC5" s="60" t="n">
        <v>800</v>
      </c>
      <c r="AD5" s="61"/>
      <c r="AE5" s="62" t="n">
        <f aca="false">AB5+AC5-AD5</f>
        <v>3200</v>
      </c>
      <c r="AF5" s="60" t="n">
        <v>800</v>
      </c>
      <c r="AG5" s="61"/>
      <c r="AH5" s="62" t="n">
        <f aca="false">AE5+AF5-AG5</f>
        <v>4000</v>
      </c>
      <c r="AI5" s="60" t="n">
        <v>800</v>
      </c>
      <c r="AJ5" s="61" t="n">
        <v>4800</v>
      </c>
      <c r="AK5" s="62" t="n">
        <f aca="false">AH5+AI5-AJ5</f>
        <v>0</v>
      </c>
      <c r="AL5" s="60" t="n">
        <v>800</v>
      </c>
      <c r="AM5" s="61"/>
      <c r="AN5" s="62" t="n">
        <f aca="false">AK5+AL5-AM5</f>
        <v>800</v>
      </c>
    </row>
    <row collapsed="false" customFormat="false" customHeight="false" hidden="false" ht="15" outlineLevel="0" r="6">
      <c r="A6" s="19" t="n">
        <f aca="false">VLOOKUP(B6,справочник!$B$2:$E$322,4,0)</f>
        <v>35</v>
      </c>
      <c r="B6" s="0" t="e">
        <f aca="false">CONCATENATE(C6;D6)</f>
        <v>#VALUE!</v>
      </c>
      <c r="C6" s="24" t="n">
        <v>35</v>
      </c>
      <c r="D6" s="29" t="s">
        <v>115</v>
      </c>
      <c r="E6" s="24" t="s">
        <v>376</v>
      </c>
      <c r="F6" s="30" t="n">
        <v>40970</v>
      </c>
      <c r="G6" s="30" t="n">
        <v>40969</v>
      </c>
      <c r="H6" s="31" t="n">
        <f aca="false">INT(($H$325-G6)/30)</f>
        <v>46</v>
      </c>
      <c r="I6" s="24" t="n">
        <f aca="false">H6*1000</f>
        <v>46000</v>
      </c>
      <c r="J6" s="31" t="n">
        <v>30000</v>
      </c>
      <c r="K6" s="31"/>
      <c r="L6" s="59" t="n">
        <f aca="false">I6-J6-K6</f>
        <v>16000</v>
      </c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59" t="n">
        <f aca="false">SUM(M6:X6)</f>
        <v>0</v>
      </c>
      <c r="Z6" s="59" t="n">
        <v>12</v>
      </c>
      <c r="AA6" s="59" t="n">
        <f aca="false">Z6*800</f>
        <v>9600</v>
      </c>
      <c r="AB6" s="59" t="n">
        <f aca="false">L6+AA6-Y6</f>
        <v>25600</v>
      </c>
      <c r="AC6" s="60" t="n">
        <v>800</v>
      </c>
      <c r="AD6" s="61"/>
      <c r="AE6" s="62" t="n">
        <f aca="false">AB6+AC6-AD6</f>
        <v>26400</v>
      </c>
      <c r="AF6" s="60" t="n">
        <v>800</v>
      </c>
      <c r="AG6" s="61"/>
      <c r="AH6" s="62" t="n">
        <f aca="false">AE6+AF6-AG6</f>
        <v>27200</v>
      </c>
      <c r="AI6" s="60" t="n">
        <v>800</v>
      </c>
      <c r="AJ6" s="61"/>
      <c r="AK6" s="62" t="n">
        <f aca="false">AH6+AI6-AJ6</f>
        <v>28000</v>
      </c>
      <c r="AL6" s="60" t="n">
        <v>800</v>
      </c>
      <c r="AM6" s="61"/>
      <c r="AN6" s="62" t="n">
        <f aca="false">AK6+AL6-AM6</f>
        <v>28800</v>
      </c>
    </row>
    <row collapsed="false" customFormat="false" customHeight="false" hidden="false" ht="15" outlineLevel="0" r="7">
      <c r="A7" s="19" t="n">
        <f aca="false">VLOOKUP(B7,справочник!$B$2:$E$322,4,0)</f>
        <v>260</v>
      </c>
      <c r="B7" s="0" t="e">
        <f aca="false">CONCATENATE(C7;D7)</f>
        <v>#VALUE!</v>
      </c>
      <c r="C7" s="24" t="n">
        <v>273</v>
      </c>
      <c r="D7" s="29" t="s">
        <v>182</v>
      </c>
      <c r="E7" s="24" t="s">
        <v>377</v>
      </c>
      <c r="F7" s="30" t="n">
        <v>41540</v>
      </c>
      <c r="G7" s="30" t="n">
        <v>41548</v>
      </c>
      <c r="H7" s="31" t="n">
        <f aca="false">INT(($H$325-G7)/30)</f>
        <v>27</v>
      </c>
      <c r="I7" s="24" t="n">
        <f aca="false">H7*1000</f>
        <v>27000</v>
      </c>
      <c r="J7" s="31" t="n">
        <v>19000</v>
      </c>
      <c r="K7" s="31"/>
      <c r="L7" s="59" t="n">
        <f aca="false">I7-J7-K7</f>
        <v>8000</v>
      </c>
      <c r="M7" s="60"/>
      <c r="N7" s="60" t="n">
        <v>2000</v>
      </c>
      <c r="O7" s="60"/>
      <c r="P7" s="60"/>
      <c r="Q7" s="60" t="n">
        <v>1000</v>
      </c>
      <c r="R7" s="60" t="n">
        <v>2000</v>
      </c>
      <c r="S7" s="60" t="n">
        <v>2000</v>
      </c>
      <c r="T7" s="0" t="n">
        <v>3000</v>
      </c>
      <c r="U7" s="0" t="n">
        <v>2000</v>
      </c>
      <c r="V7" s="60" t="n">
        <v>2000</v>
      </c>
      <c r="W7" s="60" t="n">
        <v>2000</v>
      </c>
      <c r="X7" s="60" t="n">
        <v>2000</v>
      </c>
      <c r="Y7" s="59" t="n">
        <f aca="false">SUM(M7:X7)</f>
        <v>18000</v>
      </c>
      <c r="Z7" s="59" t="n">
        <v>12</v>
      </c>
      <c r="AA7" s="59" t="n">
        <f aca="false">Z7*800</f>
        <v>9600</v>
      </c>
      <c r="AB7" s="59" t="n">
        <f aca="false">L7+AA7-Y7</f>
        <v>-400</v>
      </c>
      <c r="AC7" s="60" t="n">
        <v>800</v>
      </c>
      <c r="AD7" s="61"/>
      <c r="AE7" s="62" t="n">
        <f aca="false">AB7+AC7-AD7</f>
        <v>400</v>
      </c>
      <c r="AF7" s="60" t="n">
        <v>800</v>
      </c>
      <c r="AG7" s="61"/>
      <c r="AH7" s="62" t="n">
        <f aca="false">AE7+AF7-AG7</f>
        <v>1200</v>
      </c>
      <c r="AI7" s="60" t="n">
        <v>800</v>
      </c>
      <c r="AJ7" s="61"/>
      <c r="AK7" s="62" t="n">
        <f aca="false">AH7+AI7-AJ7</f>
        <v>2000</v>
      </c>
      <c r="AL7" s="60" t="n">
        <v>800</v>
      </c>
      <c r="AM7" s="61" t="n">
        <v>2000</v>
      </c>
      <c r="AN7" s="62" t="n">
        <f aca="false">AK7+AL7-AM7</f>
        <v>800</v>
      </c>
    </row>
    <row collapsed="false" customFormat="false" customHeight="false" hidden="false" ht="15" outlineLevel="0" r="8">
      <c r="A8" s="19" t="n">
        <f aca="false">VLOOKUP(B8,справочник!$B$2:$E$322,4,0)</f>
        <v>203</v>
      </c>
      <c r="B8" s="0" t="e">
        <f aca="false">CONCATENATE(C8;D8)</f>
        <v>#VALUE!</v>
      </c>
      <c r="C8" s="24" t="n">
        <v>213</v>
      </c>
      <c r="D8" s="29" t="s">
        <v>300</v>
      </c>
      <c r="E8" s="24" t="s">
        <v>378</v>
      </c>
      <c r="F8" s="30" t="n">
        <v>41520</v>
      </c>
      <c r="G8" s="30" t="n">
        <v>41548</v>
      </c>
      <c r="H8" s="31" t="n">
        <f aca="false">INT(($H$325-G8)/30)</f>
        <v>27</v>
      </c>
      <c r="I8" s="24" t="n">
        <f aca="false">H8*1000</f>
        <v>27000</v>
      </c>
      <c r="J8" s="31" t="n">
        <v>26000</v>
      </c>
      <c r="K8" s="31"/>
      <c r="L8" s="59" t="n">
        <f aca="false">I8-J8-K8</f>
        <v>1000</v>
      </c>
      <c r="M8" s="60" t="n">
        <v>2600</v>
      </c>
      <c r="N8" s="60"/>
      <c r="O8" s="60"/>
      <c r="P8" s="60"/>
      <c r="Q8" s="60" t="n">
        <v>4200</v>
      </c>
      <c r="R8" s="60"/>
      <c r="S8" s="60" t="n">
        <v>3200</v>
      </c>
      <c r="T8" s="60"/>
      <c r="U8" s="60"/>
      <c r="V8" s="60"/>
      <c r="W8" s="60"/>
      <c r="X8" s="60"/>
      <c r="Y8" s="59" t="n">
        <f aca="false">SUM(M8:X8)</f>
        <v>10000</v>
      </c>
      <c r="Z8" s="59" t="n">
        <v>12</v>
      </c>
      <c r="AA8" s="59" t="n">
        <f aca="false">Z8*800</f>
        <v>9600</v>
      </c>
      <c r="AB8" s="59" t="n">
        <f aca="false">L8+AA8-Y8</f>
        <v>600</v>
      </c>
      <c r="AC8" s="60" t="n">
        <v>800</v>
      </c>
      <c r="AD8" s="61" t="n">
        <v>2400</v>
      </c>
      <c r="AE8" s="62" t="n">
        <f aca="false">AB8+AC8-AD8</f>
        <v>-1000</v>
      </c>
      <c r="AF8" s="60" t="n">
        <v>800</v>
      </c>
      <c r="AG8" s="61"/>
      <c r="AH8" s="62" t="n">
        <f aca="false">AE8+AF8-AG8</f>
        <v>-200</v>
      </c>
      <c r="AI8" s="60" t="n">
        <v>800</v>
      </c>
      <c r="AJ8" s="61"/>
      <c r="AK8" s="62" t="n">
        <f aca="false">AH8+AI8-AJ8</f>
        <v>600</v>
      </c>
      <c r="AL8" s="60" t="n">
        <v>800</v>
      </c>
      <c r="AM8" s="61" t="n">
        <v>1977.8</v>
      </c>
      <c r="AN8" s="62" t="n">
        <f aca="false">AK8+AL8-AM8</f>
        <v>-577.8</v>
      </c>
    </row>
    <row collapsed="false" customFormat="true" customHeight="false" hidden="false" ht="15" outlineLevel="0" r="9" s="18">
      <c r="A9" s="17" t="n">
        <f aca="false">VLOOKUP(B9,справочник!$B$2:$E$322,4,0)</f>
        <v>316</v>
      </c>
      <c r="B9" s="18" t="e">
        <f aca="false">CONCATENATE(C9;D9)</f>
        <v>#VALUE!</v>
      </c>
      <c r="C9" s="24" t="s">
        <v>379</v>
      </c>
      <c r="D9" s="29" t="s">
        <v>112</v>
      </c>
      <c r="E9" s="24" t="s">
        <v>380</v>
      </c>
      <c r="F9" s="30" t="n">
        <v>40893</v>
      </c>
      <c r="G9" s="30" t="n">
        <v>40878</v>
      </c>
      <c r="H9" s="31" t="n">
        <f aca="false">INT(($H$325-G9)/30)</f>
        <v>49</v>
      </c>
      <c r="I9" s="24" t="n">
        <f aca="false">H9*1000</f>
        <v>49000</v>
      </c>
      <c r="J9" s="31" t="n">
        <f aca="false">30000+1000+1000</f>
        <v>32000</v>
      </c>
      <c r="K9" s="31"/>
      <c r="L9" s="60" t="n">
        <f aca="false">I9-J9-K9</f>
        <v>17000</v>
      </c>
      <c r="M9" s="60" t="n">
        <v>800</v>
      </c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 t="n">
        <f aca="false">SUM(M9:X9)</f>
        <v>800</v>
      </c>
      <c r="Z9" s="60" t="n">
        <v>12</v>
      </c>
      <c r="AA9" s="60" t="n">
        <f aca="false">Z9*800</f>
        <v>9600</v>
      </c>
      <c r="AB9" s="60" t="n">
        <f aca="false">L9+AA9-Y9</f>
        <v>25800</v>
      </c>
      <c r="AC9" s="60" t="n">
        <v>800</v>
      </c>
      <c r="AD9" s="61"/>
      <c r="AE9" s="62" t="n">
        <f aca="false">AB9+AC9-AD9</f>
        <v>26600</v>
      </c>
      <c r="AF9" s="60" t="n">
        <v>800</v>
      </c>
      <c r="AG9" s="61"/>
      <c r="AH9" s="62" t="n">
        <f aca="false">AE9+AF9-AG9</f>
        <v>27400</v>
      </c>
      <c r="AI9" s="60" t="n">
        <v>800</v>
      </c>
      <c r="AJ9" s="61"/>
      <c r="AK9" s="62" t="n">
        <f aca="false">AH9+AI9-AJ9</f>
        <v>28200</v>
      </c>
      <c r="AL9" s="60" t="n">
        <v>800</v>
      </c>
      <c r="AM9" s="61"/>
      <c r="AN9" s="62" t="n">
        <f aca="false">AK9+AL9-AM9</f>
        <v>29000</v>
      </c>
    </row>
    <row collapsed="false" customFormat="false" customHeight="false" hidden="false" ht="15" outlineLevel="0" r="10">
      <c r="A10" s="19" t="n">
        <f aca="false">VLOOKUP(B10,справочник!$B$2:$E$322,4,0)</f>
        <v>232</v>
      </c>
      <c r="B10" s="0" t="e">
        <f aca="false">CONCATENATE(C10;D10)</f>
        <v>#VALUE!</v>
      </c>
      <c r="C10" s="24" t="n">
        <v>241</v>
      </c>
      <c r="D10" s="29" t="s">
        <v>76</v>
      </c>
      <c r="E10" s="24" t="s">
        <v>381</v>
      </c>
      <c r="F10" s="30" t="n">
        <v>41429</v>
      </c>
      <c r="G10" s="30" t="n">
        <v>41456</v>
      </c>
      <c r="H10" s="31" t="n">
        <f aca="false">INT(($H$325-G10)/30)</f>
        <v>30</v>
      </c>
      <c r="I10" s="24" t="n">
        <f aca="false">H10*1000</f>
        <v>30000</v>
      </c>
      <c r="J10" s="31" t="n">
        <v>6000</v>
      </c>
      <c r="K10" s="31"/>
      <c r="L10" s="59" t="n">
        <f aca="false">I10-J10-K10</f>
        <v>24000</v>
      </c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59" t="n">
        <f aca="false">SUM(M10:X10)</f>
        <v>0</v>
      </c>
      <c r="Z10" s="59" t="n">
        <v>12</v>
      </c>
      <c r="AA10" s="59" t="n">
        <f aca="false">Z10*800</f>
        <v>9600</v>
      </c>
      <c r="AB10" s="59" t="n">
        <f aca="false">L10+AA10-Y10</f>
        <v>33600</v>
      </c>
      <c r="AC10" s="60" t="n">
        <v>800</v>
      </c>
      <c r="AD10" s="61"/>
      <c r="AE10" s="62" t="n">
        <f aca="false">AB10+AC10-AD10</f>
        <v>34400</v>
      </c>
      <c r="AF10" s="60" t="n">
        <v>800</v>
      </c>
      <c r="AG10" s="61"/>
      <c r="AH10" s="62" t="n">
        <f aca="false">AE10+AF10-AG10</f>
        <v>35200</v>
      </c>
      <c r="AI10" s="60" t="n">
        <v>800</v>
      </c>
      <c r="AJ10" s="61"/>
      <c r="AK10" s="62" t="n">
        <f aca="false">AH10+AI10-AJ10</f>
        <v>36000</v>
      </c>
      <c r="AL10" s="60" t="n">
        <v>800</v>
      </c>
      <c r="AM10" s="61"/>
      <c r="AN10" s="62" t="n">
        <f aca="false">AK10+AL10-AM10</f>
        <v>36800</v>
      </c>
    </row>
    <row collapsed="false" customFormat="false" customHeight="false" hidden="false" ht="14.05" outlineLevel="0" r="11">
      <c r="A11" s="19" t="n">
        <f aca="false">VLOOKUP(B11,справочник!$B$2:$E$322,4,0)</f>
        <v>277</v>
      </c>
      <c r="B11" s="0" t="e">
        <f aca="false">CONCATENATE(C11;D11)</f>
        <v>#VALUE!</v>
      </c>
      <c r="C11" s="24" t="n">
        <v>290</v>
      </c>
      <c r="D11" s="29" t="s">
        <v>232</v>
      </c>
      <c r="E11" s="24"/>
      <c r="F11" s="30" t="n">
        <v>41827</v>
      </c>
      <c r="G11" s="30" t="n">
        <v>41821</v>
      </c>
      <c r="H11" s="31" t="n">
        <f aca="false">INT(($H$325-G11)/30)</f>
        <v>18</v>
      </c>
      <c r="I11" s="24" t="n">
        <f aca="false">H11*1000</f>
        <v>18000</v>
      </c>
      <c r="J11" s="31" t="n">
        <v>20000</v>
      </c>
      <c r="K11" s="31"/>
      <c r="L11" s="59" t="n">
        <f aca="false">I11-J11-K11</f>
        <v>-2000</v>
      </c>
      <c r="M11" s="60"/>
      <c r="N11" s="60"/>
      <c r="O11" s="60"/>
      <c r="P11" s="60"/>
      <c r="Q11" s="60"/>
      <c r="R11" s="60"/>
      <c r="S11" s="60" t="n">
        <v>1000</v>
      </c>
      <c r="T11" s="60"/>
      <c r="U11" s="0" t="n">
        <v>2000</v>
      </c>
      <c r="V11" s="60"/>
      <c r="W11" s="60"/>
      <c r="X11" s="60"/>
      <c r="Y11" s="59" t="n">
        <f aca="false">SUM(M11:X11)</f>
        <v>3000</v>
      </c>
      <c r="Z11" s="59" t="n">
        <v>12</v>
      </c>
      <c r="AA11" s="59" t="n">
        <f aca="false">Z11*800</f>
        <v>9600</v>
      </c>
      <c r="AB11" s="59" t="n">
        <f aca="false">L11+AA11-Y11</f>
        <v>4600</v>
      </c>
      <c r="AC11" s="60" t="n">
        <v>800</v>
      </c>
      <c r="AD11" s="61"/>
      <c r="AE11" s="62" t="n">
        <f aca="false">AB11+AC11-AD11</f>
        <v>5400</v>
      </c>
      <c r="AF11" s="60" t="n">
        <v>800</v>
      </c>
      <c r="AG11" s="61" t="n">
        <v>2000</v>
      </c>
      <c r="AH11" s="62" t="n">
        <f aca="false">AE11+AF11-AG11</f>
        <v>4200</v>
      </c>
      <c r="AI11" s="60" t="n">
        <v>800</v>
      </c>
      <c r="AJ11" s="61" t="n">
        <v>1000</v>
      </c>
      <c r="AK11" s="62" t="n">
        <f aca="false">AH11+AI11-AJ11</f>
        <v>4000</v>
      </c>
      <c r="AL11" s="60" t="n">
        <v>800</v>
      </c>
      <c r="AM11" s="61" t="n">
        <v>1000</v>
      </c>
      <c r="AN11" s="62" t="n">
        <f aca="false">AK11+AL11-AM11</f>
        <v>3800</v>
      </c>
    </row>
    <row collapsed="false" customFormat="false" customHeight="false" hidden="false" ht="15" outlineLevel="0" r="12">
      <c r="A12" s="19" t="n">
        <f aca="false">VLOOKUP(B12,справочник!$B$2:$E$322,4,0)</f>
        <v>221</v>
      </c>
      <c r="B12" s="0" t="e">
        <f aca="false">CONCATENATE(C12;D12)</f>
        <v>#VALUE!</v>
      </c>
      <c r="C12" s="24" t="n">
        <v>230</v>
      </c>
      <c r="D12" s="29" t="s">
        <v>194</v>
      </c>
      <c r="E12" s="24"/>
      <c r="F12" s="30" t="n">
        <v>41912</v>
      </c>
      <c r="G12" s="30" t="n">
        <v>41913</v>
      </c>
      <c r="H12" s="31" t="n">
        <f aca="false">INT(($H$325-G12)/30)</f>
        <v>15</v>
      </c>
      <c r="I12" s="24" t="n">
        <f aca="false">H12*1000</f>
        <v>15000</v>
      </c>
      <c r="J12" s="31" t="n">
        <v>1000</v>
      </c>
      <c r="K12" s="31"/>
      <c r="L12" s="59" t="n">
        <f aca="false">I12-J12-K12</f>
        <v>14000</v>
      </c>
      <c r="M12" s="60" t="n">
        <v>12000</v>
      </c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59" t="n">
        <f aca="false">SUM(M12:X12)</f>
        <v>12000</v>
      </c>
      <c r="Z12" s="59" t="n">
        <v>12</v>
      </c>
      <c r="AA12" s="59" t="n">
        <f aca="false">Z12*800</f>
        <v>9600</v>
      </c>
      <c r="AB12" s="59" t="n">
        <f aca="false">L12+AA12-Y12</f>
        <v>11600</v>
      </c>
      <c r="AC12" s="60" t="n">
        <v>800</v>
      </c>
      <c r="AD12" s="61"/>
      <c r="AE12" s="62" t="n">
        <f aca="false">AB12+AC12-AD12</f>
        <v>12400</v>
      </c>
      <c r="AF12" s="60" t="n">
        <v>800</v>
      </c>
      <c r="AG12" s="61" t="n">
        <v>12000</v>
      </c>
      <c r="AH12" s="62" t="n">
        <f aca="false">AE12+AF12-AG12</f>
        <v>1200</v>
      </c>
      <c r="AI12" s="60" t="n">
        <v>800</v>
      </c>
      <c r="AJ12" s="61"/>
      <c r="AK12" s="62" t="n">
        <f aca="false">AH12+AI12-AJ12</f>
        <v>2000</v>
      </c>
      <c r="AL12" s="60" t="n">
        <v>800</v>
      </c>
      <c r="AM12" s="61"/>
      <c r="AN12" s="62" t="n">
        <f aca="false">AK12+AL12-AM12</f>
        <v>2800</v>
      </c>
    </row>
    <row collapsed="false" customFormat="false" customHeight="false" hidden="false" ht="15" outlineLevel="0" r="13">
      <c r="A13" s="19" t="n">
        <f aca="false">VLOOKUP(B13,справочник!$B$2:$E$322,4,0)</f>
        <v>259</v>
      </c>
      <c r="B13" s="0" t="e">
        <f aca="false">CONCATENATE(C13;D13)</f>
        <v>#VALUE!</v>
      </c>
      <c r="C13" s="24" t="n">
        <v>272</v>
      </c>
      <c r="D13" s="29" t="s">
        <v>178</v>
      </c>
      <c r="E13" s="24" t="s">
        <v>382</v>
      </c>
      <c r="F13" s="30" t="n">
        <v>41457</v>
      </c>
      <c r="G13" s="30" t="n">
        <v>41487</v>
      </c>
      <c r="H13" s="31" t="n">
        <f aca="false">INT(($H$325-G13)/30)</f>
        <v>29</v>
      </c>
      <c r="I13" s="24" t="n">
        <f aca="false">H13*1000</f>
        <v>29000</v>
      </c>
      <c r="J13" s="31" t="n">
        <v>25000</v>
      </c>
      <c r="K13" s="31"/>
      <c r="L13" s="59" t="n">
        <f aca="false">I13-J13-K13</f>
        <v>4000</v>
      </c>
      <c r="M13" s="60"/>
      <c r="N13" s="60"/>
      <c r="O13" s="60"/>
      <c r="P13" s="60"/>
      <c r="Q13" s="60"/>
      <c r="R13" s="60"/>
      <c r="S13" s="60" t="n">
        <v>3000</v>
      </c>
      <c r="T13" s="60"/>
      <c r="U13" s="0" t="n">
        <v>5000</v>
      </c>
      <c r="V13" s="60" t="n">
        <v>2400</v>
      </c>
      <c r="W13" s="60"/>
      <c r="X13" s="60"/>
      <c r="Y13" s="59" t="n">
        <f aca="false">SUM(M13:X13)</f>
        <v>10400</v>
      </c>
      <c r="Z13" s="59" t="n">
        <v>12</v>
      </c>
      <c r="AA13" s="59" t="n">
        <f aca="false">Z13*800</f>
        <v>9600</v>
      </c>
      <c r="AB13" s="59" t="n">
        <f aca="false">L13+AA13-Y13</f>
        <v>3200</v>
      </c>
      <c r="AC13" s="60" t="n">
        <v>800</v>
      </c>
      <c r="AD13" s="61"/>
      <c r="AE13" s="62" t="n">
        <f aca="false">AB13+AC13-AD13</f>
        <v>4000</v>
      </c>
      <c r="AF13" s="60" t="n">
        <v>800</v>
      </c>
      <c r="AG13" s="61" t="n">
        <v>2400</v>
      </c>
      <c r="AH13" s="62" t="n">
        <f aca="false">AE13+AF13-AG13</f>
        <v>2400</v>
      </c>
      <c r="AI13" s="60" t="n">
        <v>800</v>
      </c>
      <c r="AJ13" s="61"/>
      <c r="AK13" s="62" t="n">
        <f aca="false">AH13+AI13-AJ13</f>
        <v>3200</v>
      </c>
      <c r="AL13" s="60" t="n">
        <v>800</v>
      </c>
      <c r="AM13" s="61"/>
      <c r="AN13" s="62" t="n">
        <f aca="false">AK13+AL13-AM13</f>
        <v>4000</v>
      </c>
    </row>
    <row collapsed="false" customFormat="false" customHeight="false" hidden="false" ht="15" outlineLevel="0" r="14">
      <c r="A14" s="19" t="n">
        <f aca="false">VLOOKUP(B14,справочник!$B$2:$E$322,4,0)</f>
        <v>109</v>
      </c>
      <c r="B14" s="0" t="e">
        <f aca="false">CONCATENATE(C14;D14)</f>
        <v>#VALUE!</v>
      </c>
      <c r="C14" s="24" t="n">
        <v>114</v>
      </c>
      <c r="D14" s="29" t="s">
        <v>102</v>
      </c>
      <c r="E14" s="24" t="s">
        <v>383</v>
      </c>
      <c r="F14" s="30" t="n">
        <v>41414</v>
      </c>
      <c r="G14" s="30" t="n">
        <v>41426</v>
      </c>
      <c r="H14" s="31" t="n">
        <f aca="false">INT(($H$325-G14)/30)</f>
        <v>31</v>
      </c>
      <c r="I14" s="24" t="n">
        <f aca="false">H14*1000</f>
        <v>31000</v>
      </c>
      <c r="J14" s="31" t="n">
        <v>10000</v>
      </c>
      <c r="K14" s="31"/>
      <c r="L14" s="59" t="n">
        <f aca="false">I14-J14-K14</f>
        <v>21000</v>
      </c>
      <c r="M14" s="60"/>
      <c r="N14" s="60" t="n">
        <v>1000</v>
      </c>
      <c r="O14" s="60" t="n">
        <v>1000</v>
      </c>
      <c r="P14" s="60"/>
      <c r="Q14" s="60"/>
      <c r="R14" s="60"/>
      <c r="S14" s="60"/>
      <c r="T14" s="60"/>
      <c r="U14" s="60"/>
      <c r="V14" s="60"/>
      <c r="W14" s="60"/>
      <c r="X14" s="60"/>
      <c r="Y14" s="59" t="n">
        <f aca="false">SUM(M14:X14)</f>
        <v>2000</v>
      </c>
      <c r="Z14" s="59" t="n">
        <v>12</v>
      </c>
      <c r="AA14" s="59" t="n">
        <f aca="false">Z14*800</f>
        <v>9600</v>
      </c>
      <c r="AB14" s="59" t="n">
        <f aca="false">L14+AA14-Y14</f>
        <v>28600</v>
      </c>
      <c r="AC14" s="60" t="n">
        <v>800</v>
      </c>
      <c r="AD14" s="61"/>
      <c r="AE14" s="62" t="n">
        <f aca="false">AB14+AC14-AD14</f>
        <v>29400</v>
      </c>
      <c r="AF14" s="60" t="n">
        <v>800</v>
      </c>
      <c r="AG14" s="61"/>
      <c r="AH14" s="62" t="n">
        <f aca="false">AE14+AF14-AG14</f>
        <v>30200</v>
      </c>
      <c r="AI14" s="60" t="n">
        <v>800</v>
      </c>
      <c r="AJ14" s="61"/>
      <c r="AK14" s="62" t="n">
        <f aca="false">AH14+AI14-AJ14</f>
        <v>31000</v>
      </c>
      <c r="AL14" s="60" t="n">
        <v>800</v>
      </c>
      <c r="AM14" s="61"/>
      <c r="AN14" s="62" t="n">
        <f aca="false">AK14+AL14-AM14</f>
        <v>31800</v>
      </c>
    </row>
    <row collapsed="false" customFormat="false" customHeight="false" hidden="false" ht="15" outlineLevel="0" r="15">
      <c r="A15" s="19" t="n">
        <f aca="false">VLOOKUP(B15,справочник!$B$2:$E$322,4,0)</f>
        <v>130</v>
      </c>
      <c r="B15" s="0" t="e">
        <f aca="false">CONCATENATE(C15;D15)</f>
        <v>#VALUE!</v>
      </c>
      <c r="C15" s="24" t="n">
        <v>137</v>
      </c>
      <c r="D15" s="29" t="s">
        <v>36</v>
      </c>
      <c r="E15" s="24" t="s">
        <v>384</v>
      </c>
      <c r="F15" s="30" t="n">
        <v>40841</v>
      </c>
      <c r="G15" s="30" t="n">
        <v>40848</v>
      </c>
      <c r="H15" s="31" t="n">
        <f aca="false">INT(($H$325-G15)/30)</f>
        <v>50</v>
      </c>
      <c r="I15" s="24" t="n">
        <f aca="false">H15*1000</f>
        <v>50000</v>
      </c>
      <c r="J15" s="31" t="n">
        <f aca="false">44000+1000</f>
        <v>45000</v>
      </c>
      <c r="K15" s="31" t="n">
        <v>5000</v>
      </c>
      <c r="L15" s="59" t="n">
        <f aca="false">I15-J15-K15</f>
        <v>0</v>
      </c>
      <c r="M15" s="60"/>
      <c r="N15" s="60" t="n">
        <v>800</v>
      </c>
      <c r="O15" s="60"/>
      <c r="P15" s="60"/>
      <c r="Q15" s="60"/>
      <c r="R15" s="60" t="n">
        <v>3200</v>
      </c>
      <c r="S15" s="60"/>
      <c r="T15" s="60"/>
      <c r="U15" s="60" t="n">
        <v>8000</v>
      </c>
      <c r="V15" s="60"/>
      <c r="W15" s="60"/>
      <c r="X15" s="60"/>
      <c r="Y15" s="59" t="n">
        <f aca="false">SUM(M15:X15)</f>
        <v>12000</v>
      </c>
      <c r="Z15" s="59" t="n">
        <v>12</v>
      </c>
      <c r="AA15" s="59" t="n">
        <f aca="false">Z15*800</f>
        <v>9600</v>
      </c>
      <c r="AB15" s="59" t="n">
        <f aca="false">L15+AA15-Y15</f>
        <v>-2400</v>
      </c>
      <c r="AC15" s="60" t="n">
        <v>800</v>
      </c>
      <c r="AD15" s="61"/>
      <c r="AE15" s="62" t="n">
        <f aca="false">AB15+AC15-AD15</f>
        <v>-1600</v>
      </c>
      <c r="AF15" s="60" t="n">
        <v>800</v>
      </c>
      <c r="AG15" s="61"/>
      <c r="AH15" s="62" t="n">
        <f aca="false">AE15+AF15-AG15</f>
        <v>-800</v>
      </c>
      <c r="AI15" s="60" t="n">
        <v>800</v>
      </c>
      <c r="AJ15" s="61"/>
      <c r="AK15" s="62" t="n">
        <f aca="false">AH15+AI15-AJ15</f>
        <v>0</v>
      </c>
      <c r="AL15" s="60" t="n">
        <v>800</v>
      </c>
      <c r="AM15" s="61" t="n">
        <v>800</v>
      </c>
      <c r="AN15" s="62" t="n">
        <f aca="false">AK15+AL15-AM15</f>
        <v>0</v>
      </c>
    </row>
    <row collapsed="false" customFormat="true" customHeight="false" hidden="false" ht="15" outlineLevel="0" r="16" s="64">
      <c r="A16" s="63" t="n">
        <f aca="false">VLOOKUP(B16,справочник!$B$2:$E$322,4,0)</f>
        <v>7</v>
      </c>
      <c r="B16" s="64" t="e">
        <f aca="false">CONCATENATE(C16;D16)</f>
        <v>#VALUE!</v>
      </c>
      <c r="C16" s="36" t="n">
        <v>7</v>
      </c>
      <c r="D16" s="65" t="s">
        <v>46</v>
      </c>
      <c r="E16" s="36" t="s">
        <v>385</v>
      </c>
      <c r="F16" s="34" t="n">
        <v>41467</v>
      </c>
      <c r="G16" s="34" t="n">
        <v>41518</v>
      </c>
      <c r="H16" s="35" t="n">
        <f aca="false">INT(($H$325-G16)/30)</f>
        <v>28</v>
      </c>
      <c r="I16" s="36" t="n">
        <f aca="false">H16*1000</f>
        <v>28000</v>
      </c>
      <c r="J16" s="35"/>
      <c r="K16" s="35"/>
      <c r="L16" s="66" t="n">
        <f aca="false">I16-J16-K16</f>
        <v>28000</v>
      </c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 t="n">
        <f aca="false">SUM(M16:X16)</f>
        <v>0</v>
      </c>
      <c r="Z16" s="66" t="n">
        <v>12</v>
      </c>
      <c r="AA16" s="66" t="n">
        <f aca="false">Z16*800</f>
        <v>9600</v>
      </c>
      <c r="AB16" s="66" t="n">
        <f aca="false">L16+AA16-Y16</f>
        <v>37600</v>
      </c>
      <c r="AC16" s="66" t="n">
        <v>800</v>
      </c>
      <c r="AD16" s="67"/>
      <c r="AE16" s="68" t="n">
        <f aca="false">SUM(AB16:AB17)+SUM(AC16:AC17)-SUM(AD16:AD17)</f>
        <v>49400</v>
      </c>
      <c r="AF16" s="66" t="n">
        <v>800</v>
      </c>
      <c r="AG16" s="67"/>
      <c r="AH16" s="68" t="n">
        <f aca="false">SUM(AE16:AE17)+SUM(AF16:AF17)-SUM(AG16:AG17)</f>
        <v>50200</v>
      </c>
      <c r="AI16" s="66" t="n">
        <v>800</v>
      </c>
      <c r="AJ16" s="67"/>
      <c r="AK16" s="68" t="n">
        <f aca="false">SUM(AH16:AH17)+SUM(AI16:AI17)-SUM(AJ16:AJ17)</f>
        <v>51000</v>
      </c>
      <c r="AL16" s="66" t="n">
        <v>800</v>
      </c>
      <c r="AM16" s="67"/>
      <c r="AN16" s="68" t="n">
        <f aca="false">SUM(AK16:AK17)+SUM(AL16:AL17)-SUM(AM16:AM17)</f>
        <v>51800</v>
      </c>
    </row>
    <row collapsed="false" customFormat="false" customHeight="false" hidden="false" ht="15" outlineLevel="0" r="17">
      <c r="A17" s="63" t="n">
        <f aca="false">VLOOKUP(B17,справочник!$B$2:$E$322,4,0)</f>
        <v>7</v>
      </c>
      <c r="B17" s="64" t="e">
        <f aca="false">CONCATENATE(C17;D17)</f>
        <v>#VALUE!</v>
      </c>
      <c r="C17" s="36" t="n">
        <v>14</v>
      </c>
      <c r="D17" s="65" t="s">
        <v>46</v>
      </c>
      <c r="E17" s="36" t="s">
        <v>386</v>
      </c>
      <c r="F17" s="34" t="n">
        <v>41204</v>
      </c>
      <c r="G17" s="34" t="n">
        <v>41214</v>
      </c>
      <c r="H17" s="35" t="n">
        <f aca="false">INT(($H$325-G17)/30)</f>
        <v>38</v>
      </c>
      <c r="I17" s="36" t="n">
        <f aca="false">H17*1000</f>
        <v>38000</v>
      </c>
      <c r="J17" s="35" t="n">
        <v>27000</v>
      </c>
      <c r="K17" s="35"/>
      <c r="L17" s="66" t="n">
        <f aca="false">I17-J17-K17</f>
        <v>11000</v>
      </c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 t="n">
        <f aca="false">SUM(M17:X17)</f>
        <v>0</v>
      </c>
      <c r="Z17" s="66" t="n">
        <v>0</v>
      </c>
      <c r="AA17" s="66" t="n">
        <f aca="false">Z17*800</f>
        <v>0</v>
      </c>
      <c r="AB17" s="66" t="n">
        <f aca="false">L17+AA17-Y17</f>
        <v>11000</v>
      </c>
      <c r="AC17" s="66" t="n">
        <v>0</v>
      </c>
      <c r="AD17" s="67"/>
      <c r="AE17" s="68"/>
      <c r="AF17" s="66" t="n">
        <v>0</v>
      </c>
      <c r="AG17" s="67"/>
      <c r="AH17" s="68"/>
      <c r="AI17" s="66" t="n">
        <v>0</v>
      </c>
      <c r="AJ17" s="67"/>
      <c r="AK17" s="68"/>
      <c r="AL17" s="66" t="n">
        <v>0</v>
      </c>
      <c r="AM17" s="67"/>
      <c r="AN17" s="68"/>
    </row>
    <row collapsed="false" customFormat="false" customHeight="false" hidden="false" ht="15" outlineLevel="0" r="18">
      <c r="A18" s="19" t="n">
        <f aca="false">VLOOKUP(B18,справочник!$B$2:$E$322,4,0)</f>
        <v>193</v>
      </c>
      <c r="B18" s="0" t="e">
        <f aca="false">CONCATENATE(C18;D18)</f>
        <v>#VALUE!</v>
      </c>
      <c r="C18" s="24" t="n">
        <v>201</v>
      </c>
      <c r="D18" s="29" t="s">
        <v>212</v>
      </c>
      <c r="E18" s="24" t="s">
        <v>387</v>
      </c>
      <c r="F18" s="24"/>
      <c r="G18" s="24"/>
      <c r="H18" s="31"/>
      <c r="I18" s="24" t="n">
        <f aca="false">H18*1000</f>
        <v>0</v>
      </c>
      <c r="J18" s="31"/>
      <c r="K18" s="31"/>
      <c r="L18" s="59" t="n">
        <f aca="false">I18-J18-K18</f>
        <v>0</v>
      </c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59" t="n">
        <f aca="false">SUM(M18:X18)</f>
        <v>0</v>
      </c>
      <c r="Z18" s="59" t="n">
        <v>12</v>
      </c>
      <c r="AA18" s="59" t="n">
        <f aca="false">Z18*800</f>
        <v>9600</v>
      </c>
      <c r="AB18" s="59" t="n">
        <f aca="false">L18+AA18-Y18</f>
        <v>9600</v>
      </c>
      <c r="AC18" s="60" t="n">
        <v>800</v>
      </c>
      <c r="AD18" s="61"/>
      <c r="AE18" s="62" t="n">
        <f aca="false">AB18+AC18-AD18</f>
        <v>10400</v>
      </c>
      <c r="AF18" s="60" t="n">
        <v>800</v>
      </c>
      <c r="AG18" s="61"/>
      <c r="AH18" s="62" t="n">
        <f aca="false">AE18+AF18-AG18</f>
        <v>11200</v>
      </c>
      <c r="AI18" s="60" t="n">
        <v>800</v>
      </c>
      <c r="AJ18" s="61"/>
      <c r="AK18" s="62" t="n">
        <f aca="false">AH18+AI18-AJ18</f>
        <v>12000</v>
      </c>
      <c r="AL18" s="60" t="n">
        <v>800</v>
      </c>
      <c r="AM18" s="61"/>
      <c r="AN18" s="62" t="n">
        <f aca="false">AK18+AL18-AM18</f>
        <v>12800</v>
      </c>
    </row>
    <row collapsed="false" customFormat="false" customHeight="false" hidden="false" ht="15" outlineLevel="0" r="19">
      <c r="A19" s="19" t="n">
        <f aca="false">VLOOKUP(B19,справочник!$B$2:$E$322,4,0)</f>
        <v>178</v>
      </c>
      <c r="B19" s="0" t="e">
        <f aca="false">CONCATENATE(C19;D19)</f>
        <v>#VALUE!</v>
      </c>
      <c r="C19" s="24" t="n">
        <v>186</v>
      </c>
      <c r="D19" s="29" t="s">
        <v>128</v>
      </c>
      <c r="E19" s="24" t="s">
        <v>388</v>
      </c>
      <c r="F19" s="30" t="n">
        <v>41898</v>
      </c>
      <c r="G19" s="30" t="n">
        <v>41944</v>
      </c>
      <c r="H19" s="31" t="n">
        <f aca="false">INT(($H$325-G19)/30)</f>
        <v>14</v>
      </c>
      <c r="I19" s="24" t="n">
        <f aca="false">H19*1000</f>
        <v>14000</v>
      </c>
      <c r="J19" s="31" t="n">
        <v>1000</v>
      </c>
      <c r="K19" s="31"/>
      <c r="L19" s="59" t="n">
        <f aca="false">I19-J19-K19</f>
        <v>13000</v>
      </c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18" t="n">
        <v>10000</v>
      </c>
      <c r="X19" s="60"/>
      <c r="Y19" s="59" t="n">
        <f aca="false">SUM(M19:X19)</f>
        <v>10000</v>
      </c>
      <c r="Z19" s="59" t="n">
        <v>12</v>
      </c>
      <c r="AA19" s="59" t="n">
        <f aca="false">Z19*800</f>
        <v>9600</v>
      </c>
      <c r="AB19" s="59" t="n">
        <f aca="false">L19+AA19-Y19</f>
        <v>12600</v>
      </c>
      <c r="AC19" s="60" t="n">
        <v>800</v>
      </c>
      <c r="AD19" s="61" t="n">
        <v>13000</v>
      </c>
      <c r="AE19" s="62" t="n">
        <f aca="false">AB19+AC19-AD19</f>
        <v>400</v>
      </c>
      <c r="AF19" s="60" t="n">
        <v>800</v>
      </c>
      <c r="AG19" s="61"/>
      <c r="AH19" s="62" t="n">
        <f aca="false">AE19+AF19-AG19</f>
        <v>1200</v>
      </c>
      <c r="AI19" s="60" t="n">
        <v>800</v>
      </c>
      <c r="AJ19" s="61"/>
      <c r="AK19" s="62" t="n">
        <f aca="false">AH19+AI19-AJ19</f>
        <v>2000</v>
      </c>
      <c r="AL19" s="60" t="n">
        <v>800</v>
      </c>
      <c r="AM19" s="61"/>
      <c r="AN19" s="62" t="n">
        <f aca="false">AK19+AL19-AM19</f>
        <v>2800</v>
      </c>
    </row>
    <row collapsed="false" customFormat="false" customHeight="false" hidden="false" ht="15" outlineLevel="0" r="20">
      <c r="A20" s="19" t="n">
        <f aca="false">VLOOKUP(B20,справочник!$B$2:$E$322,4,0)</f>
        <v>119</v>
      </c>
      <c r="B20" s="0" t="e">
        <f aca="false">CONCATENATE(C20;D20)</f>
        <v>#VALUE!</v>
      </c>
      <c r="C20" s="24" t="n">
        <v>124</v>
      </c>
      <c r="D20" s="29" t="s">
        <v>110</v>
      </c>
      <c r="E20" s="24" t="s">
        <v>389</v>
      </c>
      <c r="F20" s="30" t="n">
        <v>41401</v>
      </c>
      <c r="G20" s="30" t="n">
        <v>41426</v>
      </c>
      <c r="H20" s="31" t="n">
        <f aca="false">INT(($H$325-G20)/30)</f>
        <v>31</v>
      </c>
      <c r="I20" s="24" t="n">
        <f aca="false">H20*1000</f>
        <v>31000</v>
      </c>
      <c r="J20" s="31" t="n">
        <v>11000</v>
      </c>
      <c r="K20" s="31"/>
      <c r="L20" s="59" t="n">
        <f aca="false">I20-J20-K20</f>
        <v>20000</v>
      </c>
      <c r="M20" s="60"/>
      <c r="N20" s="60"/>
      <c r="O20" s="60" t="n">
        <v>3000</v>
      </c>
      <c r="P20" s="60"/>
      <c r="Q20" s="60"/>
      <c r="R20" s="60"/>
      <c r="S20" s="60"/>
      <c r="T20" s="60"/>
      <c r="U20" s="60"/>
      <c r="V20" s="60"/>
      <c r="W20" s="60"/>
      <c r="X20" s="60"/>
      <c r="Y20" s="59" t="n">
        <f aca="false">SUM(M20:X20)</f>
        <v>3000</v>
      </c>
      <c r="Z20" s="59" t="n">
        <v>12</v>
      </c>
      <c r="AA20" s="59" t="n">
        <f aca="false">Z20*800</f>
        <v>9600</v>
      </c>
      <c r="AB20" s="59" t="n">
        <f aca="false">L20+AA20-Y20</f>
        <v>26600</v>
      </c>
      <c r="AC20" s="60" t="n">
        <v>800</v>
      </c>
      <c r="AD20" s="61"/>
      <c r="AE20" s="62" t="n">
        <f aca="false">AB20+AC20-AD20</f>
        <v>27400</v>
      </c>
      <c r="AF20" s="60" t="n">
        <v>800</v>
      </c>
      <c r="AG20" s="61"/>
      <c r="AH20" s="62" t="n">
        <f aca="false">AE20+AF20-AG20</f>
        <v>28200</v>
      </c>
      <c r="AI20" s="60" t="n">
        <v>800</v>
      </c>
      <c r="AJ20" s="61"/>
      <c r="AK20" s="62" t="n">
        <f aca="false">AH20+AI20-AJ20</f>
        <v>29000</v>
      </c>
      <c r="AL20" s="60" t="n">
        <v>800</v>
      </c>
      <c r="AM20" s="61"/>
      <c r="AN20" s="62" t="n">
        <f aca="false">AK20+AL20-AM20</f>
        <v>29800</v>
      </c>
    </row>
    <row collapsed="false" customFormat="false" customHeight="false" hidden="false" ht="15" outlineLevel="0" r="21">
      <c r="A21" s="19" t="n">
        <f aca="false">VLOOKUP(B21,справочник!$B$2:$E$322,4,0)</f>
        <v>293</v>
      </c>
      <c r="B21" s="0" t="e">
        <f aca="false">CONCATENATE(C21;D21)</f>
        <v>#VALUE!</v>
      </c>
      <c r="C21" s="24" t="n">
        <v>308</v>
      </c>
      <c r="D21" s="29" t="s">
        <v>135</v>
      </c>
      <c r="E21" s="24" t="s">
        <v>390</v>
      </c>
      <c r="F21" s="30" t="n">
        <v>40928</v>
      </c>
      <c r="G21" s="30" t="n">
        <v>40909</v>
      </c>
      <c r="H21" s="31" t="n">
        <f aca="false">INT(($H$325-G21)/30)</f>
        <v>48</v>
      </c>
      <c r="I21" s="24" t="n">
        <f aca="false">H21*1000</f>
        <v>48000</v>
      </c>
      <c r="J21" s="31" t="n">
        <f aca="false">11500+24500</f>
        <v>36000</v>
      </c>
      <c r="K21" s="31"/>
      <c r="L21" s="59" t="n">
        <f aca="false">I21-J21-K21</f>
        <v>12000</v>
      </c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59" t="n">
        <f aca="false">SUM(M21:X21)</f>
        <v>0</v>
      </c>
      <c r="Z21" s="59" t="n">
        <v>12</v>
      </c>
      <c r="AA21" s="59" t="n">
        <f aca="false">Z21*800</f>
        <v>9600</v>
      </c>
      <c r="AB21" s="59" t="n">
        <f aca="false">L21+AA21-Y21</f>
        <v>21600</v>
      </c>
      <c r="AC21" s="60" t="n">
        <v>800</v>
      </c>
      <c r="AD21" s="61"/>
      <c r="AE21" s="62" t="n">
        <f aca="false">AB21+AC21-AD21</f>
        <v>22400</v>
      </c>
      <c r="AF21" s="60" t="n">
        <v>800</v>
      </c>
      <c r="AG21" s="61"/>
      <c r="AH21" s="62" t="n">
        <f aca="false">AE21+AF21-AG21</f>
        <v>23200</v>
      </c>
      <c r="AI21" s="60" t="n">
        <v>800</v>
      </c>
      <c r="AJ21" s="61"/>
      <c r="AK21" s="62" t="n">
        <f aca="false">AH21+AI21-AJ21</f>
        <v>24000</v>
      </c>
      <c r="AL21" s="60" t="n">
        <v>800</v>
      </c>
      <c r="AM21" s="61"/>
      <c r="AN21" s="62" t="n">
        <f aca="false">AK21+AL21-AM21</f>
        <v>24800</v>
      </c>
    </row>
    <row collapsed="false" customFormat="false" customHeight="false" hidden="false" ht="15" outlineLevel="0" r="22">
      <c r="A22" s="19" t="n">
        <f aca="false">VLOOKUP(B22,справочник!$B$2:$E$322,4,0)</f>
        <v>191</v>
      </c>
      <c r="B22" s="0" t="e">
        <f aca="false">CONCATENATE(C22;D22)</f>
        <v>#VALUE!</v>
      </c>
      <c r="C22" s="24" t="n">
        <v>199</v>
      </c>
      <c r="D22" s="29" t="s">
        <v>213</v>
      </c>
      <c r="E22" s="24" t="s">
        <v>391</v>
      </c>
      <c r="F22" s="24"/>
      <c r="G22" s="24"/>
      <c r="H22" s="31"/>
      <c r="I22" s="24" t="n">
        <f aca="false">H22*1000</f>
        <v>0</v>
      </c>
      <c r="J22" s="31"/>
      <c r="K22" s="31"/>
      <c r="L22" s="59" t="n">
        <f aca="false">I22-J22-K22</f>
        <v>0</v>
      </c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59" t="n">
        <f aca="false">SUM(M22:X22)</f>
        <v>0</v>
      </c>
      <c r="Z22" s="59" t="n">
        <v>12</v>
      </c>
      <c r="AA22" s="59" t="n">
        <f aca="false">Z22*800</f>
        <v>9600</v>
      </c>
      <c r="AB22" s="59" t="n">
        <f aca="false">L22+AA22-Y22</f>
        <v>9600</v>
      </c>
      <c r="AC22" s="60" t="n">
        <v>800</v>
      </c>
      <c r="AD22" s="61"/>
      <c r="AE22" s="62" t="n">
        <f aca="false">AB22+AC22-AD22</f>
        <v>10400</v>
      </c>
      <c r="AF22" s="60" t="n">
        <v>800</v>
      </c>
      <c r="AG22" s="61"/>
      <c r="AH22" s="62" t="n">
        <f aca="false">AE22+AF22-AG22</f>
        <v>11200</v>
      </c>
      <c r="AI22" s="60" t="n">
        <v>800</v>
      </c>
      <c r="AJ22" s="61"/>
      <c r="AK22" s="62" t="n">
        <f aca="false">AH22+AI22-AJ22</f>
        <v>12000</v>
      </c>
      <c r="AL22" s="60" t="n">
        <v>800</v>
      </c>
      <c r="AM22" s="61"/>
      <c r="AN22" s="62" t="n">
        <f aca="false">AK22+AL22-AM22</f>
        <v>12800</v>
      </c>
    </row>
    <row collapsed="false" customFormat="false" customHeight="false" hidden="false" ht="25.5" outlineLevel="0" r="23">
      <c r="A23" s="19" t="n">
        <f aca="false">VLOOKUP(B23,справочник!$B$2:$E$322,4,0)</f>
        <v>249</v>
      </c>
      <c r="B23" s="0" t="e">
        <f aca="false">CONCATENATE(C23;D23)</f>
        <v>#VALUE!</v>
      </c>
      <c r="C23" s="24" t="n">
        <v>260</v>
      </c>
      <c r="D23" s="29" t="s">
        <v>75</v>
      </c>
      <c r="E23" s="24" t="s">
        <v>392</v>
      </c>
      <c r="F23" s="30" t="n">
        <v>41604</v>
      </c>
      <c r="G23" s="30" t="n">
        <v>41609</v>
      </c>
      <c r="H23" s="31" t="n">
        <f aca="false">INT(($H$325-G23)/30)</f>
        <v>25</v>
      </c>
      <c r="I23" s="24" t="n">
        <f aca="false">H23*1000</f>
        <v>25000</v>
      </c>
      <c r="J23" s="31" t="n">
        <f aca="false">1000</f>
        <v>1000</v>
      </c>
      <c r="K23" s="31"/>
      <c r="L23" s="59" t="n">
        <f aca="false">I23-J23-K23</f>
        <v>24000</v>
      </c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59" t="n">
        <f aca="false">SUM(M23:X23)</f>
        <v>0</v>
      </c>
      <c r="Z23" s="59" t="n">
        <v>12</v>
      </c>
      <c r="AA23" s="59" t="n">
        <f aca="false">Z23*800</f>
        <v>9600</v>
      </c>
      <c r="AB23" s="59" t="n">
        <f aca="false">L23+AA23-Y23</f>
        <v>33600</v>
      </c>
      <c r="AC23" s="60" t="n">
        <v>800</v>
      </c>
      <c r="AD23" s="61"/>
      <c r="AE23" s="62" t="n">
        <f aca="false">AB23+AC23-AD23</f>
        <v>34400</v>
      </c>
      <c r="AF23" s="60" t="n">
        <v>800</v>
      </c>
      <c r="AG23" s="61"/>
      <c r="AH23" s="62" t="n">
        <f aca="false">AE23+AF23-AG23</f>
        <v>35200</v>
      </c>
      <c r="AI23" s="60" t="n">
        <v>800</v>
      </c>
      <c r="AJ23" s="61" t="n">
        <v>15000</v>
      </c>
      <c r="AK23" s="62" t="n">
        <f aca="false">AH23+AI23-AJ23</f>
        <v>21000</v>
      </c>
      <c r="AL23" s="60" t="n">
        <v>800</v>
      </c>
      <c r="AM23" s="61"/>
      <c r="AN23" s="62" t="n">
        <f aca="false">AK23+AL23-AM23</f>
        <v>21800</v>
      </c>
    </row>
    <row collapsed="false" customFormat="false" customHeight="false" hidden="false" ht="15" outlineLevel="0" r="24">
      <c r="A24" s="19" t="n">
        <f aca="false">VLOOKUP(B24,справочник!$B$2:$E$322,4,0)</f>
        <v>72</v>
      </c>
      <c r="B24" s="0" t="e">
        <f aca="false">CONCATENATE(C24;D24)</f>
        <v>#VALUE!</v>
      </c>
      <c r="C24" s="24" t="n">
        <v>78</v>
      </c>
      <c r="D24" s="29" t="s">
        <v>174</v>
      </c>
      <c r="E24" s="24" t="s">
        <v>393</v>
      </c>
      <c r="F24" s="30" t="n">
        <v>40793</v>
      </c>
      <c r="G24" s="30" t="n">
        <v>40787</v>
      </c>
      <c r="H24" s="31" t="n">
        <f aca="false">INT(($H$325-G24)/30)</f>
        <v>52</v>
      </c>
      <c r="I24" s="24" t="n">
        <f aca="false">H24*1000</f>
        <v>52000</v>
      </c>
      <c r="J24" s="31" t="n">
        <f aca="false">19000+1500+2500+23000</f>
        <v>46000</v>
      </c>
      <c r="K24" s="31"/>
      <c r="L24" s="59" t="n">
        <f aca="false">I24-J24-K24</f>
        <v>6000</v>
      </c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18"/>
      <c r="X24" s="60"/>
      <c r="Y24" s="59" t="n">
        <f aca="false">SUM(M24:X24)</f>
        <v>0</v>
      </c>
      <c r="Z24" s="59" t="n">
        <v>12</v>
      </c>
      <c r="AA24" s="59" t="n">
        <f aca="false">Z24*800</f>
        <v>9600</v>
      </c>
      <c r="AB24" s="59" t="n">
        <f aca="false">L24+AA24-Y24</f>
        <v>15600</v>
      </c>
      <c r="AC24" s="60" t="n">
        <v>800</v>
      </c>
      <c r="AD24" s="61"/>
      <c r="AE24" s="62" t="n">
        <f aca="false">AB24+AC24-AD24</f>
        <v>16400</v>
      </c>
      <c r="AF24" s="60" t="n">
        <v>800</v>
      </c>
      <c r="AG24" s="61"/>
      <c r="AH24" s="62" t="n">
        <f aca="false">AE24+AF24-AG24</f>
        <v>17200</v>
      </c>
      <c r="AI24" s="60" t="n">
        <v>800</v>
      </c>
      <c r="AJ24" s="61"/>
      <c r="AK24" s="62" t="n">
        <f aca="false">AH24+AI24-AJ24</f>
        <v>18000</v>
      </c>
      <c r="AL24" s="60" t="n">
        <v>800</v>
      </c>
      <c r="AM24" s="61"/>
      <c r="AN24" s="62" t="n">
        <f aca="false">AK24+AL24-AM24</f>
        <v>18800</v>
      </c>
    </row>
    <row collapsed="false" customFormat="false" customHeight="false" hidden="false" ht="15" outlineLevel="0" r="25">
      <c r="A25" s="19" t="n">
        <f aca="false">VLOOKUP(B25,справочник!$B$2:$E$322,4,0)</f>
        <v>125</v>
      </c>
      <c r="B25" s="0" t="e">
        <f aca="false">CONCATENATE(C25;D25)</f>
        <v>#VALUE!</v>
      </c>
      <c r="C25" s="24" t="n">
        <v>130</v>
      </c>
      <c r="D25" s="29" t="s">
        <v>195</v>
      </c>
      <c r="E25" s="24" t="s">
        <v>394</v>
      </c>
      <c r="F25" s="30" t="n">
        <v>41948</v>
      </c>
      <c r="G25" s="30" t="n">
        <v>41974</v>
      </c>
      <c r="H25" s="31" t="n">
        <f aca="false">INT(($H$325-G25)/30)</f>
        <v>13</v>
      </c>
      <c r="I25" s="24" t="n">
        <f aca="false">H25*1000</f>
        <v>13000</v>
      </c>
      <c r="J25" s="31" t="n">
        <v>8000</v>
      </c>
      <c r="K25" s="31"/>
      <c r="L25" s="59" t="n">
        <f aca="false">I25-J25-K25</f>
        <v>5000</v>
      </c>
      <c r="M25" s="60"/>
      <c r="N25" s="60"/>
      <c r="O25" s="60"/>
      <c r="P25" s="60"/>
      <c r="Q25" s="60"/>
      <c r="R25" s="60" t="n">
        <v>3000</v>
      </c>
      <c r="S25" s="60"/>
      <c r="T25" s="60"/>
      <c r="U25" s="60" t="n">
        <v>3000</v>
      </c>
      <c r="V25" s="60"/>
      <c r="W25" s="18" t="n">
        <v>3000</v>
      </c>
      <c r="X25" s="60"/>
      <c r="Y25" s="59" t="n">
        <f aca="false">SUM(M25:X25)</f>
        <v>9000</v>
      </c>
      <c r="Z25" s="59" t="n">
        <v>12</v>
      </c>
      <c r="AA25" s="59" t="n">
        <f aca="false">Z25*800</f>
        <v>9600</v>
      </c>
      <c r="AB25" s="59" t="n">
        <f aca="false">L25+AA25-Y25</f>
        <v>5600</v>
      </c>
      <c r="AC25" s="60" t="n">
        <v>800</v>
      </c>
      <c r="AD25" s="61"/>
      <c r="AE25" s="62" t="n">
        <f aca="false">AB25+AC25-AD25</f>
        <v>6400</v>
      </c>
      <c r="AF25" s="60" t="n">
        <v>800</v>
      </c>
      <c r="AG25" s="61"/>
      <c r="AH25" s="62" t="n">
        <f aca="false">AE25+AF25-AG25</f>
        <v>7200</v>
      </c>
      <c r="AI25" s="60" t="n">
        <v>800</v>
      </c>
      <c r="AJ25" s="61"/>
      <c r="AK25" s="62" t="n">
        <f aca="false">AH25+AI25-AJ25</f>
        <v>8000</v>
      </c>
      <c r="AL25" s="60" t="n">
        <v>800</v>
      </c>
      <c r="AM25" s="61"/>
      <c r="AN25" s="62" t="n">
        <f aca="false">AK25+AL25-AM25</f>
        <v>8800</v>
      </c>
    </row>
    <row collapsed="false" customFormat="false" customHeight="false" hidden="false" ht="15" outlineLevel="0" r="26">
      <c r="A26" s="19" t="n">
        <f aca="false">VLOOKUP(B26,справочник!$B$2:$E$322,4,0)</f>
        <v>229</v>
      </c>
      <c r="B26" s="0" t="e">
        <f aca="false">CONCATENATE(C26;D26)</f>
        <v>#VALUE!</v>
      </c>
      <c r="C26" s="24" t="n">
        <v>238</v>
      </c>
      <c r="D26" s="29" t="s">
        <v>79</v>
      </c>
      <c r="E26" s="24" t="s">
        <v>395</v>
      </c>
      <c r="F26" s="30" t="n">
        <v>41373</v>
      </c>
      <c r="G26" s="30" t="n">
        <v>41395</v>
      </c>
      <c r="H26" s="31" t="n">
        <f aca="false">INT(($H$325-G26)/30)</f>
        <v>32</v>
      </c>
      <c r="I26" s="24" t="n">
        <f aca="false">H26*1000</f>
        <v>32000</v>
      </c>
      <c r="J26" s="31" t="n">
        <v>9000</v>
      </c>
      <c r="K26" s="31"/>
      <c r="L26" s="59" t="n">
        <f aca="false">I26-J26-K26</f>
        <v>23000</v>
      </c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59" t="n">
        <f aca="false">SUM(M26:X26)</f>
        <v>0</v>
      </c>
      <c r="Z26" s="59" t="n">
        <v>12</v>
      </c>
      <c r="AA26" s="59" t="n">
        <f aca="false">Z26*800</f>
        <v>9600</v>
      </c>
      <c r="AB26" s="59" t="n">
        <f aca="false">L26+AA26-Y26</f>
        <v>32600</v>
      </c>
      <c r="AC26" s="60" t="n">
        <v>800</v>
      </c>
      <c r="AD26" s="61"/>
      <c r="AE26" s="62" t="n">
        <f aca="false">AB26+AC26-AD26</f>
        <v>33400</v>
      </c>
      <c r="AF26" s="60" t="n">
        <v>800</v>
      </c>
      <c r="AG26" s="61"/>
      <c r="AH26" s="62" t="n">
        <f aca="false">AE26+AF26-AG26</f>
        <v>34200</v>
      </c>
      <c r="AI26" s="60" t="n">
        <v>800</v>
      </c>
      <c r="AJ26" s="61"/>
      <c r="AK26" s="62" t="n">
        <f aca="false">AH26+AI26-AJ26</f>
        <v>35000</v>
      </c>
      <c r="AL26" s="60" t="n">
        <v>800</v>
      </c>
      <c r="AM26" s="61"/>
      <c r="AN26" s="62" t="n">
        <f aca="false">AK26+AL26-AM26</f>
        <v>35800</v>
      </c>
    </row>
    <row collapsed="false" customFormat="false" customHeight="false" hidden="false" ht="15" outlineLevel="0" r="27">
      <c r="A27" s="19" t="n">
        <f aca="false">VLOOKUP(B27,справочник!$B$2:$E$322,4,0)</f>
        <v>296</v>
      </c>
      <c r="B27" s="0" t="e">
        <f aca="false">CONCATENATE(C27;D27)</f>
        <v>#VALUE!</v>
      </c>
      <c r="C27" s="24" t="n">
        <v>311</v>
      </c>
      <c r="D27" s="29" t="s">
        <v>39</v>
      </c>
      <c r="E27" s="24" t="s">
        <v>396</v>
      </c>
      <c r="F27" s="30" t="n">
        <v>41008</v>
      </c>
      <c r="G27" s="30" t="n">
        <v>41000</v>
      </c>
      <c r="H27" s="31" t="n">
        <f aca="false">INT(($H$325-G27)/30)</f>
        <v>45</v>
      </c>
      <c r="I27" s="24" t="n">
        <f aca="false">H27*1000</f>
        <v>45000</v>
      </c>
      <c r="J27" s="31" t="n">
        <v>1000</v>
      </c>
      <c r="K27" s="31"/>
      <c r="L27" s="59" t="n">
        <f aca="false">I27-J27-K27</f>
        <v>44000</v>
      </c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59" t="n">
        <f aca="false">SUM(M27:X27)</f>
        <v>0</v>
      </c>
      <c r="Z27" s="59" t="n">
        <v>12</v>
      </c>
      <c r="AA27" s="59" t="n">
        <f aca="false">Z27*800</f>
        <v>9600</v>
      </c>
      <c r="AB27" s="59" t="n">
        <f aca="false">L27+AA27-Y27</f>
        <v>53600</v>
      </c>
      <c r="AC27" s="60" t="n">
        <v>800</v>
      </c>
      <c r="AD27" s="61"/>
      <c r="AE27" s="62" t="n">
        <f aca="false">AB27+AC27-AD27</f>
        <v>54400</v>
      </c>
      <c r="AF27" s="60" t="n">
        <v>800</v>
      </c>
      <c r="AG27" s="61"/>
      <c r="AH27" s="62" t="n">
        <f aca="false">AE27+AF27-AG27</f>
        <v>55200</v>
      </c>
      <c r="AI27" s="60" t="n">
        <v>800</v>
      </c>
      <c r="AJ27" s="61"/>
      <c r="AK27" s="62" t="n">
        <f aca="false">AH27+AI27-AJ27</f>
        <v>56000</v>
      </c>
      <c r="AL27" s="60" t="n">
        <v>800</v>
      </c>
      <c r="AM27" s="61"/>
      <c r="AN27" s="62" t="n">
        <f aca="false">AK27+AL27-AM27</f>
        <v>56800</v>
      </c>
    </row>
    <row collapsed="false" customFormat="false" customHeight="false" hidden="false" ht="15" outlineLevel="0" r="28">
      <c r="A28" s="19" t="n">
        <f aca="false">VLOOKUP(B28,справочник!$B$2:$E$322,4,0)</f>
        <v>281</v>
      </c>
      <c r="B28" s="0" t="e">
        <f aca="false">CONCATENATE(C28;D28)</f>
        <v>#VALUE!</v>
      </c>
      <c r="C28" s="52" t="n">
        <v>293</v>
      </c>
      <c r="D28" s="29" t="s">
        <v>105</v>
      </c>
      <c r="E28" s="24" t="s">
        <v>397</v>
      </c>
      <c r="F28" s="30" t="n">
        <v>41766</v>
      </c>
      <c r="G28" s="30" t="n">
        <v>41791</v>
      </c>
      <c r="H28" s="31" t="n">
        <f aca="false">INT(($H$325-G28)/30)</f>
        <v>19</v>
      </c>
      <c r="I28" s="24" t="n">
        <f aca="false">H28*1000</f>
        <v>19000</v>
      </c>
      <c r="J28" s="31" t="n">
        <v>1000</v>
      </c>
      <c r="K28" s="31"/>
      <c r="L28" s="59" t="n">
        <f aca="false">I28-J28-K28</f>
        <v>18000</v>
      </c>
      <c r="M28" s="60"/>
      <c r="N28" s="60"/>
      <c r="O28" s="60"/>
      <c r="P28" s="60"/>
      <c r="Q28" s="60"/>
      <c r="R28" s="60"/>
      <c r="S28" s="60"/>
      <c r="T28" s="60"/>
      <c r="U28" s="60" t="n">
        <v>10000</v>
      </c>
      <c r="V28" s="60"/>
      <c r="W28" s="60"/>
      <c r="X28" s="60"/>
      <c r="Y28" s="59" t="n">
        <f aca="false">SUM(M28:X28)</f>
        <v>10000</v>
      </c>
      <c r="Z28" s="59" t="n">
        <v>12</v>
      </c>
      <c r="AA28" s="59" t="n">
        <f aca="false">Z28*800</f>
        <v>9600</v>
      </c>
      <c r="AB28" s="59" t="n">
        <f aca="false">L28+AA28-Y28</f>
        <v>17600</v>
      </c>
      <c r="AC28" s="60" t="n">
        <v>800</v>
      </c>
      <c r="AD28" s="61" t="n">
        <v>15000</v>
      </c>
      <c r="AE28" s="62" t="n">
        <f aca="false">AB28+AC28-AD28</f>
        <v>3400</v>
      </c>
      <c r="AF28" s="60" t="n">
        <v>800</v>
      </c>
      <c r="AG28" s="61"/>
      <c r="AH28" s="62" t="n">
        <f aca="false">AE28+AF28-AG28</f>
        <v>4200</v>
      </c>
      <c r="AI28" s="60" t="n">
        <v>800</v>
      </c>
      <c r="AJ28" s="61"/>
      <c r="AK28" s="62" t="n">
        <f aca="false">AH28+AI28-AJ28</f>
        <v>5000</v>
      </c>
      <c r="AL28" s="60" t="n">
        <v>800</v>
      </c>
      <c r="AM28" s="61"/>
      <c r="AN28" s="62" t="n">
        <f aca="false">AK28+AL28-AM28</f>
        <v>5800</v>
      </c>
    </row>
    <row collapsed="false" customFormat="false" customHeight="false" hidden="false" ht="15" outlineLevel="0" r="29">
      <c r="A29" s="19" t="n">
        <f aca="false">VLOOKUP(B29,справочник!$B$2:$E$322,4,0)</f>
        <v>198</v>
      </c>
      <c r="B29" s="0" t="e">
        <f aca="false">CONCATENATE(C29;D29)</f>
        <v>#VALUE!</v>
      </c>
      <c r="C29" s="24" t="n">
        <v>206</v>
      </c>
      <c r="D29" s="29" t="s">
        <v>262</v>
      </c>
      <c r="E29" s="24" t="s">
        <v>398</v>
      </c>
      <c r="F29" s="30" t="n">
        <v>40816</v>
      </c>
      <c r="G29" s="30" t="n">
        <v>40787</v>
      </c>
      <c r="H29" s="31" t="n">
        <f aca="false">INT(($H$325-G29)/30)</f>
        <v>52</v>
      </c>
      <c r="I29" s="24" t="n">
        <f aca="false">H29*1000</f>
        <v>52000</v>
      </c>
      <c r="J29" s="31" t="n">
        <f aca="false">50000+1000</f>
        <v>51000</v>
      </c>
      <c r="K29" s="31" t="n">
        <v>1000</v>
      </c>
      <c r="L29" s="59" t="n">
        <f aca="false">I29-J29-K29</f>
        <v>0</v>
      </c>
      <c r="M29" s="60"/>
      <c r="N29" s="60"/>
      <c r="O29" s="60" t="n">
        <v>3200</v>
      </c>
      <c r="P29" s="60"/>
      <c r="Q29" s="60" t="n">
        <v>800</v>
      </c>
      <c r="R29" s="60"/>
      <c r="S29" s="60"/>
      <c r="T29" s="0" t="n">
        <v>3200</v>
      </c>
      <c r="U29" s="60"/>
      <c r="V29" s="60" t="n">
        <v>800</v>
      </c>
      <c r="W29" s="18" t="n">
        <v>1600</v>
      </c>
      <c r="X29" s="60"/>
      <c r="Y29" s="59" t="n">
        <f aca="false">SUM(M29:X29)</f>
        <v>9600</v>
      </c>
      <c r="Z29" s="59" t="n">
        <v>12</v>
      </c>
      <c r="AA29" s="59" t="n">
        <f aca="false">Z29*800</f>
        <v>9600</v>
      </c>
      <c r="AB29" s="59" t="n">
        <f aca="false">L29+AA29-Y29</f>
        <v>0</v>
      </c>
      <c r="AC29" s="60" t="n">
        <v>800</v>
      </c>
      <c r="AD29" s="61"/>
      <c r="AE29" s="62" t="n">
        <f aca="false">AB29+AC29-AD29</f>
        <v>800</v>
      </c>
      <c r="AF29" s="60" t="n">
        <v>800</v>
      </c>
      <c r="AG29" s="61" t="n">
        <v>1600</v>
      </c>
      <c r="AH29" s="62" t="n">
        <f aca="false">AE29+AF29-AG29</f>
        <v>0</v>
      </c>
      <c r="AI29" s="60" t="n">
        <v>800</v>
      </c>
      <c r="AJ29" s="61"/>
      <c r="AK29" s="62" t="n">
        <f aca="false">AH29+AI29-AJ29</f>
        <v>800</v>
      </c>
      <c r="AL29" s="60" t="n">
        <v>800</v>
      </c>
      <c r="AM29" s="61" t="n">
        <v>1600</v>
      </c>
      <c r="AN29" s="62" t="n">
        <f aca="false">AK29+AL29-AM29</f>
        <v>0</v>
      </c>
    </row>
    <row collapsed="false" customFormat="true" customHeight="false" hidden="false" ht="25.5" outlineLevel="0" r="30" s="64">
      <c r="A30" s="63" t="n">
        <f aca="false">VLOOKUP(B30,справочник!$B$2:$E$322,4,0)</f>
        <v>52</v>
      </c>
      <c r="B30" s="64" t="e">
        <f aca="false">CONCATENATE(C30;D30)</f>
        <v>#VALUE!</v>
      </c>
      <c r="C30" s="36" t="n">
        <v>54</v>
      </c>
      <c r="D30" s="65" t="s">
        <v>247</v>
      </c>
      <c r="E30" s="36" t="s">
        <v>399</v>
      </c>
      <c r="F30" s="34" t="n">
        <v>41016</v>
      </c>
      <c r="G30" s="34" t="n">
        <v>41000</v>
      </c>
      <c r="H30" s="35" t="n">
        <f aca="false">INT(($H$325-G30)/30)</f>
        <v>45</v>
      </c>
      <c r="I30" s="36" t="n">
        <f aca="false">H30*1000</f>
        <v>45000</v>
      </c>
      <c r="J30" s="35" t="n">
        <v>40000</v>
      </c>
      <c r="K30" s="35" t="n">
        <v>5000</v>
      </c>
      <c r="L30" s="66" t="n">
        <v>5000</v>
      </c>
      <c r="M30" s="66" t="n">
        <v>3000</v>
      </c>
      <c r="N30" s="66" t="n">
        <v>2000</v>
      </c>
      <c r="O30" s="66" t="n">
        <v>800</v>
      </c>
      <c r="P30" s="66"/>
      <c r="Q30" s="66" t="n">
        <v>1600</v>
      </c>
      <c r="R30" s="66"/>
      <c r="S30" s="66"/>
      <c r="T30" s="69" t="n">
        <v>1600</v>
      </c>
      <c r="U30" s="66"/>
      <c r="V30" s="66" t="n">
        <v>800</v>
      </c>
      <c r="W30" s="66" t="n">
        <v>800</v>
      </c>
      <c r="X30" s="66"/>
      <c r="Y30" s="66" t="n">
        <f aca="false">SUM(M30:X30)</f>
        <v>10600</v>
      </c>
      <c r="Z30" s="66" t="n">
        <v>12</v>
      </c>
      <c r="AA30" s="66" t="n">
        <f aca="false">Z30*800</f>
        <v>9600</v>
      </c>
      <c r="AB30" s="70" t="n">
        <f aca="false">SUM(L30:L31)+SUM(AA30:AA31)-SUM(Y30:Y31)</f>
        <v>-1600</v>
      </c>
      <c r="AC30" s="66" t="n">
        <v>800</v>
      </c>
      <c r="AD30" s="67"/>
      <c r="AE30" s="71" t="n">
        <f aca="false">AB30+AC30-AD30</f>
        <v>-800</v>
      </c>
      <c r="AF30" s="66" t="n">
        <v>800</v>
      </c>
      <c r="AG30" s="67"/>
      <c r="AH30" s="72" t="n">
        <f aca="false">AE30+AF30-AG30</f>
        <v>0</v>
      </c>
      <c r="AI30" s="66" t="n">
        <v>800</v>
      </c>
      <c r="AJ30" s="67" t="n">
        <f aca="false">800+1600</f>
        <v>2400</v>
      </c>
      <c r="AK30" s="72" t="n">
        <f aca="false">AH30+AI30-AJ30</f>
        <v>-1600</v>
      </c>
      <c r="AL30" s="66" t="n">
        <v>800</v>
      </c>
      <c r="AM30" s="67"/>
      <c r="AN30" s="72" t="n">
        <f aca="false">AK30+AL30-AM30</f>
        <v>-800</v>
      </c>
    </row>
    <row collapsed="false" customFormat="false" customHeight="false" hidden="false" ht="25.5" outlineLevel="0" r="31">
      <c r="A31" s="63" t="n">
        <f aca="false">VLOOKUP(B31,справочник!$B$2:$E$322,4,0)</f>
        <v>51</v>
      </c>
      <c r="B31" s="64" t="e">
        <f aca="false">CONCATENATE(C31;D31)</f>
        <v>#VALUE!</v>
      </c>
      <c r="C31" s="36" t="n">
        <v>53</v>
      </c>
      <c r="D31" s="65" t="s">
        <v>248</v>
      </c>
      <c r="E31" s="36" t="s">
        <v>400</v>
      </c>
      <c r="F31" s="34" t="n">
        <v>41016</v>
      </c>
      <c r="G31" s="34" t="n">
        <v>41000</v>
      </c>
      <c r="H31" s="35" t="n">
        <f aca="false">INT(($H$325-G31)/30)</f>
        <v>45</v>
      </c>
      <c r="I31" s="36" t="n">
        <f aca="false">H31*1000</f>
        <v>45000</v>
      </c>
      <c r="J31" s="35" t="n">
        <v>28000</v>
      </c>
      <c r="K31" s="35" t="n">
        <v>7000</v>
      </c>
      <c r="L31" s="66" t="n">
        <v>5000</v>
      </c>
      <c r="M31" s="66" t="n">
        <v>3000</v>
      </c>
      <c r="N31" s="66" t="n">
        <v>2000</v>
      </c>
      <c r="O31" s="66" t="n">
        <v>800</v>
      </c>
      <c r="P31" s="66"/>
      <c r="Q31" s="66" t="n">
        <v>1600</v>
      </c>
      <c r="R31" s="66"/>
      <c r="S31" s="66"/>
      <c r="T31" s="69" t="n">
        <v>1600</v>
      </c>
      <c r="U31" s="66" t="n">
        <v>800</v>
      </c>
      <c r="V31" s="66"/>
      <c r="W31" s="66" t="n">
        <v>800</v>
      </c>
      <c r="X31" s="66"/>
      <c r="Y31" s="66" t="n">
        <f aca="false">SUM(M31:X31)</f>
        <v>10600</v>
      </c>
      <c r="Z31" s="66" t="n">
        <v>0</v>
      </c>
      <c r="AA31" s="66" t="n">
        <f aca="false">Z31*800</f>
        <v>0</v>
      </c>
      <c r="AB31" s="70"/>
      <c r="AC31" s="66" t="n">
        <v>0</v>
      </c>
      <c r="AD31" s="67"/>
      <c r="AE31" s="71" t="n">
        <f aca="false">AB31+AC31-AD31</f>
        <v>0</v>
      </c>
      <c r="AF31" s="66" t="n">
        <v>0</v>
      </c>
      <c r="AG31" s="67"/>
      <c r="AH31" s="72"/>
      <c r="AI31" s="66" t="n">
        <v>0</v>
      </c>
      <c r="AJ31" s="67"/>
      <c r="AK31" s="72"/>
      <c r="AL31" s="66" t="n">
        <v>0</v>
      </c>
      <c r="AM31" s="67"/>
      <c r="AN31" s="72"/>
    </row>
    <row collapsed="false" customFormat="false" customHeight="false" hidden="false" ht="15" outlineLevel="0" r="32">
      <c r="A32" s="19" t="n">
        <f aca="false">VLOOKUP(B32,справочник!$B$2:$E$322,4,0)</f>
        <v>136</v>
      </c>
      <c r="B32" s="0" t="e">
        <f aca="false">CONCATENATE(C32;D32)</f>
        <v>#VALUE!</v>
      </c>
      <c r="C32" s="24" t="n">
        <v>144</v>
      </c>
      <c r="D32" s="29" t="s">
        <v>152</v>
      </c>
      <c r="E32" s="24" t="s">
        <v>401</v>
      </c>
      <c r="F32" s="30" t="n">
        <v>41204</v>
      </c>
      <c r="G32" s="30" t="n">
        <v>41214</v>
      </c>
      <c r="H32" s="31" t="n">
        <f aca="false">INT(($H$325-G32)/30)</f>
        <v>38</v>
      </c>
      <c r="I32" s="24" t="n">
        <f aca="false">H32*1000</f>
        <v>38000</v>
      </c>
      <c r="J32" s="31" t="n">
        <v>28000</v>
      </c>
      <c r="K32" s="31"/>
      <c r="L32" s="59" t="n">
        <f aca="false">I32-J32-K32</f>
        <v>10000</v>
      </c>
      <c r="M32" s="60"/>
      <c r="N32" s="60"/>
      <c r="O32" s="60"/>
      <c r="P32" s="60"/>
      <c r="Q32" s="60"/>
      <c r="R32" s="60"/>
      <c r="S32" s="60" t="n">
        <v>6000</v>
      </c>
      <c r="T32" s="0" t="n">
        <v>4800</v>
      </c>
      <c r="U32" s="60"/>
      <c r="V32" s="60"/>
      <c r="W32" s="60"/>
      <c r="X32" s="60" t="n">
        <v>4800</v>
      </c>
      <c r="Y32" s="59" t="n">
        <f aca="false">SUM(M32:X32)</f>
        <v>15600</v>
      </c>
      <c r="Z32" s="59" t="n">
        <v>12</v>
      </c>
      <c r="AA32" s="59" t="n">
        <f aca="false">Z32*800</f>
        <v>9600</v>
      </c>
      <c r="AB32" s="59" t="n">
        <f aca="false">L32+AA32-Y32</f>
        <v>4000</v>
      </c>
      <c r="AC32" s="60" t="n">
        <v>800</v>
      </c>
      <c r="AD32" s="61"/>
      <c r="AE32" s="62" t="n">
        <f aca="false">AB32+AC32-AD32</f>
        <v>4800</v>
      </c>
      <c r="AF32" s="60" t="n">
        <v>800</v>
      </c>
      <c r="AG32" s="61"/>
      <c r="AH32" s="62" t="n">
        <f aca="false">AE32+AF32-AG32</f>
        <v>5600</v>
      </c>
      <c r="AI32" s="60" t="n">
        <v>800</v>
      </c>
      <c r="AJ32" s="61"/>
      <c r="AK32" s="62" t="n">
        <f aca="false">AH32+AI32-AJ32</f>
        <v>6400</v>
      </c>
      <c r="AL32" s="60" t="n">
        <v>800</v>
      </c>
      <c r="AM32" s="61"/>
      <c r="AN32" s="62" t="n">
        <f aca="false">AK32+AL32-AM32</f>
        <v>7200</v>
      </c>
    </row>
    <row collapsed="false" customFormat="false" customHeight="false" hidden="false" ht="15" outlineLevel="0" r="33">
      <c r="A33" s="19" t="n">
        <f aca="false">VLOOKUP(B33,справочник!$B$2:$E$322,4,0)</f>
        <v>11</v>
      </c>
      <c r="B33" s="0" t="e">
        <f aca="false">CONCATENATE(C33;D33)</f>
        <v>#VALUE!</v>
      </c>
      <c r="C33" s="24" t="n">
        <v>11</v>
      </c>
      <c r="D33" s="29" t="s">
        <v>142</v>
      </c>
      <c r="E33" s="24" t="s">
        <v>402</v>
      </c>
      <c r="F33" s="30" t="n">
        <v>41204</v>
      </c>
      <c r="G33" s="30" t="n">
        <v>41214</v>
      </c>
      <c r="H33" s="31" t="n">
        <f aca="false">INT(($H$325-G33)/30)</f>
        <v>38</v>
      </c>
      <c r="I33" s="24" t="n">
        <f aca="false">H33*1000</f>
        <v>38000</v>
      </c>
      <c r="J33" s="31" t="n">
        <v>26000</v>
      </c>
      <c r="K33" s="31"/>
      <c r="L33" s="59" t="n">
        <f aca="false">I33-J33-K33</f>
        <v>12000</v>
      </c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59" t="n">
        <f aca="false">SUM(M33:X33)</f>
        <v>0</v>
      </c>
      <c r="Z33" s="59" t="n">
        <v>12</v>
      </c>
      <c r="AA33" s="59" t="n">
        <f aca="false">Z33*800</f>
        <v>9600</v>
      </c>
      <c r="AB33" s="59" t="n">
        <f aca="false">L33+AA33-Y33</f>
        <v>21600</v>
      </c>
      <c r="AC33" s="60" t="n">
        <v>800</v>
      </c>
      <c r="AD33" s="61"/>
      <c r="AE33" s="62" t="n">
        <f aca="false">AB33+AC33-AD33</f>
        <v>22400</v>
      </c>
      <c r="AF33" s="60" t="n">
        <v>800</v>
      </c>
      <c r="AG33" s="61"/>
      <c r="AH33" s="62" t="n">
        <f aca="false">AE33+AF33-AG33</f>
        <v>23200</v>
      </c>
      <c r="AI33" s="60" t="n">
        <v>800</v>
      </c>
      <c r="AJ33" s="61"/>
      <c r="AK33" s="62" t="n">
        <f aca="false">AH33+AI33-AJ33</f>
        <v>24000</v>
      </c>
      <c r="AL33" s="60" t="n">
        <v>800</v>
      </c>
      <c r="AM33" s="61"/>
      <c r="AN33" s="62" t="n">
        <f aca="false">AK33+AL33-AM33</f>
        <v>24800</v>
      </c>
    </row>
    <row collapsed="false" customFormat="false" customHeight="false" hidden="false" ht="15" outlineLevel="0" r="34">
      <c r="A34" s="19" t="n">
        <f aca="false">VLOOKUP(B34,справочник!$B$2:$E$322,4,0)</f>
        <v>114</v>
      </c>
      <c r="B34" s="0" t="e">
        <f aca="false">CONCATENATE(C34;D34)</f>
        <v>#VALUE!</v>
      </c>
      <c r="C34" s="24" t="n">
        <v>119</v>
      </c>
      <c r="D34" s="29" t="s">
        <v>48</v>
      </c>
      <c r="E34" s="24" t="s">
        <v>403</v>
      </c>
      <c r="F34" s="30" t="n">
        <v>41262</v>
      </c>
      <c r="G34" s="30" t="n">
        <v>41275</v>
      </c>
      <c r="H34" s="31" t="n">
        <f aca="false">INT(($H$325-G34)/30)</f>
        <v>36</v>
      </c>
      <c r="I34" s="24" t="n">
        <f aca="false">H34*1000</f>
        <v>36000</v>
      </c>
      <c r="J34" s="31" t="n">
        <v>1000</v>
      </c>
      <c r="K34" s="31"/>
      <c r="L34" s="59" t="n">
        <f aca="false">I34-J34-K34</f>
        <v>35000</v>
      </c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59" t="n">
        <f aca="false">SUM(M34:X34)</f>
        <v>0</v>
      </c>
      <c r="Z34" s="59" t="n">
        <v>12</v>
      </c>
      <c r="AA34" s="59" t="n">
        <f aca="false">Z34*800</f>
        <v>9600</v>
      </c>
      <c r="AB34" s="59" t="n">
        <f aca="false">L34+AA34-Y34</f>
        <v>44600</v>
      </c>
      <c r="AC34" s="60" t="n">
        <v>800</v>
      </c>
      <c r="AD34" s="61"/>
      <c r="AE34" s="62" t="n">
        <f aca="false">AB34+AC34-AD34</f>
        <v>45400</v>
      </c>
      <c r="AF34" s="60" t="n">
        <v>800</v>
      </c>
      <c r="AG34" s="61"/>
      <c r="AH34" s="62" t="n">
        <f aca="false">AE34+AF34-AG34</f>
        <v>46200</v>
      </c>
      <c r="AI34" s="60" t="n">
        <v>800</v>
      </c>
      <c r="AJ34" s="61"/>
      <c r="AK34" s="62" t="n">
        <f aca="false">AH34+AI34-AJ34</f>
        <v>47000</v>
      </c>
      <c r="AL34" s="60" t="n">
        <v>800</v>
      </c>
      <c r="AM34" s="61"/>
      <c r="AN34" s="62" t="n">
        <f aca="false">AK34+AL34-AM34</f>
        <v>47800</v>
      </c>
    </row>
    <row collapsed="false" customFormat="false" customHeight="false" hidden="false" ht="15" outlineLevel="0" r="35">
      <c r="A35" s="19" t="n">
        <f aca="false">VLOOKUP(B35,справочник!$B$2:$E$322,4,0)</f>
        <v>151</v>
      </c>
      <c r="B35" s="0" t="e">
        <f aca="false">CONCATENATE(C35;D35)</f>
        <v>#VALUE!</v>
      </c>
      <c r="C35" s="24" t="n">
        <v>159</v>
      </c>
      <c r="D35" s="29" t="s">
        <v>78</v>
      </c>
      <c r="E35" s="24" t="s">
        <v>404</v>
      </c>
      <c r="F35" s="30" t="n">
        <v>41121</v>
      </c>
      <c r="G35" s="30" t="n">
        <v>41122</v>
      </c>
      <c r="H35" s="31" t="n">
        <f aca="false">INT(($H$325-G35)/30)</f>
        <v>41</v>
      </c>
      <c r="I35" s="24" t="n">
        <f aca="false">H35*1000</f>
        <v>41000</v>
      </c>
      <c r="J35" s="31" t="n">
        <v>17000</v>
      </c>
      <c r="K35" s="31"/>
      <c r="L35" s="59" t="n">
        <f aca="false">I35-J35-K35</f>
        <v>24000</v>
      </c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59" t="n">
        <f aca="false">SUM(M35:X35)</f>
        <v>0</v>
      </c>
      <c r="Z35" s="59" t="n">
        <v>12</v>
      </c>
      <c r="AA35" s="59" t="n">
        <f aca="false">Z35*800</f>
        <v>9600</v>
      </c>
      <c r="AB35" s="59" t="n">
        <f aca="false">L35+AA35-Y35</f>
        <v>33600</v>
      </c>
      <c r="AC35" s="60" t="n">
        <v>800</v>
      </c>
      <c r="AD35" s="61"/>
      <c r="AE35" s="62" t="n">
        <f aca="false">AB35+AC35-AD35</f>
        <v>34400</v>
      </c>
      <c r="AF35" s="60" t="n">
        <v>800</v>
      </c>
      <c r="AG35" s="61"/>
      <c r="AH35" s="62" t="n">
        <f aca="false">AE35+AF35-AG35</f>
        <v>35200</v>
      </c>
      <c r="AI35" s="60" t="n">
        <v>800</v>
      </c>
      <c r="AJ35" s="61"/>
      <c r="AK35" s="62" t="n">
        <f aca="false">AH35+AI35-AJ35</f>
        <v>36000</v>
      </c>
      <c r="AL35" s="60" t="n">
        <v>800</v>
      </c>
      <c r="AM35" s="61"/>
      <c r="AN35" s="62" t="n">
        <f aca="false">AK35+AL35-AM35</f>
        <v>36800</v>
      </c>
    </row>
    <row collapsed="false" customFormat="false" customHeight="false" hidden="false" ht="15" outlineLevel="0" r="36">
      <c r="A36" s="19" t="n">
        <f aca="false">VLOOKUP(B36,справочник!$B$2:$E$322,4,0)</f>
        <v>142</v>
      </c>
      <c r="B36" s="0" t="e">
        <f aca="false">CONCATENATE(C36;D36)</f>
        <v>#VALUE!</v>
      </c>
      <c r="C36" s="24" t="n">
        <v>150</v>
      </c>
      <c r="D36" s="29" t="s">
        <v>216</v>
      </c>
      <c r="E36" s="24" t="s">
        <v>405</v>
      </c>
      <c r="F36" s="30" t="n">
        <v>40771</v>
      </c>
      <c r="G36" s="30" t="n">
        <v>40787</v>
      </c>
      <c r="H36" s="31" t="n">
        <f aca="false">INT(($H$325-G36)/30)</f>
        <v>52</v>
      </c>
      <c r="I36" s="24" t="n">
        <f aca="false">H36*1000</f>
        <v>52000</v>
      </c>
      <c r="J36" s="31" t="n">
        <f aca="false">32000+1000</f>
        <v>33000</v>
      </c>
      <c r="K36" s="31" t="n">
        <v>19000</v>
      </c>
      <c r="L36" s="59" t="n">
        <f aca="false">I36-J36-K36</f>
        <v>0</v>
      </c>
      <c r="M36" s="60"/>
      <c r="N36" s="60"/>
      <c r="O36" s="60"/>
      <c r="P36" s="60"/>
      <c r="Q36" s="60"/>
      <c r="R36" s="60"/>
      <c r="S36" s="60" t="n">
        <v>6400</v>
      </c>
      <c r="T36" s="60"/>
      <c r="U36" s="60"/>
      <c r="V36" s="60"/>
      <c r="W36" s="60"/>
      <c r="X36" s="60"/>
      <c r="Y36" s="59" t="n">
        <f aca="false">SUM(M36:X36)</f>
        <v>6400</v>
      </c>
      <c r="Z36" s="59" t="n">
        <v>12</v>
      </c>
      <c r="AA36" s="59" t="n">
        <f aca="false">Z36*800</f>
        <v>9600</v>
      </c>
      <c r="AB36" s="59" t="n">
        <f aca="false">L36+AA36-Y36</f>
        <v>3200</v>
      </c>
      <c r="AC36" s="60" t="n">
        <v>800</v>
      </c>
      <c r="AD36" s="61"/>
      <c r="AE36" s="62" t="n">
        <f aca="false">AB36+AC36-AD36</f>
        <v>4000</v>
      </c>
      <c r="AF36" s="60" t="n">
        <v>800</v>
      </c>
      <c r="AG36" s="61"/>
      <c r="AH36" s="62" t="n">
        <f aca="false">AE36+AF36-AG36</f>
        <v>4800</v>
      </c>
      <c r="AI36" s="60" t="n">
        <v>800</v>
      </c>
      <c r="AJ36" s="61"/>
      <c r="AK36" s="62" t="n">
        <f aca="false">AH36+AI36-AJ36</f>
        <v>5600</v>
      </c>
      <c r="AL36" s="60" t="n">
        <v>800</v>
      </c>
      <c r="AM36" s="61"/>
      <c r="AN36" s="62" t="n">
        <f aca="false">AK36+AL36-AM36</f>
        <v>6400</v>
      </c>
    </row>
    <row collapsed="false" customFormat="false" customHeight="false" hidden="false" ht="15" outlineLevel="0" r="37">
      <c r="A37" s="19" t="n">
        <f aca="false">VLOOKUP(B37,справочник!$B$2:$E$322,4,0)</f>
        <v>245</v>
      </c>
      <c r="B37" s="0" t="e">
        <f aca="false">CONCATENATE(C37;D37)</f>
        <v>#VALUE!</v>
      </c>
      <c r="C37" s="24" t="n">
        <v>256</v>
      </c>
      <c r="D37" s="29" t="s">
        <v>259</v>
      </c>
      <c r="E37" s="24" t="s">
        <v>406</v>
      </c>
      <c r="F37" s="30" t="n">
        <v>41930</v>
      </c>
      <c r="G37" s="30" t="n">
        <v>41944</v>
      </c>
      <c r="H37" s="31" t="n">
        <f aca="false">INT(($H$325-G37)/30)</f>
        <v>14</v>
      </c>
      <c r="I37" s="24" t="n">
        <f aca="false">H37*1000</f>
        <v>14000</v>
      </c>
      <c r="J37" s="31" t="n">
        <v>9000</v>
      </c>
      <c r="K37" s="31"/>
      <c r="L37" s="59" t="n">
        <f aca="false">I37-J37-K37</f>
        <v>5000</v>
      </c>
      <c r="M37" s="60"/>
      <c r="N37" s="60"/>
      <c r="O37" s="60"/>
      <c r="P37" s="60"/>
      <c r="Q37" s="60"/>
      <c r="R37" s="60" t="n">
        <v>9000</v>
      </c>
      <c r="S37" s="60"/>
      <c r="T37" s="60"/>
      <c r="U37" s="60"/>
      <c r="V37" s="60"/>
      <c r="W37" s="60"/>
      <c r="X37" s="60"/>
      <c r="Y37" s="59" t="n">
        <f aca="false">SUM(M37:X37)</f>
        <v>9000</v>
      </c>
      <c r="Z37" s="59" t="n">
        <v>12</v>
      </c>
      <c r="AA37" s="59" t="n">
        <f aca="false">Z37*800</f>
        <v>9600</v>
      </c>
      <c r="AB37" s="59" t="n">
        <f aca="false">L37+AA37-Y37</f>
        <v>5600</v>
      </c>
      <c r="AC37" s="60" t="n">
        <v>800</v>
      </c>
      <c r="AD37" s="61"/>
      <c r="AE37" s="62" t="n">
        <f aca="false">AB37+AC37-AD37</f>
        <v>6400</v>
      </c>
      <c r="AF37" s="60" t="n">
        <v>800</v>
      </c>
      <c r="AG37" s="61"/>
      <c r="AH37" s="62" t="n">
        <f aca="false">AE37+AF37-AG37</f>
        <v>7200</v>
      </c>
      <c r="AI37" s="60" t="n">
        <v>800</v>
      </c>
      <c r="AJ37" s="61"/>
      <c r="AK37" s="62" t="n">
        <f aca="false">AH37+AI37-AJ37</f>
        <v>8000</v>
      </c>
      <c r="AL37" s="60" t="n">
        <v>800</v>
      </c>
      <c r="AM37" s="61" t="n">
        <v>3500</v>
      </c>
      <c r="AN37" s="62" t="n">
        <f aca="false">AK37+AL37-AM37</f>
        <v>5300</v>
      </c>
    </row>
    <row collapsed="false" customFormat="true" customHeight="false" hidden="false" ht="15" outlineLevel="0" r="38" s="64">
      <c r="A38" s="63" t="n">
        <f aca="false">VLOOKUP(B38,справочник!$B$2:$E$322,4,0)</f>
        <v>188</v>
      </c>
      <c r="B38" s="64" t="e">
        <f aca="false">CONCATENATE(C38;D38)</f>
        <v>#VALUE!</v>
      </c>
      <c r="C38" s="36" t="n">
        <v>196</v>
      </c>
      <c r="D38" s="65" t="s">
        <v>53</v>
      </c>
      <c r="E38" s="36" t="s">
        <v>407</v>
      </c>
      <c r="F38" s="34" t="n">
        <v>41674</v>
      </c>
      <c r="G38" s="34" t="n">
        <v>41699</v>
      </c>
      <c r="H38" s="35" t="n">
        <f aca="false">INT(($H$325-G38)/30)</f>
        <v>22</v>
      </c>
      <c r="I38" s="36" t="n">
        <f aca="false">H38*1000</f>
        <v>22000</v>
      </c>
      <c r="J38" s="35" t="n">
        <v>10000</v>
      </c>
      <c r="K38" s="35"/>
      <c r="L38" s="66" t="n">
        <f aca="false">I38-J38-K38</f>
        <v>12000</v>
      </c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 t="n">
        <f aca="false">SUM(M38:X38)</f>
        <v>0</v>
      </c>
      <c r="Z38" s="66" t="n">
        <v>12</v>
      </c>
      <c r="AA38" s="66" t="n">
        <f aca="false">Z38*800</f>
        <v>9600</v>
      </c>
      <c r="AB38" s="66" t="n">
        <f aca="false">L38+AA38-Y38</f>
        <v>21600</v>
      </c>
      <c r="AC38" s="66" t="n">
        <v>800</v>
      </c>
      <c r="AD38" s="67"/>
      <c r="AE38" s="68" t="n">
        <f aca="false">SUM(AB38:AB39)+SUM(AC38:AC39)-SUM(AD38:AD39)</f>
        <v>44400</v>
      </c>
      <c r="AF38" s="66" t="n">
        <v>800</v>
      </c>
      <c r="AG38" s="67"/>
      <c r="AH38" s="68" t="n">
        <f aca="false">SUM(AE38:AE39)+SUM(AF38:AF39)-SUM(AG38:AG39)</f>
        <v>45200</v>
      </c>
      <c r="AI38" s="66" t="n">
        <v>800</v>
      </c>
      <c r="AJ38" s="67"/>
      <c r="AK38" s="68" t="n">
        <f aca="false">SUM(AH38:AH39)+SUM(AI38:AI39)-SUM(AJ38:AJ39)</f>
        <v>46000</v>
      </c>
      <c r="AL38" s="66" t="n">
        <v>800</v>
      </c>
      <c r="AM38" s="67"/>
      <c r="AN38" s="68" t="n">
        <f aca="false">SUM(AK38:AK39)+SUM(AL38:AL39)-SUM(AM38:AM39)</f>
        <v>14200</v>
      </c>
    </row>
    <row collapsed="false" customFormat="false" customHeight="false" hidden="false" ht="15" outlineLevel="0" r="39">
      <c r="A39" s="63" t="n">
        <f aca="false">VLOOKUP(B39,справочник!$B$2:$E$322,4,0)</f>
        <v>188</v>
      </c>
      <c r="B39" s="64" t="e">
        <f aca="false">CONCATENATE(C39;D39)</f>
        <v>#VALUE!</v>
      </c>
      <c r="C39" s="36" t="n">
        <v>197</v>
      </c>
      <c r="D39" s="65" t="s">
        <v>53</v>
      </c>
      <c r="E39" s="36"/>
      <c r="F39" s="34" t="n">
        <v>41674</v>
      </c>
      <c r="G39" s="34" t="n">
        <v>41699</v>
      </c>
      <c r="H39" s="35" t="n">
        <f aca="false">INT(($H$325-G39)/30)</f>
        <v>22</v>
      </c>
      <c r="I39" s="36" t="n">
        <f aca="false">H39*1000</f>
        <v>22000</v>
      </c>
      <c r="J39" s="35"/>
      <c r="K39" s="35"/>
      <c r="L39" s="66" t="n">
        <f aca="false">I39-J39-K39</f>
        <v>22000</v>
      </c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 t="n">
        <f aca="false">SUM(M39:X39)</f>
        <v>0</v>
      </c>
      <c r="Z39" s="66" t="n">
        <v>0</v>
      </c>
      <c r="AA39" s="66" t="n">
        <f aca="false">Z39*800</f>
        <v>0</v>
      </c>
      <c r="AB39" s="66" t="n">
        <f aca="false">L39+AA39-Y39</f>
        <v>22000</v>
      </c>
      <c r="AC39" s="66" t="n">
        <v>0</v>
      </c>
      <c r="AD39" s="67"/>
      <c r="AE39" s="68"/>
      <c r="AF39" s="66" t="n">
        <v>0</v>
      </c>
      <c r="AG39" s="67"/>
      <c r="AH39" s="68"/>
      <c r="AI39" s="66" t="n">
        <v>0</v>
      </c>
      <c r="AJ39" s="67"/>
      <c r="AK39" s="68"/>
      <c r="AL39" s="66" t="n">
        <v>0</v>
      </c>
      <c r="AM39" s="67" t="n">
        <v>32600</v>
      </c>
      <c r="AN39" s="68"/>
    </row>
    <row collapsed="false" customFormat="false" customHeight="false" hidden="false" ht="15" outlineLevel="0" r="40">
      <c r="A40" s="19" t="n">
        <f aca="false">VLOOKUP(B40,справочник!$B$2:$E$322,4,0)</f>
        <v>219</v>
      </c>
      <c r="B40" s="0" t="e">
        <f aca="false">CONCATENATE(C40;D40)</f>
        <v>#VALUE!</v>
      </c>
      <c r="C40" s="24" t="n">
        <v>228</v>
      </c>
      <c r="D40" s="29" t="s">
        <v>304</v>
      </c>
      <c r="E40" s="24" t="s">
        <v>408</v>
      </c>
      <c r="F40" s="30" t="n">
        <v>41848</v>
      </c>
      <c r="G40" s="30" t="n">
        <v>41883</v>
      </c>
      <c r="H40" s="31" t="n">
        <f aca="false">INT(($H$325-G40)/30)</f>
        <v>16</v>
      </c>
      <c r="I40" s="24" t="n">
        <f aca="false">H40*1000</f>
        <v>16000</v>
      </c>
      <c r="J40" s="31" t="n">
        <v>13000</v>
      </c>
      <c r="K40" s="31" t="n">
        <v>3000</v>
      </c>
      <c r="L40" s="59" t="n">
        <f aca="false">I40-J40-K40</f>
        <v>0</v>
      </c>
      <c r="M40" s="60"/>
      <c r="N40" s="60"/>
      <c r="O40" s="60" t="n">
        <v>3000</v>
      </c>
      <c r="P40" s="60"/>
      <c r="Q40" s="60"/>
      <c r="R40" s="60" t="n">
        <v>3000</v>
      </c>
      <c r="S40" s="60"/>
      <c r="T40" s="60"/>
      <c r="U40" s="60" t="n">
        <v>3000</v>
      </c>
      <c r="V40" s="60" t="n">
        <v>600</v>
      </c>
      <c r="W40" s="60"/>
      <c r="X40" s="60"/>
      <c r="Y40" s="59" t="n">
        <f aca="false">SUM(M40:X40)</f>
        <v>9600</v>
      </c>
      <c r="Z40" s="59" t="n">
        <v>12</v>
      </c>
      <c r="AA40" s="59" t="n">
        <f aca="false">Z40*800</f>
        <v>9600</v>
      </c>
      <c r="AB40" s="59" t="n">
        <f aca="false">L40+AA40-Y40</f>
        <v>0</v>
      </c>
      <c r="AC40" s="60" t="n">
        <v>800</v>
      </c>
      <c r="AD40" s="61"/>
      <c r="AE40" s="62" t="n">
        <f aca="false">AB40+AC40-AD40</f>
        <v>800</v>
      </c>
      <c r="AF40" s="60" t="n">
        <v>800</v>
      </c>
      <c r="AG40" s="61" t="n">
        <v>800</v>
      </c>
      <c r="AH40" s="62" t="n">
        <f aca="false">AE40+AF40-AG40</f>
        <v>800</v>
      </c>
      <c r="AI40" s="60" t="n">
        <v>800</v>
      </c>
      <c r="AJ40" s="61" t="n">
        <v>800</v>
      </c>
      <c r="AK40" s="62" t="n">
        <f aca="false">AH40+AI40-AJ40</f>
        <v>800</v>
      </c>
      <c r="AL40" s="60" t="n">
        <v>800</v>
      </c>
      <c r="AM40" s="61" t="n">
        <v>800</v>
      </c>
      <c r="AN40" s="62" t="n">
        <f aca="false">AK40+AL40-AM40</f>
        <v>800</v>
      </c>
    </row>
    <row collapsed="false" customFormat="false" customHeight="false" hidden="false" ht="15" outlineLevel="0" r="41">
      <c r="A41" s="19" t="n">
        <f aca="false">VLOOKUP(B41,справочник!$B$2:$E$322,4,0)</f>
        <v>223</v>
      </c>
      <c r="B41" s="0" t="e">
        <f aca="false">CONCATENATE(C41;D41)</f>
        <v>#VALUE!</v>
      </c>
      <c r="C41" s="24" t="n">
        <v>232</v>
      </c>
      <c r="D41" s="29" t="s">
        <v>26</v>
      </c>
      <c r="E41" s="24" t="s">
        <v>409</v>
      </c>
      <c r="F41" s="30" t="n">
        <v>40955</v>
      </c>
      <c r="G41" s="30" t="n">
        <v>40940</v>
      </c>
      <c r="H41" s="31" t="n">
        <f aca="false">INT(($H$325-G41)/30)</f>
        <v>47</v>
      </c>
      <c r="I41" s="24" t="n">
        <f aca="false">H41*1000</f>
        <v>47000</v>
      </c>
      <c r="J41" s="31" t="n">
        <v>1000</v>
      </c>
      <c r="K41" s="31" t="n">
        <v>45000</v>
      </c>
      <c r="L41" s="59" t="n">
        <f aca="false">I41-J41-K41</f>
        <v>1000</v>
      </c>
      <c r="M41" s="60"/>
      <c r="N41" s="60"/>
      <c r="O41" s="60"/>
      <c r="P41" s="60"/>
      <c r="Q41" s="60"/>
      <c r="R41" s="60"/>
      <c r="S41" s="60"/>
      <c r="T41" s="60"/>
      <c r="U41" s="60" t="n">
        <v>10000</v>
      </c>
      <c r="V41" s="60"/>
      <c r="W41" s="60"/>
      <c r="X41" s="60"/>
      <c r="Y41" s="59" t="n">
        <f aca="false">SUM(M41:X41)</f>
        <v>10000</v>
      </c>
      <c r="Z41" s="59" t="n">
        <v>12</v>
      </c>
      <c r="AA41" s="59" t="n">
        <f aca="false">Z41*800</f>
        <v>9600</v>
      </c>
      <c r="AB41" s="59" t="n">
        <f aca="false">L41+AA41-Y41</f>
        <v>600</v>
      </c>
      <c r="AC41" s="60" t="n">
        <v>800</v>
      </c>
      <c r="AD41" s="61"/>
      <c r="AE41" s="62" t="n">
        <f aca="false">AB41+AC41-AD41</f>
        <v>1400</v>
      </c>
      <c r="AF41" s="60" t="n">
        <v>800</v>
      </c>
      <c r="AG41" s="61"/>
      <c r="AH41" s="62" t="n">
        <f aca="false">AE41+AF41-AG41</f>
        <v>2200</v>
      </c>
      <c r="AI41" s="60" t="n">
        <v>800</v>
      </c>
      <c r="AJ41" s="61" t="n">
        <v>1500</v>
      </c>
      <c r="AK41" s="62" t="n">
        <f aca="false">AH41+AI41-AJ41</f>
        <v>1500</v>
      </c>
      <c r="AL41" s="60" t="n">
        <v>800</v>
      </c>
      <c r="AM41" s="61"/>
      <c r="AN41" s="62" t="n">
        <f aca="false">AK41+AL41-AM41</f>
        <v>2300</v>
      </c>
    </row>
    <row collapsed="false" customFormat="false" customHeight="false" hidden="false" ht="15" outlineLevel="0" r="42">
      <c r="A42" s="19" t="n">
        <f aca="false">VLOOKUP(B42,справочник!$B$2:$E$322,4,0)</f>
        <v>137</v>
      </c>
      <c r="B42" s="0" t="e">
        <f aca="false">CONCATENATE(C42;D42)</f>
        <v>#VALUE!</v>
      </c>
      <c r="C42" s="24" t="n">
        <v>145</v>
      </c>
      <c r="D42" s="29" t="s">
        <v>242</v>
      </c>
      <c r="E42" s="24" t="s">
        <v>410</v>
      </c>
      <c r="F42" s="30" t="n">
        <v>41030</v>
      </c>
      <c r="G42" s="30" t="n">
        <v>41030</v>
      </c>
      <c r="H42" s="31" t="n">
        <f aca="false">INT(($H$325-G42)/30)</f>
        <v>44</v>
      </c>
      <c r="I42" s="24" t="n">
        <f aca="false">H42*1000</f>
        <v>44000</v>
      </c>
      <c r="J42" s="31" t="n">
        <v>44000</v>
      </c>
      <c r="K42" s="31"/>
      <c r="L42" s="59" t="n">
        <f aca="false">I42-J42-K42</f>
        <v>0</v>
      </c>
      <c r="M42" s="60"/>
      <c r="N42" s="60" t="n">
        <v>1600</v>
      </c>
      <c r="O42" s="60"/>
      <c r="P42" s="60"/>
      <c r="Q42" s="60"/>
      <c r="R42" s="60" t="n">
        <v>800</v>
      </c>
      <c r="S42" s="60"/>
      <c r="T42" s="60"/>
      <c r="U42" s="60"/>
      <c r="V42" s="60"/>
      <c r="W42" s="60"/>
      <c r="X42" s="60"/>
      <c r="Y42" s="59" t="n">
        <f aca="false">SUM(M42:X42)</f>
        <v>2400</v>
      </c>
      <c r="Z42" s="59" t="n">
        <v>12</v>
      </c>
      <c r="AA42" s="59" t="n">
        <f aca="false">Z42*800</f>
        <v>9600</v>
      </c>
      <c r="AB42" s="59" t="n">
        <f aca="false">L42+AA42-Y42</f>
        <v>7200</v>
      </c>
      <c r="AC42" s="60" t="n">
        <v>800</v>
      </c>
      <c r="AD42" s="61"/>
      <c r="AE42" s="62" t="n">
        <f aca="false">AB42+AC42-AD42</f>
        <v>8000</v>
      </c>
      <c r="AF42" s="60" t="n">
        <v>800</v>
      </c>
      <c r="AG42" s="61"/>
      <c r="AH42" s="62" t="n">
        <f aca="false">AE42+AF42-AG42</f>
        <v>8800</v>
      </c>
      <c r="AI42" s="60" t="n">
        <v>800</v>
      </c>
      <c r="AJ42" s="61"/>
      <c r="AK42" s="62" t="n">
        <f aca="false">AH42+AI42-AJ42</f>
        <v>9600</v>
      </c>
      <c r="AL42" s="60" t="n">
        <v>800</v>
      </c>
      <c r="AM42" s="61"/>
      <c r="AN42" s="62" t="n">
        <f aca="false">AK42+AL42-AM42</f>
        <v>10400</v>
      </c>
    </row>
    <row collapsed="false" customFormat="false" customHeight="false" hidden="false" ht="15" outlineLevel="0" r="43">
      <c r="A43" s="19" t="n">
        <f aca="false">VLOOKUP(B43,справочник!$B$2:$E$322,4,0)</f>
        <v>105</v>
      </c>
      <c r="B43" s="0" t="e">
        <f aca="false">CONCATENATE(C43;D43)</f>
        <v>#VALUE!</v>
      </c>
      <c r="C43" s="24" t="n">
        <v>110</v>
      </c>
      <c r="D43" s="29" t="s">
        <v>113</v>
      </c>
      <c r="E43" s="24" t="s">
        <v>411</v>
      </c>
      <c r="F43" s="30" t="n">
        <v>40925</v>
      </c>
      <c r="G43" s="30" t="n">
        <v>40909</v>
      </c>
      <c r="H43" s="31" t="n">
        <f aca="false">INT(($H$325-G43)/30)</f>
        <v>48</v>
      </c>
      <c r="I43" s="24" t="n">
        <f aca="false">H43*1000</f>
        <v>48000</v>
      </c>
      <c r="J43" s="31" t="n">
        <v>28000</v>
      </c>
      <c r="K43" s="31"/>
      <c r="L43" s="59" t="n">
        <f aca="false">I43-J43-K43</f>
        <v>20000</v>
      </c>
      <c r="M43" s="60" t="n">
        <v>3000</v>
      </c>
      <c r="N43" s="60"/>
      <c r="O43" s="60"/>
      <c r="P43" s="60"/>
      <c r="Q43" s="60"/>
      <c r="R43" s="60" t="n">
        <v>800</v>
      </c>
      <c r="S43" s="60"/>
      <c r="T43" s="60"/>
      <c r="U43" s="60" t="n">
        <v>1600</v>
      </c>
      <c r="V43" s="60"/>
      <c r="W43" s="60"/>
      <c r="X43" s="60" t="n">
        <v>800</v>
      </c>
      <c r="Y43" s="59" t="n">
        <f aca="false">SUM(M43:X43)</f>
        <v>6200</v>
      </c>
      <c r="Z43" s="59" t="n">
        <v>12</v>
      </c>
      <c r="AA43" s="59" t="n">
        <f aca="false">Z43*800</f>
        <v>9600</v>
      </c>
      <c r="AB43" s="59" t="n">
        <f aca="false">L43+AA43-Y43</f>
        <v>23400</v>
      </c>
      <c r="AC43" s="60" t="n">
        <v>800</v>
      </c>
      <c r="AD43" s="61"/>
      <c r="AE43" s="62" t="n">
        <f aca="false">AB43+AC43-AD43</f>
        <v>24200</v>
      </c>
      <c r="AF43" s="60" t="n">
        <v>800</v>
      </c>
      <c r="AG43" s="61"/>
      <c r="AH43" s="62" t="n">
        <f aca="false">AE43+AF43-AG43</f>
        <v>25000</v>
      </c>
      <c r="AI43" s="60" t="n">
        <v>800</v>
      </c>
      <c r="AJ43" s="61" t="n">
        <v>800</v>
      </c>
      <c r="AK43" s="62" t="n">
        <f aca="false">AH43+AI43-AJ43</f>
        <v>25000</v>
      </c>
      <c r="AL43" s="60" t="n">
        <v>800</v>
      </c>
      <c r="AM43" s="61"/>
      <c r="AN43" s="62" t="n">
        <f aca="false">AK43+AL43-AM43</f>
        <v>25800</v>
      </c>
    </row>
    <row collapsed="false" customFormat="false" customHeight="false" hidden="false" ht="15" outlineLevel="0" r="44">
      <c r="A44" s="19" t="n">
        <f aca="false">VLOOKUP(B44,справочник!$B$2:$E$322,4,0)</f>
        <v>98</v>
      </c>
      <c r="B44" s="0" t="e">
        <f aca="false">CONCATENATE(C44;D44)</f>
        <v>#VALUE!</v>
      </c>
      <c r="C44" s="24" t="n">
        <v>103</v>
      </c>
      <c r="D44" s="29" t="s">
        <v>103</v>
      </c>
      <c r="E44" s="24" t="s">
        <v>412</v>
      </c>
      <c r="F44" s="30" t="n">
        <v>40897</v>
      </c>
      <c r="G44" s="30" t="n">
        <v>40878</v>
      </c>
      <c r="H44" s="31" t="n">
        <f aca="false">INT(($H$325-G44)/30)</f>
        <v>49</v>
      </c>
      <c r="I44" s="24" t="n">
        <f aca="false">H44*1000</f>
        <v>49000</v>
      </c>
      <c r="J44" s="31" t="n">
        <f aca="false">29000+1000</f>
        <v>30000</v>
      </c>
      <c r="K44" s="31"/>
      <c r="L44" s="59" t="n">
        <f aca="false">I44-J44-K44</f>
        <v>19000</v>
      </c>
      <c r="M44" s="60"/>
      <c r="N44" s="60"/>
      <c r="O44" s="60"/>
      <c r="P44" s="60"/>
      <c r="Q44" s="60"/>
      <c r="R44" s="60"/>
      <c r="S44" s="60"/>
      <c r="T44" s="0" t="n">
        <v>4000</v>
      </c>
      <c r="U44" s="60"/>
      <c r="V44" s="60"/>
      <c r="W44" s="60"/>
      <c r="X44" s="60"/>
      <c r="Y44" s="59" t="n">
        <f aca="false">SUM(M44:X44)</f>
        <v>4000</v>
      </c>
      <c r="Z44" s="59" t="n">
        <v>12</v>
      </c>
      <c r="AA44" s="59" t="n">
        <f aca="false">Z44*800</f>
        <v>9600</v>
      </c>
      <c r="AB44" s="59" t="n">
        <f aca="false">L44+AA44-Y44</f>
        <v>24600</v>
      </c>
      <c r="AC44" s="60" t="n">
        <v>800</v>
      </c>
      <c r="AD44" s="61"/>
      <c r="AE44" s="62" t="n">
        <f aca="false">AB44+AC44-AD44</f>
        <v>25400</v>
      </c>
      <c r="AF44" s="60" t="n">
        <v>800</v>
      </c>
      <c r="AG44" s="61"/>
      <c r="AH44" s="62" t="n">
        <f aca="false">AE44+AF44-AG44</f>
        <v>26200</v>
      </c>
      <c r="AI44" s="60" t="n">
        <v>800</v>
      </c>
      <c r="AJ44" s="61"/>
      <c r="AK44" s="62" t="n">
        <f aca="false">AH44+AI44-AJ44</f>
        <v>27000</v>
      </c>
      <c r="AL44" s="60" t="n">
        <v>800</v>
      </c>
      <c r="AM44" s="61"/>
      <c r="AN44" s="62" t="n">
        <f aca="false">AK44+AL44-AM44</f>
        <v>27800</v>
      </c>
    </row>
    <row collapsed="false" customFormat="true" customHeight="false" hidden="false" ht="15" outlineLevel="0" r="45" s="64">
      <c r="A45" s="63" t="n">
        <f aca="false">VLOOKUP(B45,справочник!$B$2:$E$322,4,0)</f>
        <v>274</v>
      </c>
      <c r="B45" s="64" t="e">
        <f aca="false">CONCATENATE(C45;D45)</f>
        <v>#VALUE!</v>
      </c>
      <c r="C45" s="36" t="n">
        <v>287</v>
      </c>
      <c r="D45" s="65" t="s">
        <v>314</v>
      </c>
      <c r="E45" s="36"/>
      <c r="F45" s="34" t="n">
        <v>42023</v>
      </c>
      <c r="G45" s="34" t="n">
        <v>42036</v>
      </c>
      <c r="H45" s="35" t="n">
        <f aca="false">INT(($H$325-G45)/30)</f>
        <v>11</v>
      </c>
      <c r="I45" s="36" t="n">
        <f aca="false">H45*1000</f>
        <v>11000</v>
      </c>
      <c r="J45" s="35" t="n">
        <v>2000</v>
      </c>
      <c r="K45" s="35"/>
      <c r="L45" s="66" t="n">
        <f aca="false">I45-J45-K45</f>
        <v>9000</v>
      </c>
      <c r="M45" s="66"/>
      <c r="N45" s="66"/>
      <c r="O45" s="66" t="n">
        <v>1600</v>
      </c>
      <c r="P45" s="66"/>
      <c r="Q45" s="66"/>
      <c r="R45" s="66" t="n">
        <v>26800</v>
      </c>
      <c r="S45" s="66" t="n">
        <v>800</v>
      </c>
      <c r="T45" s="66"/>
      <c r="U45" s="66"/>
      <c r="V45" s="66"/>
      <c r="X45" s="66"/>
      <c r="Y45" s="66" t="n">
        <f aca="false">SUM(M45:X45)</f>
        <v>29200</v>
      </c>
      <c r="Z45" s="66" t="n">
        <v>12</v>
      </c>
      <c r="AA45" s="66" t="n">
        <f aca="false">Z45*800</f>
        <v>9600</v>
      </c>
      <c r="AB45" s="66" t="n">
        <f aca="false">L45+AA45-Y45</f>
        <v>-10600</v>
      </c>
      <c r="AC45" s="66" t="n">
        <v>0</v>
      </c>
      <c r="AD45" s="67"/>
      <c r="AE45" s="68" t="n">
        <f aca="false">SUM(AB45:AB46)+SUM(AC45:AC46)-SUM(AD45:AD46)</f>
        <v>-2800</v>
      </c>
      <c r="AF45" s="66" t="n">
        <v>0</v>
      </c>
      <c r="AG45" s="67"/>
      <c r="AH45" s="68" t="n">
        <f aca="false">SUM(AE45:AE46)+SUM(AF45:AF46)-SUM(AG45:AG46)</f>
        <v>-2800</v>
      </c>
      <c r="AI45" s="66" t="n">
        <v>0</v>
      </c>
      <c r="AJ45" s="67"/>
      <c r="AK45" s="68" t="n">
        <f aca="false">SUM(AH45:AH46)+SUM(AI45:AI46)-SUM(AJ45:AJ46)</f>
        <v>-2800</v>
      </c>
      <c r="AL45" s="66" t="n">
        <v>0</v>
      </c>
      <c r="AM45" s="67"/>
      <c r="AN45" s="68" t="n">
        <f aca="false">SUM(AK45:AK46)+SUM(AL45:AL46)-SUM(AM45:AM46)</f>
        <v>-2000</v>
      </c>
    </row>
    <row collapsed="false" customFormat="false" customHeight="false" hidden="false" ht="15" outlineLevel="0" r="46">
      <c r="A46" s="63" t="n">
        <f aca="false">VLOOKUP(B46,справочник!$B$2:$E$322,4,0)</f>
        <v>274</v>
      </c>
      <c r="B46" s="64" t="e">
        <f aca="false">CONCATENATE(C46;D46)</f>
        <v>#VALUE!</v>
      </c>
      <c r="C46" s="36" t="n">
        <v>295</v>
      </c>
      <c r="D46" s="65" t="s">
        <v>314</v>
      </c>
      <c r="E46" s="36"/>
      <c r="F46" s="34" t="n">
        <v>42023</v>
      </c>
      <c r="G46" s="34" t="n">
        <v>42036</v>
      </c>
      <c r="H46" s="35" t="n">
        <f aca="false">INT(($H$325-G46)/30)</f>
        <v>11</v>
      </c>
      <c r="I46" s="36" t="n">
        <f aca="false">H46*1000</f>
        <v>11000</v>
      </c>
      <c r="J46" s="35"/>
      <c r="K46" s="35"/>
      <c r="L46" s="66" t="n">
        <f aca="false">I46-J46-K46</f>
        <v>11000</v>
      </c>
      <c r="M46" s="66"/>
      <c r="N46" s="66"/>
      <c r="O46" s="66"/>
      <c r="P46" s="66"/>
      <c r="Q46" s="66"/>
      <c r="R46" s="66"/>
      <c r="S46" s="66"/>
      <c r="T46" s="66"/>
      <c r="U46" s="66" t="n">
        <v>1600</v>
      </c>
      <c r="V46" s="66" t="n">
        <v>800</v>
      </c>
      <c r="W46" s="64" t="n">
        <v>800</v>
      </c>
      <c r="X46" s="66" t="n">
        <v>800</v>
      </c>
      <c r="Y46" s="66" t="n">
        <f aca="false">SUM(M46:X46)</f>
        <v>4000</v>
      </c>
      <c r="Z46" s="66" t="n">
        <v>0</v>
      </c>
      <c r="AA46" s="66" t="n">
        <f aca="false">Z46*800</f>
        <v>0</v>
      </c>
      <c r="AB46" s="66" t="n">
        <f aca="false">L46+AA46-Y46</f>
        <v>7000</v>
      </c>
      <c r="AC46" s="66" t="n">
        <v>800</v>
      </c>
      <c r="AD46" s="67"/>
      <c r="AE46" s="68"/>
      <c r="AF46" s="66" t="n">
        <v>800</v>
      </c>
      <c r="AG46" s="67" t="n">
        <v>800</v>
      </c>
      <c r="AH46" s="68"/>
      <c r="AI46" s="66" t="n">
        <v>800</v>
      </c>
      <c r="AJ46" s="67" t="n">
        <v>800</v>
      </c>
      <c r="AK46" s="68"/>
      <c r="AL46" s="66" t="n">
        <v>800</v>
      </c>
      <c r="AM46" s="67"/>
      <c r="AN46" s="68"/>
    </row>
    <row collapsed="false" customFormat="false" customHeight="false" hidden="false" ht="15" outlineLevel="0" r="47">
      <c r="A47" s="63" t="n">
        <f aca="false">VLOOKUP(B47,справочник!$B$2:$E$322,4,0)</f>
        <v>175</v>
      </c>
      <c r="B47" s="64" t="e">
        <f aca="false">CONCATENATE(C47;D47)</f>
        <v>#VALUE!</v>
      </c>
      <c r="C47" s="36" t="n">
        <v>183</v>
      </c>
      <c r="D47" s="65" t="s">
        <v>150</v>
      </c>
      <c r="E47" s="36" t="s">
        <v>413</v>
      </c>
      <c r="F47" s="34" t="n">
        <v>41865</v>
      </c>
      <c r="G47" s="34" t="n">
        <v>41883</v>
      </c>
      <c r="H47" s="35" t="n">
        <f aca="false">INT(($H$325-G47)/30)</f>
        <v>16</v>
      </c>
      <c r="I47" s="36" t="n">
        <f aca="false">H47*1000</f>
        <v>16000</v>
      </c>
      <c r="J47" s="35"/>
      <c r="K47" s="35"/>
      <c r="L47" s="66" t="n">
        <f aca="false">I47-J47-K47</f>
        <v>16000</v>
      </c>
      <c r="M47" s="66"/>
      <c r="N47" s="66"/>
      <c r="O47" s="66"/>
      <c r="P47" s="66"/>
      <c r="Q47" s="66" t="n">
        <v>21600</v>
      </c>
      <c r="R47" s="66"/>
      <c r="S47" s="66"/>
      <c r="T47" s="66"/>
      <c r="U47" s="66" t="n">
        <v>20000</v>
      </c>
      <c r="V47" s="66"/>
      <c r="W47" s="66"/>
      <c r="X47" s="66"/>
      <c r="Y47" s="66" t="n">
        <f aca="false">SUM(M47:X47)</f>
        <v>41600</v>
      </c>
      <c r="Z47" s="66" t="n">
        <v>12</v>
      </c>
      <c r="AA47" s="66" t="n">
        <f aca="false">Z47*800</f>
        <v>9600</v>
      </c>
      <c r="AB47" s="66" t="n">
        <f aca="false">L47+AA47-Y47</f>
        <v>-16000</v>
      </c>
      <c r="AC47" s="66" t="n">
        <v>800</v>
      </c>
      <c r="AD47" s="67"/>
      <c r="AE47" s="68" t="n">
        <f aca="false">SUM(AB47:AB48)+SUM(AC47:AC48)</f>
        <v>800</v>
      </c>
      <c r="AF47" s="66" t="n">
        <v>800</v>
      </c>
      <c r="AG47" s="67"/>
      <c r="AH47" s="68" t="n">
        <f aca="false">SUM(AE47:AE48)+SUM(AF47:AF48)</f>
        <v>1600</v>
      </c>
      <c r="AI47" s="66" t="n">
        <v>800</v>
      </c>
      <c r="AJ47" s="67"/>
      <c r="AK47" s="68" t="n">
        <f aca="false">SUM(AH47:AH48)+SUM(AI47:AI48)</f>
        <v>2400</v>
      </c>
      <c r="AL47" s="66" t="n">
        <v>800</v>
      </c>
      <c r="AM47" s="67"/>
      <c r="AN47" s="68" t="n">
        <f aca="false">SUM(AK47:AK48)+SUM(AL47:AL48)</f>
        <v>3200</v>
      </c>
    </row>
    <row collapsed="false" customFormat="false" customHeight="false" hidden="false" ht="15" outlineLevel="0" r="48">
      <c r="A48" s="63" t="n">
        <f aca="false">VLOOKUP(B48,справочник!$B$2:$E$322,4,0)</f>
        <v>175</v>
      </c>
      <c r="B48" s="64" t="e">
        <f aca="false">CONCATENATE(C48;D48)</f>
        <v>#VALUE!</v>
      </c>
      <c r="C48" s="36" t="n">
        <v>187</v>
      </c>
      <c r="D48" s="65" t="s">
        <v>150</v>
      </c>
      <c r="E48" s="36" t="s">
        <v>414</v>
      </c>
      <c r="F48" s="34" t="n">
        <v>41865</v>
      </c>
      <c r="G48" s="34" t="n">
        <v>41883</v>
      </c>
      <c r="H48" s="35" t="n">
        <f aca="false">INT(($H$325-G48)/30)</f>
        <v>16</v>
      </c>
      <c r="I48" s="36" t="n">
        <f aca="false">H48*1000</f>
        <v>16000</v>
      </c>
      <c r="J48" s="35"/>
      <c r="K48" s="35"/>
      <c r="L48" s="66" t="n">
        <f aca="false">I48-J48-K48</f>
        <v>16000</v>
      </c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 t="n">
        <f aca="false">SUM(M48:X48)</f>
        <v>0</v>
      </c>
      <c r="Z48" s="66" t="n">
        <v>0</v>
      </c>
      <c r="AA48" s="66" t="n">
        <f aca="false">Z48*800</f>
        <v>0</v>
      </c>
      <c r="AB48" s="66" t="n">
        <f aca="false">L48+AA48-Y48</f>
        <v>16000</v>
      </c>
      <c r="AC48" s="66" t="n">
        <v>0</v>
      </c>
      <c r="AD48" s="67"/>
      <c r="AE48" s="68"/>
      <c r="AF48" s="66" t="n">
        <v>0</v>
      </c>
      <c r="AG48" s="67"/>
      <c r="AH48" s="68"/>
      <c r="AI48" s="66" t="n">
        <v>0</v>
      </c>
      <c r="AJ48" s="67"/>
      <c r="AK48" s="68"/>
      <c r="AL48" s="66" t="n">
        <v>0</v>
      </c>
      <c r="AM48" s="67"/>
      <c r="AN48" s="68"/>
    </row>
    <row collapsed="false" customFormat="false" customHeight="false" hidden="false" ht="15" outlineLevel="0" r="49">
      <c r="A49" s="63" t="n">
        <f aca="false">VLOOKUP(B49,справочник!$B$2:$E$322,4,0)</f>
        <v>303</v>
      </c>
      <c r="B49" s="64" t="e">
        <f aca="false">CONCATENATE(C49;D49)</f>
        <v>#VALUE!</v>
      </c>
      <c r="C49" s="36" t="n">
        <v>318</v>
      </c>
      <c r="D49" s="65" t="s">
        <v>74</v>
      </c>
      <c r="E49" s="36" t="s">
        <v>415</v>
      </c>
      <c r="F49" s="34" t="n">
        <v>42002</v>
      </c>
      <c r="G49" s="34" t="n">
        <v>42005</v>
      </c>
      <c r="H49" s="35" t="n">
        <f aca="false">INT(($H$325-G49)/30)</f>
        <v>12</v>
      </c>
      <c r="I49" s="36" t="n">
        <f aca="false">H49*1000</f>
        <v>12000</v>
      </c>
      <c r="J49" s="35"/>
      <c r="K49" s="35"/>
      <c r="L49" s="66" t="n">
        <f aca="false">I49-J49-K49</f>
        <v>12000</v>
      </c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 t="n">
        <f aca="false">SUM(M49:X49)</f>
        <v>0</v>
      </c>
      <c r="Z49" s="66" t="n">
        <v>12</v>
      </c>
      <c r="AA49" s="66" t="n">
        <f aca="false">Z49*800</f>
        <v>9600</v>
      </c>
      <c r="AB49" s="66" t="n">
        <f aca="false">L49+AA49-Y49</f>
        <v>21600</v>
      </c>
      <c r="AC49" s="66" t="n">
        <v>800</v>
      </c>
      <c r="AD49" s="67"/>
      <c r="AE49" s="68" t="n">
        <f aca="false">SUM(AB49:AB50)+SUM(AC49:AC50)-SUM(AD49:AD50)</f>
        <v>34400</v>
      </c>
      <c r="AF49" s="66" t="n">
        <v>800</v>
      </c>
      <c r="AG49" s="67"/>
      <c r="AH49" s="68" t="n">
        <f aca="false">SUM(AE49:AE50)+SUM(AF49:AF50)-SUM(AG49:AG50)</f>
        <v>35200</v>
      </c>
      <c r="AI49" s="66" t="n">
        <v>800</v>
      </c>
      <c r="AJ49" s="67"/>
      <c r="AK49" s="68" t="n">
        <f aca="false">SUM(AH49:AH50)+SUM(AI49:AI50)-SUM(AJ49:AJ50)</f>
        <v>36000</v>
      </c>
      <c r="AL49" s="66" t="n">
        <v>800</v>
      </c>
      <c r="AM49" s="67"/>
      <c r="AN49" s="68" t="n">
        <f aca="false">SUM(AK49:AK50)+SUM(AL49:AL50)-SUM(AM49:AM50)</f>
        <v>36800</v>
      </c>
    </row>
    <row collapsed="false" customFormat="false" customHeight="false" hidden="false" ht="15" outlineLevel="0" r="50">
      <c r="A50" s="63" t="n">
        <f aca="false">VLOOKUP(B50,справочник!$B$2:$E$322,4,0)</f>
        <v>303</v>
      </c>
      <c r="B50" s="64" t="e">
        <f aca="false">CONCATENATE(C50;D50)</f>
        <v>#VALUE!</v>
      </c>
      <c r="C50" s="36" t="n">
        <v>319</v>
      </c>
      <c r="D50" s="65" t="s">
        <v>74</v>
      </c>
      <c r="E50" s="36" t="s">
        <v>416</v>
      </c>
      <c r="F50" s="34" t="n">
        <v>42002</v>
      </c>
      <c r="G50" s="34" t="n">
        <v>42005</v>
      </c>
      <c r="H50" s="35" t="n">
        <f aca="false">INT(($H$325-G50)/30)</f>
        <v>12</v>
      </c>
      <c r="I50" s="36" t="n">
        <f aca="false">H50*1000</f>
        <v>12000</v>
      </c>
      <c r="J50" s="35"/>
      <c r="K50" s="35"/>
      <c r="L50" s="66" t="n">
        <f aca="false">I50-J50-K50</f>
        <v>12000</v>
      </c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 t="n">
        <f aca="false">SUM(M50:X50)</f>
        <v>0</v>
      </c>
      <c r="Z50" s="66" t="n">
        <v>0</v>
      </c>
      <c r="AA50" s="66" t="n">
        <f aca="false">Z50*800</f>
        <v>0</v>
      </c>
      <c r="AB50" s="66" t="n">
        <f aca="false">L50+AA50-Y50</f>
        <v>12000</v>
      </c>
      <c r="AC50" s="66" t="n">
        <v>0</v>
      </c>
      <c r="AD50" s="67"/>
      <c r="AE50" s="68"/>
      <c r="AF50" s="66" t="n">
        <v>0</v>
      </c>
      <c r="AG50" s="67"/>
      <c r="AH50" s="68"/>
      <c r="AI50" s="66" t="n">
        <v>0</v>
      </c>
      <c r="AJ50" s="67"/>
      <c r="AK50" s="68"/>
      <c r="AL50" s="66" t="n">
        <v>0</v>
      </c>
      <c r="AM50" s="67"/>
      <c r="AN50" s="68"/>
    </row>
    <row collapsed="false" customFormat="false" customHeight="false" hidden="false" ht="15" outlineLevel="0" r="51">
      <c r="A51" s="19" t="n">
        <f aca="false">VLOOKUP(B51,справочник!$B$2:$E$322,4,0)</f>
        <v>90</v>
      </c>
      <c r="B51" s="0" t="e">
        <f aca="false">CONCATENATE(C51;D51)</f>
        <v>#VALUE!</v>
      </c>
      <c r="C51" s="24" t="n">
        <v>95</v>
      </c>
      <c r="D51" s="29" t="s">
        <v>286</v>
      </c>
      <c r="E51" s="24" t="s">
        <v>417</v>
      </c>
      <c r="F51" s="30" t="n">
        <v>40795</v>
      </c>
      <c r="G51" s="30" t="n">
        <v>40787</v>
      </c>
      <c r="H51" s="31" t="n">
        <f aca="false">INT(($H$325-G51)/30)</f>
        <v>52</v>
      </c>
      <c r="I51" s="24" t="n">
        <f aca="false">H51*1000</f>
        <v>52000</v>
      </c>
      <c r="J51" s="31" t="n">
        <f aca="false">36000+4000+12000</f>
        <v>52000</v>
      </c>
      <c r="K51" s="31"/>
      <c r="L51" s="59" t="n">
        <f aca="false">I51-J51-K51</f>
        <v>0</v>
      </c>
      <c r="M51" s="60"/>
      <c r="N51" s="60"/>
      <c r="O51" s="60"/>
      <c r="P51" s="60" t="n">
        <v>4800</v>
      </c>
      <c r="Q51" s="60"/>
      <c r="R51" s="60"/>
      <c r="S51" s="60"/>
      <c r="T51" s="60"/>
      <c r="U51" s="60" t="n">
        <v>4800</v>
      </c>
      <c r="V51" s="60"/>
      <c r="W51" s="60"/>
      <c r="X51" s="60"/>
      <c r="Y51" s="59" t="n">
        <f aca="false">SUM(M51:X51)</f>
        <v>9600</v>
      </c>
      <c r="Z51" s="59" t="n">
        <v>12</v>
      </c>
      <c r="AA51" s="59" t="n">
        <f aca="false">Z51*800</f>
        <v>9600</v>
      </c>
      <c r="AB51" s="59" t="n">
        <f aca="false">L51+AA51-Y51</f>
        <v>0</v>
      </c>
      <c r="AC51" s="60" t="n">
        <v>800</v>
      </c>
      <c r="AD51" s="61"/>
      <c r="AE51" s="62" t="n">
        <f aca="false">AB51+AC51-AD51</f>
        <v>800</v>
      </c>
      <c r="AF51" s="60" t="n">
        <v>800</v>
      </c>
      <c r="AG51" s="61"/>
      <c r="AH51" s="62" t="n">
        <f aca="false">AE51+AF51-AG51</f>
        <v>1600</v>
      </c>
      <c r="AI51" s="60" t="n">
        <v>800</v>
      </c>
      <c r="AJ51" s="61" t="n">
        <v>4800</v>
      </c>
      <c r="AK51" s="62" t="n">
        <f aca="false">AH51+AI51-AJ51</f>
        <v>-2400</v>
      </c>
      <c r="AL51" s="60" t="n">
        <v>800</v>
      </c>
      <c r="AM51" s="61"/>
      <c r="AN51" s="62" t="n">
        <f aca="false">AK51+AL51-AM51</f>
        <v>-1600</v>
      </c>
    </row>
    <row collapsed="false" customFormat="false" customHeight="false" hidden="false" ht="15" outlineLevel="0" r="52">
      <c r="A52" s="19" t="n">
        <f aca="false">VLOOKUP(B52,справочник!$B$2:$E$322,4,0)</f>
        <v>206</v>
      </c>
      <c r="B52" s="0" t="e">
        <f aca="false">CONCATENATE(C52;D52)</f>
        <v>#VALUE!</v>
      </c>
      <c r="C52" s="24" t="n">
        <v>216</v>
      </c>
      <c r="D52" s="29" t="s">
        <v>159</v>
      </c>
      <c r="E52" s="24" t="s">
        <v>418</v>
      </c>
      <c r="F52" s="30" t="n">
        <v>40953</v>
      </c>
      <c r="G52" s="30" t="n">
        <v>40940</v>
      </c>
      <c r="H52" s="31" t="n">
        <f aca="false">INT(($H$325-G52)/30)</f>
        <v>47</v>
      </c>
      <c r="I52" s="24" t="n">
        <f aca="false">H52*1000</f>
        <v>47000</v>
      </c>
      <c r="J52" s="31" t="n">
        <v>38000</v>
      </c>
      <c r="K52" s="31"/>
      <c r="L52" s="59" t="n">
        <f aca="false">I52-J52-K52</f>
        <v>9000</v>
      </c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 t="n">
        <v>10000</v>
      </c>
      <c r="Y52" s="59" t="n">
        <f aca="false">SUM(M52:X52)</f>
        <v>10000</v>
      </c>
      <c r="Z52" s="59" t="n">
        <v>12</v>
      </c>
      <c r="AA52" s="59" t="n">
        <f aca="false">Z52*800</f>
        <v>9600</v>
      </c>
      <c r="AB52" s="59" t="n">
        <f aca="false">L52+AA52-Y52</f>
        <v>8600</v>
      </c>
      <c r="AC52" s="60" t="n">
        <v>800</v>
      </c>
      <c r="AD52" s="61"/>
      <c r="AE52" s="62" t="n">
        <f aca="false">AB52+AC52-AD52</f>
        <v>9400</v>
      </c>
      <c r="AF52" s="60" t="n">
        <v>800</v>
      </c>
      <c r="AG52" s="61"/>
      <c r="AH52" s="62" t="n">
        <f aca="false">AE52+AF52-AG52</f>
        <v>10200</v>
      </c>
      <c r="AI52" s="60" t="n">
        <v>800</v>
      </c>
      <c r="AJ52" s="61"/>
      <c r="AK52" s="62" t="n">
        <f aca="false">AH52+AI52-AJ52</f>
        <v>11000</v>
      </c>
      <c r="AL52" s="60" t="n">
        <v>800</v>
      </c>
      <c r="AM52" s="61"/>
      <c r="AN52" s="62" t="n">
        <f aca="false">AK52+AL52-AM52</f>
        <v>11800</v>
      </c>
    </row>
    <row collapsed="false" customFormat="false" customHeight="false" hidden="false" ht="15" outlineLevel="0" r="53">
      <c r="A53" s="19" t="n">
        <f aca="false">VLOOKUP(B53,справочник!$B$2:$E$322,4,0)</f>
        <v>101</v>
      </c>
      <c r="B53" s="0" t="e">
        <f aca="false">CONCATENATE(C53;D53)</f>
        <v>#VALUE!</v>
      </c>
      <c r="C53" s="24" t="n">
        <v>106</v>
      </c>
      <c r="D53" s="29" t="s">
        <v>196</v>
      </c>
      <c r="E53" s="24" t="s">
        <v>419</v>
      </c>
      <c r="F53" s="30" t="n">
        <v>40816</v>
      </c>
      <c r="G53" s="30" t="n">
        <v>40787</v>
      </c>
      <c r="H53" s="31" t="n">
        <f aca="false">INT(($H$325-G53)/30)</f>
        <v>52</v>
      </c>
      <c r="I53" s="24" t="n">
        <f aca="false">H53*1000</f>
        <v>52000</v>
      </c>
      <c r="J53" s="31" t="n">
        <f aca="false">42000+1000</f>
        <v>43000</v>
      </c>
      <c r="K53" s="31"/>
      <c r="L53" s="59" t="n">
        <f aca="false">I53-J53-K53</f>
        <v>9000</v>
      </c>
      <c r="M53" s="60" t="n">
        <v>7000</v>
      </c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59" t="n">
        <f aca="false">SUM(M53:X53)</f>
        <v>7000</v>
      </c>
      <c r="Z53" s="59" t="n">
        <v>12</v>
      </c>
      <c r="AA53" s="59" t="n">
        <f aca="false">Z53*800</f>
        <v>9600</v>
      </c>
      <c r="AB53" s="59" t="n">
        <f aca="false">L53+AA53-Y53</f>
        <v>11600</v>
      </c>
      <c r="AC53" s="60" t="n">
        <v>800</v>
      </c>
      <c r="AD53" s="61"/>
      <c r="AE53" s="62" t="n">
        <f aca="false">AB53+AC53-AD53</f>
        <v>12400</v>
      </c>
      <c r="AF53" s="60" t="n">
        <v>800</v>
      </c>
      <c r="AG53" s="61"/>
      <c r="AH53" s="62" t="n">
        <f aca="false">AE53+AF53-AG53</f>
        <v>13200</v>
      </c>
      <c r="AI53" s="60" t="n">
        <v>800</v>
      </c>
      <c r="AJ53" s="61" t="n">
        <f aca="false">2400+4800</f>
        <v>7200</v>
      </c>
      <c r="AK53" s="62" t="n">
        <f aca="false">AH53+AI53-AJ53</f>
        <v>6800</v>
      </c>
      <c r="AL53" s="60" t="n">
        <v>800</v>
      </c>
      <c r="AM53" s="61"/>
      <c r="AN53" s="62" t="n">
        <f aca="false">AK53+AL53-AM53</f>
        <v>7600</v>
      </c>
    </row>
    <row collapsed="false" customFormat="false" customHeight="false" hidden="false" ht="15" outlineLevel="0" r="54">
      <c r="A54" s="19" t="n">
        <f aca="false">VLOOKUP(B54,справочник!$B$2:$E$322,4,0)</f>
        <v>86</v>
      </c>
      <c r="B54" s="0" t="e">
        <f aca="false">CONCATENATE(C54;D54)</f>
        <v>#VALUE!</v>
      </c>
      <c r="C54" s="24" t="n">
        <v>91</v>
      </c>
      <c r="D54" s="29" t="s">
        <v>277</v>
      </c>
      <c r="E54" s="24" t="s">
        <v>420</v>
      </c>
      <c r="F54" s="30" t="n">
        <v>40847</v>
      </c>
      <c r="G54" s="30" t="n">
        <v>40848</v>
      </c>
      <c r="H54" s="31" t="n">
        <f aca="false">INT(($H$325-G54)/30)</f>
        <v>50</v>
      </c>
      <c r="I54" s="24" t="n">
        <f aca="false">H54*1000</f>
        <v>50000</v>
      </c>
      <c r="J54" s="31" t="n">
        <f aca="false">34000+13000</f>
        <v>47000</v>
      </c>
      <c r="K54" s="31" t="n">
        <v>4000</v>
      </c>
      <c r="L54" s="59" t="n">
        <f aca="false">I54-J54-K54</f>
        <v>-1000</v>
      </c>
      <c r="M54" s="60"/>
      <c r="N54" s="60" t="n">
        <v>2000</v>
      </c>
      <c r="O54" s="60"/>
      <c r="P54" s="60" t="n">
        <v>1000</v>
      </c>
      <c r="Q54" s="60"/>
      <c r="R54" s="60" t="n">
        <v>1600</v>
      </c>
      <c r="S54" s="60"/>
      <c r="T54" s="0" t="n">
        <v>800</v>
      </c>
      <c r="U54" s="60" t="n">
        <v>800</v>
      </c>
      <c r="V54" s="60"/>
      <c r="W54" s="18" t="n">
        <v>2400</v>
      </c>
      <c r="X54" s="60"/>
      <c r="Y54" s="59" t="n">
        <f aca="false">SUM(M54:X54)</f>
        <v>8600</v>
      </c>
      <c r="Z54" s="59" t="n">
        <v>12</v>
      </c>
      <c r="AA54" s="59" t="n">
        <f aca="false">Z54*800</f>
        <v>9600</v>
      </c>
      <c r="AB54" s="59" t="n">
        <f aca="false">L54+AA54-Y54</f>
        <v>0</v>
      </c>
      <c r="AC54" s="60" t="n">
        <v>800</v>
      </c>
      <c r="AD54" s="61"/>
      <c r="AE54" s="62" t="n">
        <f aca="false">AB54+AC54-AD54</f>
        <v>800</v>
      </c>
      <c r="AF54" s="60" t="n">
        <v>800</v>
      </c>
      <c r="AG54" s="61" t="n">
        <v>800</v>
      </c>
      <c r="AH54" s="62" t="n">
        <f aca="false">AE54+AF54-AG54</f>
        <v>800</v>
      </c>
      <c r="AI54" s="60" t="n">
        <v>800</v>
      </c>
      <c r="AJ54" s="61" t="n">
        <v>1600</v>
      </c>
      <c r="AK54" s="62" t="n">
        <f aca="false">AH54+AI54-AJ54</f>
        <v>0</v>
      </c>
      <c r="AL54" s="60" t="n">
        <v>800</v>
      </c>
      <c r="AM54" s="61"/>
      <c r="AN54" s="62" t="n">
        <f aca="false">AK54+AL54-AM54</f>
        <v>800</v>
      </c>
    </row>
    <row collapsed="false" customFormat="false" customHeight="false" hidden="false" ht="15" outlineLevel="0" r="55">
      <c r="A55" s="19" t="n">
        <f aca="false">VLOOKUP(B55,справочник!$B$2:$E$322,4,0)</f>
        <v>43</v>
      </c>
      <c r="B55" s="0" t="e">
        <f aca="false">CONCATENATE(C55;D55)</f>
        <v>#VALUE!</v>
      </c>
      <c r="C55" s="24" t="n">
        <v>43</v>
      </c>
      <c r="D55" s="29" t="s">
        <v>89</v>
      </c>
      <c r="E55" s="24" t="s">
        <v>421</v>
      </c>
      <c r="F55" s="30" t="n">
        <v>40786</v>
      </c>
      <c r="G55" s="30" t="n">
        <v>40787</v>
      </c>
      <c r="H55" s="31" t="n">
        <f aca="false">INT(($H$325-G55)/30)</f>
        <v>52</v>
      </c>
      <c r="I55" s="24" t="n">
        <f aca="false">H55*1000</f>
        <v>52000</v>
      </c>
      <c r="J55" s="31" t="n">
        <f aca="false">27000+2000</f>
        <v>29000</v>
      </c>
      <c r="K55" s="31"/>
      <c r="L55" s="59" t="n">
        <f aca="false">I55-J55-K55</f>
        <v>23000</v>
      </c>
      <c r="M55" s="60"/>
      <c r="N55" s="60"/>
      <c r="O55" s="60"/>
      <c r="P55" s="60"/>
      <c r="Q55" s="60"/>
      <c r="R55" s="60" t="n">
        <v>2000</v>
      </c>
      <c r="S55" s="60"/>
      <c r="T55" s="0" t="n">
        <v>2000</v>
      </c>
      <c r="U55" s="60" t="n">
        <v>2000</v>
      </c>
      <c r="V55" s="60"/>
      <c r="W55" s="60"/>
      <c r="X55" s="60"/>
      <c r="Y55" s="59" t="n">
        <f aca="false">SUM(M55:X55)</f>
        <v>6000</v>
      </c>
      <c r="Z55" s="59" t="n">
        <v>12</v>
      </c>
      <c r="AA55" s="59" t="n">
        <f aca="false">Z55*800</f>
        <v>9600</v>
      </c>
      <c r="AB55" s="59" t="n">
        <f aca="false">L55+AA55-Y55</f>
        <v>26600</v>
      </c>
      <c r="AC55" s="60" t="n">
        <v>800</v>
      </c>
      <c r="AD55" s="61"/>
      <c r="AE55" s="62" t="n">
        <f aca="false">AB55+AC55-AD55</f>
        <v>27400</v>
      </c>
      <c r="AF55" s="60" t="n">
        <v>800</v>
      </c>
      <c r="AG55" s="61"/>
      <c r="AH55" s="62" t="n">
        <f aca="false">AE55+AF55-AG55</f>
        <v>28200</v>
      </c>
      <c r="AI55" s="60" t="n">
        <v>800</v>
      </c>
      <c r="AJ55" s="61"/>
      <c r="AK55" s="62" t="n">
        <f aca="false">AH55+AI55-AJ55</f>
        <v>29000</v>
      </c>
      <c r="AL55" s="60" t="n">
        <v>800</v>
      </c>
      <c r="AM55" s="61"/>
      <c r="AN55" s="62" t="n">
        <f aca="false">AK55+AL55-AM55</f>
        <v>29800</v>
      </c>
    </row>
    <row collapsed="false" customFormat="false" customHeight="false" hidden="false" ht="15" outlineLevel="0" r="56">
      <c r="A56" s="19" t="n">
        <f aca="false">VLOOKUP(B56,справочник!$B$2:$E$322,4,0)</f>
        <v>25</v>
      </c>
      <c r="B56" s="0" t="e">
        <f aca="false">CONCATENATE(C56;D56)</f>
        <v>#VALUE!</v>
      </c>
      <c r="C56" s="24" t="n">
        <v>25</v>
      </c>
      <c r="D56" s="29" t="s">
        <v>310</v>
      </c>
      <c r="E56" s="24" t="s">
        <v>422</v>
      </c>
      <c r="F56" s="30" t="n">
        <v>40955</v>
      </c>
      <c r="G56" s="30" t="n">
        <v>40940</v>
      </c>
      <c r="H56" s="31" t="n">
        <f aca="false">INT(($H$325-G56)/30)</f>
        <v>47</v>
      </c>
      <c r="I56" s="24" t="n">
        <f aca="false">H56*1000</f>
        <v>47000</v>
      </c>
      <c r="J56" s="31" t="n">
        <f aca="false">33000+11000</f>
        <v>44000</v>
      </c>
      <c r="K56" s="31" t="n">
        <v>3000</v>
      </c>
      <c r="L56" s="59" t="n">
        <f aca="false">I56-J56-K56</f>
        <v>0</v>
      </c>
      <c r="M56" s="60"/>
      <c r="N56" s="60"/>
      <c r="O56" s="60" t="n">
        <v>3000</v>
      </c>
      <c r="P56" s="60"/>
      <c r="Q56" s="60" t="n">
        <v>3000</v>
      </c>
      <c r="R56" s="60" t="n">
        <v>800</v>
      </c>
      <c r="S56" s="60"/>
      <c r="T56" s="0" t="n">
        <v>3000</v>
      </c>
      <c r="U56" s="60"/>
      <c r="V56" s="60" t="n">
        <v>3000</v>
      </c>
      <c r="W56" s="60"/>
      <c r="X56" s="60"/>
      <c r="Y56" s="59" t="n">
        <f aca="false">SUM(M56:X56)</f>
        <v>12800</v>
      </c>
      <c r="Z56" s="59" t="n">
        <v>12</v>
      </c>
      <c r="AA56" s="59" t="n">
        <f aca="false">Z56*800</f>
        <v>9600</v>
      </c>
      <c r="AB56" s="59" t="n">
        <f aca="false">L56+AA56-Y56</f>
        <v>-3200</v>
      </c>
      <c r="AC56" s="60" t="n">
        <v>800</v>
      </c>
      <c r="AD56" s="61"/>
      <c r="AE56" s="62" t="n">
        <f aca="false">AB56+AC56-AD56</f>
        <v>-2400</v>
      </c>
      <c r="AF56" s="60" t="n">
        <v>800</v>
      </c>
      <c r="AG56" s="61"/>
      <c r="AH56" s="62" t="n">
        <f aca="false">AE56+AF56-AG56</f>
        <v>-1600</v>
      </c>
      <c r="AI56" s="60" t="n">
        <v>800</v>
      </c>
      <c r="AJ56" s="61"/>
      <c r="AK56" s="62" t="n">
        <f aca="false">AH56+AI56-AJ56</f>
        <v>-800</v>
      </c>
      <c r="AL56" s="60" t="n">
        <v>800</v>
      </c>
      <c r="AM56" s="61"/>
      <c r="AN56" s="62" t="n">
        <f aca="false">AK56+AL56-AM56</f>
        <v>0</v>
      </c>
    </row>
    <row collapsed="false" customFormat="false" customHeight="false" hidden="false" ht="15" outlineLevel="0" r="57">
      <c r="A57" s="19" t="n">
        <f aca="false">VLOOKUP(B57,справочник!$B$2:$E$322,4,0)</f>
        <v>138</v>
      </c>
      <c r="B57" s="0" t="e">
        <f aca="false">CONCATENATE(C57;D57)</f>
        <v>#VALUE!</v>
      </c>
      <c r="C57" s="24" t="n">
        <v>146</v>
      </c>
      <c r="D57" s="29" t="s">
        <v>302</v>
      </c>
      <c r="E57" s="24" t="s">
        <v>423</v>
      </c>
      <c r="F57" s="30" t="n">
        <v>40784</v>
      </c>
      <c r="G57" s="30" t="n">
        <v>40756</v>
      </c>
      <c r="H57" s="31" t="n">
        <f aca="false">INT(($H$325-G57)/30)</f>
        <v>53</v>
      </c>
      <c r="I57" s="24" t="n">
        <f aca="false">H57*1000</f>
        <v>53000</v>
      </c>
      <c r="J57" s="31" t="n">
        <f aca="false">53000</f>
        <v>53000</v>
      </c>
      <c r="K57" s="31"/>
      <c r="L57" s="59" t="n">
        <f aca="false">I57-J57-K57</f>
        <v>0</v>
      </c>
      <c r="M57" s="60"/>
      <c r="N57" s="60" t="n">
        <v>3000</v>
      </c>
      <c r="O57" s="60"/>
      <c r="P57" s="60"/>
      <c r="Q57" s="60"/>
      <c r="R57" s="60" t="n">
        <v>2900</v>
      </c>
      <c r="S57" s="60"/>
      <c r="T57" s="60"/>
      <c r="U57" s="60"/>
      <c r="V57" s="60"/>
      <c r="W57" s="60" t="n">
        <v>5000</v>
      </c>
      <c r="X57" s="60"/>
      <c r="Y57" s="59" t="n">
        <f aca="false">SUM(M57:X57)</f>
        <v>10900</v>
      </c>
      <c r="Z57" s="59" t="n">
        <v>12</v>
      </c>
      <c r="AA57" s="59" t="n">
        <f aca="false">Z57*800</f>
        <v>9600</v>
      </c>
      <c r="AB57" s="59" t="n">
        <f aca="false">L57+AA57-Y57</f>
        <v>-1300</v>
      </c>
      <c r="AC57" s="60" t="n">
        <v>800</v>
      </c>
      <c r="AD57" s="61"/>
      <c r="AE57" s="62" t="n">
        <f aca="false">AB57+AC57-AD57</f>
        <v>-500</v>
      </c>
      <c r="AF57" s="60" t="n">
        <v>800</v>
      </c>
      <c r="AG57" s="61"/>
      <c r="AH57" s="62" t="n">
        <f aca="false">AE57+AF57-AG57</f>
        <v>300</v>
      </c>
      <c r="AI57" s="60" t="n">
        <v>800</v>
      </c>
      <c r="AJ57" s="61"/>
      <c r="AK57" s="62" t="n">
        <f aca="false">AH57+AI57-AJ57</f>
        <v>1100</v>
      </c>
      <c r="AL57" s="60" t="n">
        <v>800</v>
      </c>
      <c r="AM57" s="61"/>
      <c r="AN57" s="62" t="n">
        <f aca="false">AK57+AL57-AM57</f>
        <v>1900</v>
      </c>
    </row>
    <row collapsed="false" customFormat="false" customHeight="false" hidden="false" ht="15" outlineLevel="0" r="58">
      <c r="A58" s="19" t="n">
        <f aca="false">VLOOKUP(B58,справочник!$B$2:$E$322,4,0)</f>
        <v>228</v>
      </c>
      <c r="B58" s="0" t="e">
        <f aca="false">CONCATENATE(C58;D58)</f>
        <v>#VALUE!</v>
      </c>
      <c r="C58" s="24" t="n">
        <v>237</v>
      </c>
      <c r="D58" s="29" t="s">
        <v>85</v>
      </c>
      <c r="E58" s="24" t="s">
        <v>424</v>
      </c>
      <c r="F58" s="30" t="n">
        <v>41703</v>
      </c>
      <c r="G58" s="30" t="n">
        <v>41730</v>
      </c>
      <c r="H58" s="31" t="n">
        <f aca="false">INT(($H$325-G58)/30)</f>
        <v>21</v>
      </c>
      <c r="I58" s="24" t="n">
        <f aca="false">H58*1000</f>
        <v>21000</v>
      </c>
      <c r="J58" s="31"/>
      <c r="K58" s="31"/>
      <c r="L58" s="59" t="n">
        <f aca="false">I58-J58-K58</f>
        <v>21000</v>
      </c>
      <c r="M58" s="60"/>
      <c r="N58" s="60"/>
      <c r="O58" s="60"/>
      <c r="P58" s="60"/>
      <c r="Q58" s="60"/>
      <c r="R58" s="60"/>
      <c r="S58" s="60" t="n">
        <v>25800</v>
      </c>
      <c r="T58" s="60"/>
      <c r="U58" s="60"/>
      <c r="V58" s="60"/>
      <c r="W58" s="60"/>
      <c r="X58" s="60"/>
      <c r="Y58" s="59" t="n">
        <f aca="false">SUM(M58:X58)</f>
        <v>25800</v>
      </c>
      <c r="Z58" s="59" t="n">
        <v>12</v>
      </c>
      <c r="AA58" s="59" t="n">
        <f aca="false">Z58*800</f>
        <v>9600</v>
      </c>
      <c r="AB58" s="59" t="n">
        <f aca="false">L58+AA58-Y58</f>
        <v>4800</v>
      </c>
      <c r="AC58" s="60" t="n">
        <v>800</v>
      </c>
      <c r="AD58" s="61"/>
      <c r="AE58" s="62" t="n">
        <f aca="false">AB58+AC58-AD58</f>
        <v>5600</v>
      </c>
      <c r="AF58" s="60" t="n">
        <v>800</v>
      </c>
      <c r="AG58" s="61"/>
      <c r="AH58" s="62" t="n">
        <f aca="false">AE58+AF58-AG58</f>
        <v>6400</v>
      </c>
      <c r="AI58" s="60" t="n">
        <v>800</v>
      </c>
      <c r="AJ58" s="61"/>
      <c r="AK58" s="62" t="n">
        <f aca="false">AH58+AI58-AJ58</f>
        <v>7200</v>
      </c>
      <c r="AL58" s="60" t="n">
        <v>800</v>
      </c>
      <c r="AM58" s="61"/>
      <c r="AN58" s="62" t="n">
        <f aca="false">AK58+AL58-AM58</f>
        <v>8000</v>
      </c>
    </row>
    <row collapsed="false" customFormat="false" customHeight="false" hidden="false" ht="15" outlineLevel="0" r="59">
      <c r="A59" s="19" t="n">
        <f aca="false">VLOOKUP(B59,справочник!$B$2:$E$322,4,0)</f>
        <v>37</v>
      </c>
      <c r="B59" s="0" t="e">
        <f aca="false">CONCATENATE(C59;D59)</f>
        <v>#VALUE!</v>
      </c>
      <c r="C59" s="24" t="n">
        <v>37</v>
      </c>
      <c r="D59" s="29" t="s">
        <v>218</v>
      </c>
      <c r="E59" s="24" t="s">
        <v>425</v>
      </c>
      <c r="F59" s="30" t="n">
        <v>40795</v>
      </c>
      <c r="G59" s="30" t="n">
        <v>40787</v>
      </c>
      <c r="H59" s="31" t="n">
        <f aca="false">INT(($H$325-G59)/30)</f>
        <v>52</v>
      </c>
      <c r="I59" s="24" t="n">
        <f aca="false">H59*1000</f>
        <v>52000</v>
      </c>
      <c r="J59" s="31" t="n">
        <f aca="false">48000+4000</f>
        <v>52000</v>
      </c>
      <c r="K59" s="31"/>
      <c r="L59" s="59" t="n">
        <f aca="false">I59-J59-K59</f>
        <v>0</v>
      </c>
      <c r="M59" s="60"/>
      <c r="N59" s="60"/>
      <c r="O59" s="60"/>
      <c r="P59" s="60"/>
      <c r="Q59" s="60"/>
      <c r="R59" s="60"/>
      <c r="S59" s="60" t="n">
        <v>5600</v>
      </c>
      <c r="T59" s="60"/>
      <c r="U59" s="60" t="n">
        <v>4000</v>
      </c>
      <c r="V59" s="60"/>
      <c r="W59" s="60"/>
      <c r="X59" s="60"/>
      <c r="Y59" s="59" t="n">
        <f aca="false">SUM(M59:X59)</f>
        <v>9600</v>
      </c>
      <c r="Z59" s="59" t="n">
        <v>12</v>
      </c>
      <c r="AA59" s="59" t="n">
        <f aca="false">Z59*800</f>
        <v>9600</v>
      </c>
      <c r="AB59" s="59" t="n">
        <f aca="false">L59+AA59-Y59</f>
        <v>0</v>
      </c>
      <c r="AC59" s="60" t="n">
        <v>800</v>
      </c>
      <c r="AD59" s="61" t="n">
        <v>9600</v>
      </c>
      <c r="AE59" s="62" t="n">
        <f aca="false">AB59+AC59-AD59</f>
        <v>-8800</v>
      </c>
      <c r="AF59" s="60" t="n">
        <v>800</v>
      </c>
      <c r="AG59" s="61"/>
      <c r="AH59" s="62" t="n">
        <f aca="false">AE59+AF59-AG59</f>
        <v>-8000</v>
      </c>
      <c r="AI59" s="60" t="n">
        <v>800</v>
      </c>
      <c r="AJ59" s="61"/>
      <c r="AK59" s="62" t="n">
        <f aca="false">AH59+AI59-AJ59</f>
        <v>-7200</v>
      </c>
      <c r="AL59" s="60" t="n">
        <v>800</v>
      </c>
      <c r="AM59" s="61"/>
      <c r="AN59" s="62" t="n">
        <f aca="false">AK59+AL59-AM59</f>
        <v>-6400</v>
      </c>
    </row>
    <row collapsed="false" customFormat="false" customHeight="false" hidden="false" ht="15" outlineLevel="0" r="60">
      <c r="A60" s="19" t="n">
        <f aca="false">VLOOKUP(B60,справочник!$B$2:$E$322,4,0)</f>
        <v>126</v>
      </c>
      <c r="B60" s="0" t="e">
        <f aca="false">CONCATENATE(C60;D60)</f>
        <v>#VALUE!</v>
      </c>
      <c r="C60" s="24" t="n">
        <v>131</v>
      </c>
      <c r="D60" s="29" t="s">
        <v>244</v>
      </c>
      <c r="E60" s="24" t="s">
        <v>426</v>
      </c>
      <c r="F60" s="30" t="n">
        <v>41183</v>
      </c>
      <c r="G60" s="30" t="n">
        <v>41244</v>
      </c>
      <c r="H60" s="31" t="n">
        <f aca="false">INT(($H$325-G60)/30)</f>
        <v>37</v>
      </c>
      <c r="I60" s="24" t="n">
        <f aca="false">H60*1000</f>
        <v>37000</v>
      </c>
      <c r="J60" s="31" t="n">
        <f aca="false">24000</f>
        <v>24000</v>
      </c>
      <c r="K60" s="31" t="n">
        <v>13000</v>
      </c>
      <c r="L60" s="59" t="n">
        <f aca="false">I60-J60-K60</f>
        <v>0</v>
      </c>
      <c r="M60" s="60"/>
      <c r="N60" s="60"/>
      <c r="O60" s="60" t="n">
        <v>2400</v>
      </c>
      <c r="P60" s="60"/>
      <c r="Q60" s="60"/>
      <c r="R60" s="60"/>
      <c r="S60" s="60"/>
      <c r="T60" s="60"/>
      <c r="U60" s="60"/>
      <c r="V60" s="60"/>
      <c r="W60" s="60"/>
      <c r="X60" s="60"/>
      <c r="Y60" s="59" t="n">
        <f aca="false">SUM(M60:X60)</f>
        <v>2400</v>
      </c>
      <c r="Z60" s="59" t="n">
        <v>12</v>
      </c>
      <c r="AA60" s="59" t="n">
        <f aca="false">Z60*800</f>
        <v>9600</v>
      </c>
      <c r="AB60" s="59" t="n">
        <f aca="false">L60+AA60-Y60</f>
        <v>7200</v>
      </c>
      <c r="AC60" s="60" t="n">
        <v>800</v>
      </c>
      <c r="AD60" s="61"/>
      <c r="AE60" s="62" t="n">
        <f aca="false">AB60+AC60-AD60</f>
        <v>8000</v>
      </c>
      <c r="AF60" s="60" t="n">
        <v>800</v>
      </c>
      <c r="AG60" s="61"/>
      <c r="AH60" s="62" t="n">
        <f aca="false">AE60+AF60-AG60</f>
        <v>8800</v>
      </c>
      <c r="AI60" s="60" t="n">
        <v>800</v>
      </c>
      <c r="AJ60" s="61" t="n">
        <v>8800</v>
      </c>
      <c r="AK60" s="62" t="n">
        <f aca="false">AH60+AI60-AJ60</f>
        <v>800</v>
      </c>
      <c r="AL60" s="60" t="n">
        <v>800</v>
      </c>
      <c r="AM60" s="61"/>
      <c r="AN60" s="62" t="n">
        <f aca="false">AK60+AL60-AM60</f>
        <v>1600</v>
      </c>
    </row>
    <row collapsed="false" customFormat="false" customHeight="false" hidden="false" ht="15" outlineLevel="0" r="61">
      <c r="A61" s="19" t="n">
        <f aca="false">VLOOKUP(B61,справочник!$B$2:$E$322,4,0)</f>
        <v>58</v>
      </c>
      <c r="B61" s="0" t="e">
        <f aca="false">CONCATENATE(C61;D61)</f>
        <v>#VALUE!</v>
      </c>
      <c r="C61" s="24" t="n">
        <v>60</v>
      </c>
      <c r="D61" s="29" t="s">
        <v>273</v>
      </c>
      <c r="E61" s="24" t="s">
        <v>427</v>
      </c>
      <c r="F61" s="30" t="n">
        <v>41303</v>
      </c>
      <c r="G61" s="30" t="n">
        <v>41306</v>
      </c>
      <c r="H61" s="31" t="n">
        <f aca="false">INT(($H$325-G61)/30)</f>
        <v>35</v>
      </c>
      <c r="I61" s="24" t="n">
        <f aca="false">H61*1000</f>
        <v>35000</v>
      </c>
      <c r="J61" s="31" t="n">
        <f aca="false">31000</f>
        <v>31000</v>
      </c>
      <c r="K61" s="31"/>
      <c r="L61" s="59" t="n">
        <f aca="false">I61-J61-K61</f>
        <v>4000</v>
      </c>
      <c r="M61" s="60"/>
      <c r="N61" s="60"/>
      <c r="O61" s="60" t="n">
        <v>2400</v>
      </c>
      <c r="P61" s="60"/>
      <c r="Q61" s="60"/>
      <c r="R61" s="60" t="n">
        <v>5600</v>
      </c>
      <c r="S61" s="60"/>
      <c r="T61" s="60"/>
      <c r="U61" s="60"/>
      <c r="V61" s="60"/>
      <c r="W61" s="60"/>
      <c r="X61" s="60"/>
      <c r="Y61" s="59" t="n">
        <f aca="false">SUM(M61:X61)</f>
        <v>8000</v>
      </c>
      <c r="Z61" s="59" t="n">
        <v>12</v>
      </c>
      <c r="AA61" s="59" t="n">
        <f aca="false">Z61*800</f>
        <v>9600</v>
      </c>
      <c r="AB61" s="59" t="n">
        <f aca="false">L61+AA61-Y61</f>
        <v>5600</v>
      </c>
      <c r="AC61" s="60" t="n">
        <v>800</v>
      </c>
      <c r="AD61" s="61" t="n">
        <v>8000</v>
      </c>
      <c r="AE61" s="62" t="n">
        <f aca="false">AB61+AC61-AD61</f>
        <v>-1600</v>
      </c>
      <c r="AF61" s="60" t="n">
        <v>800</v>
      </c>
      <c r="AG61" s="61"/>
      <c r="AH61" s="62" t="n">
        <f aca="false">AE61+AF61-AG61</f>
        <v>-800</v>
      </c>
      <c r="AI61" s="60" t="n">
        <v>800</v>
      </c>
      <c r="AJ61" s="61"/>
      <c r="AK61" s="62" t="n">
        <f aca="false">AH61+AI61-AJ61</f>
        <v>0</v>
      </c>
      <c r="AL61" s="60" t="n">
        <v>800</v>
      </c>
      <c r="AM61" s="61"/>
      <c r="AN61" s="62" t="n">
        <f aca="false">AK61+AL61-AM61</f>
        <v>800</v>
      </c>
    </row>
    <row collapsed="false" customFormat="false" customHeight="false" hidden="false" ht="15" outlineLevel="0" r="62">
      <c r="A62" s="19" t="n">
        <f aca="false">VLOOKUP(B62,справочник!$B$2:$E$322,4,0)</f>
        <v>117</v>
      </c>
      <c r="B62" s="0" t="e">
        <f aca="false">CONCATENATE(C62;D62)</f>
        <v>#VALUE!</v>
      </c>
      <c r="C62" s="24" t="n">
        <v>122</v>
      </c>
      <c r="D62" s="29" t="s">
        <v>100</v>
      </c>
      <c r="E62" s="24" t="s">
        <v>428</v>
      </c>
      <c r="F62" s="30" t="n">
        <v>41407</v>
      </c>
      <c r="G62" s="30" t="n">
        <v>41426</v>
      </c>
      <c r="H62" s="31" t="n">
        <f aca="false">INT(($H$325-G62)/30)</f>
        <v>31</v>
      </c>
      <c r="I62" s="24" t="n">
        <f aca="false">H62*1000</f>
        <v>31000</v>
      </c>
      <c r="J62" s="31" t="n">
        <f aca="false">12000</f>
        <v>12000</v>
      </c>
      <c r="K62" s="31"/>
      <c r="L62" s="59" t="n">
        <f aca="false">I62-J62-K62</f>
        <v>19000</v>
      </c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59" t="n">
        <f aca="false">SUM(M62:X62)</f>
        <v>0</v>
      </c>
      <c r="Z62" s="59" t="n">
        <v>12</v>
      </c>
      <c r="AA62" s="59" t="n">
        <f aca="false">Z62*800</f>
        <v>9600</v>
      </c>
      <c r="AB62" s="59" t="n">
        <f aca="false">L62+AA62-Y62</f>
        <v>28600</v>
      </c>
      <c r="AC62" s="60" t="n">
        <v>800</v>
      </c>
      <c r="AD62" s="61"/>
      <c r="AE62" s="62" t="n">
        <f aca="false">AB62+AC62-AD62</f>
        <v>29400</v>
      </c>
      <c r="AF62" s="60" t="n">
        <v>800</v>
      </c>
      <c r="AG62" s="61"/>
      <c r="AH62" s="62" t="n">
        <f aca="false">AE62+AF62-AG62</f>
        <v>30200</v>
      </c>
      <c r="AI62" s="60" t="n">
        <v>800</v>
      </c>
      <c r="AJ62" s="61"/>
      <c r="AK62" s="62" t="n">
        <f aca="false">AH62+AI62-AJ62</f>
        <v>31000</v>
      </c>
      <c r="AL62" s="60" t="n">
        <v>800</v>
      </c>
      <c r="AM62" s="61"/>
      <c r="AN62" s="62" t="n">
        <f aca="false">AK62+AL62-AM62</f>
        <v>31800</v>
      </c>
    </row>
    <row collapsed="false" customFormat="false" customHeight="false" hidden="false" ht="15" outlineLevel="0" r="63">
      <c r="A63" s="19" t="n">
        <f aca="false">VLOOKUP(B63,справочник!$B$2:$E$322,4,0)</f>
        <v>61</v>
      </c>
      <c r="B63" s="0" t="e">
        <f aca="false">CONCATENATE(C63;D63)</f>
        <v>#VALUE!</v>
      </c>
      <c r="C63" s="24" t="n">
        <v>63</v>
      </c>
      <c r="D63" s="29" t="s">
        <v>88</v>
      </c>
      <c r="E63" s="24" t="s">
        <v>429</v>
      </c>
      <c r="F63" s="30" t="n">
        <v>40921</v>
      </c>
      <c r="G63" s="30" t="n">
        <v>40909</v>
      </c>
      <c r="H63" s="31" t="n">
        <f aca="false">INT(($H$325-G63)/30)</f>
        <v>48</v>
      </c>
      <c r="I63" s="24" t="n">
        <f aca="false">H63*1000</f>
        <v>48000</v>
      </c>
      <c r="J63" s="31" t="n">
        <f aca="false">27000</f>
        <v>27000</v>
      </c>
      <c r="K63" s="31"/>
      <c r="L63" s="59" t="n">
        <f aca="false">I63-J63-K63</f>
        <v>21000</v>
      </c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59" t="n">
        <f aca="false">SUM(M63:X63)</f>
        <v>0</v>
      </c>
      <c r="Z63" s="59" t="n">
        <v>12</v>
      </c>
      <c r="AA63" s="59" t="n">
        <f aca="false">Z63*800</f>
        <v>9600</v>
      </c>
      <c r="AB63" s="59" t="n">
        <f aca="false">L63+AA63-Y63</f>
        <v>30600</v>
      </c>
      <c r="AC63" s="60" t="n">
        <v>800</v>
      </c>
      <c r="AD63" s="61"/>
      <c r="AE63" s="62" t="n">
        <f aca="false">AB63+AC63-AD63</f>
        <v>31400</v>
      </c>
      <c r="AF63" s="60" t="n">
        <v>800</v>
      </c>
      <c r="AG63" s="61"/>
      <c r="AH63" s="62" t="n">
        <f aca="false">AE63+AF63-AG63</f>
        <v>32200</v>
      </c>
      <c r="AI63" s="60" t="n">
        <v>800</v>
      </c>
      <c r="AJ63" s="61"/>
      <c r="AK63" s="62" t="n">
        <f aca="false">AH63+AI63-AJ63</f>
        <v>33000</v>
      </c>
      <c r="AL63" s="60" t="n">
        <v>800</v>
      </c>
      <c r="AM63" s="61"/>
      <c r="AN63" s="62" t="n">
        <f aca="false">AK63+AL63-AM63</f>
        <v>33800</v>
      </c>
    </row>
    <row collapsed="false" customFormat="false" customHeight="false" hidden="false" ht="15" outlineLevel="0" r="64">
      <c r="A64" s="19" t="n">
        <f aca="false">VLOOKUP(B64,справочник!$B$2:$E$322,4,0)</f>
        <v>294</v>
      </c>
      <c r="B64" s="0" t="e">
        <f aca="false">CONCATENATE(C64;D64)</f>
        <v>#VALUE!</v>
      </c>
      <c r="C64" s="24" t="n">
        <v>309</v>
      </c>
      <c r="D64" s="29" t="s">
        <v>316</v>
      </c>
      <c r="E64" s="24" t="s">
        <v>430</v>
      </c>
      <c r="F64" s="30" t="n">
        <v>40953</v>
      </c>
      <c r="G64" s="30" t="n">
        <v>40940</v>
      </c>
      <c r="H64" s="31" t="n">
        <f aca="false">INT(($H$325-G64)/30)</f>
        <v>47</v>
      </c>
      <c r="I64" s="24" t="n">
        <f aca="false">H64*1000</f>
        <v>47000</v>
      </c>
      <c r="J64" s="31" t="n">
        <v>47000</v>
      </c>
      <c r="K64" s="31"/>
      <c r="L64" s="59" t="n">
        <f aca="false">I64-J64-K64</f>
        <v>0</v>
      </c>
      <c r="M64" s="60" t="n">
        <v>9600</v>
      </c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59" t="n">
        <f aca="false">SUM(M64:X64)</f>
        <v>9600</v>
      </c>
      <c r="Z64" s="59" t="n">
        <v>12</v>
      </c>
      <c r="AA64" s="59" t="n">
        <f aca="false">Z64*800</f>
        <v>9600</v>
      </c>
      <c r="AB64" s="59" t="n">
        <f aca="false">L64+AA64-Y64</f>
        <v>0</v>
      </c>
      <c r="AC64" s="60" t="n">
        <v>800</v>
      </c>
      <c r="AD64" s="61"/>
      <c r="AE64" s="62" t="n">
        <f aca="false">AB64+AC64-AD64</f>
        <v>800</v>
      </c>
      <c r="AF64" s="60" t="n">
        <v>800</v>
      </c>
      <c r="AG64" s="61" t="n">
        <v>9600</v>
      </c>
      <c r="AH64" s="62" t="n">
        <f aca="false">AE64+AF64-AG64</f>
        <v>-8000</v>
      </c>
      <c r="AI64" s="60" t="n">
        <v>800</v>
      </c>
      <c r="AJ64" s="61"/>
      <c r="AK64" s="62" t="n">
        <f aca="false">AH64+AI64-AJ64</f>
        <v>-7200</v>
      </c>
      <c r="AL64" s="60" t="n">
        <v>800</v>
      </c>
      <c r="AM64" s="61"/>
      <c r="AN64" s="62" t="n">
        <f aca="false">AK64+AL64-AM64</f>
        <v>-6400</v>
      </c>
    </row>
    <row collapsed="false" customFormat="false" customHeight="false" hidden="false" ht="15" outlineLevel="0" r="65">
      <c r="A65" s="19" t="n">
        <f aca="false">VLOOKUP(B65,справочник!$B$2:$E$322,4,0)</f>
        <v>286</v>
      </c>
      <c r="B65" s="0" t="e">
        <f aca="false">CONCATENATE(C65;D65)</f>
        <v>#VALUE!</v>
      </c>
      <c r="C65" s="24" t="n">
        <v>298</v>
      </c>
      <c r="D65" s="29" t="s">
        <v>320</v>
      </c>
      <c r="E65" s="24" t="s">
        <v>431</v>
      </c>
      <c r="F65" s="30" t="n">
        <v>41791</v>
      </c>
      <c r="G65" s="30" t="n">
        <v>41791</v>
      </c>
      <c r="H65" s="31" t="n">
        <f aca="false">INT(($H$325-G65)/30)</f>
        <v>19</v>
      </c>
      <c r="I65" s="24" t="n">
        <f aca="false">H65*1000</f>
        <v>19000</v>
      </c>
      <c r="J65" s="31" t="n">
        <v>19000</v>
      </c>
      <c r="K65" s="31"/>
      <c r="L65" s="59" t="n">
        <f aca="false">I65-J65-K65</f>
        <v>0</v>
      </c>
      <c r="M65" s="60"/>
      <c r="N65" s="60" t="n">
        <v>8000</v>
      </c>
      <c r="O65" s="60"/>
      <c r="P65" s="60"/>
      <c r="Q65" s="60"/>
      <c r="R65" s="60" t="n">
        <v>4000</v>
      </c>
      <c r="S65" s="60" t="n">
        <v>3000</v>
      </c>
      <c r="T65" s="60"/>
      <c r="U65" s="60"/>
      <c r="V65" s="60"/>
      <c r="W65" s="60"/>
      <c r="X65" s="60" t="n">
        <v>6000</v>
      </c>
      <c r="Y65" s="59" t="n">
        <f aca="false">SUM(M65:X65)</f>
        <v>21000</v>
      </c>
      <c r="Z65" s="59" t="n">
        <v>12</v>
      </c>
      <c r="AA65" s="59" t="n">
        <f aca="false">Z65*800</f>
        <v>9600</v>
      </c>
      <c r="AB65" s="59" t="n">
        <f aca="false">L65+AA65-Y65</f>
        <v>-11400</v>
      </c>
      <c r="AC65" s="60" t="n">
        <v>800</v>
      </c>
      <c r="AD65" s="61"/>
      <c r="AE65" s="62" t="n">
        <f aca="false">AB65+AC65-AD65</f>
        <v>-10600</v>
      </c>
      <c r="AF65" s="60" t="n">
        <v>800</v>
      </c>
      <c r="AG65" s="61"/>
      <c r="AH65" s="62" t="n">
        <f aca="false">AE65+AF65-AG65</f>
        <v>-9800</v>
      </c>
      <c r="AI65" s="60" t="n">
        <v>800</v>
      </c>
      <c r="AJ65" s="61"/>
      <c r="AK65" s="62" t="n">
        <f aca="false">AH65+AI65-AJ65</f>
        <v>-9000</v>
      </c>
      <c r="AL65" s="60" t="n">
        <v>800</v>
      </c>
      <c r="AM65" s="61"/>
      <c r="AN65" s="62" t="n">
        <f aca="false">AK65+AL65-AM65</f>
        <v>-8200</v>
      </c>
    </row>
    <row collapsed="false" customFormat="false" customHeight="false" hidden="false" ht="15" outlineLevel="0" r="66">
      <c r="A66" s="19" t="n">
        <f aca="false">VLOOKUP(B66,справочник!$B$2:$E$322,4,0)</f>
        <v>64</v>
      </c>
      <c r="B66" s="0" t="e">
        <f aca="false">CONCATENATE(C66;D66)</f>
        <v>#VALUE!</v>
      </c>
      <c r="C66" s="24" t="n">
        <v>66</v>
      </c>
      <c r="D66" s="29" t="s">
        <v>204</v>
      </c>
      <c r="E66" s="24" t="s">
        <v>432</v>
      </c>
      <c r="F66" s="30" t="n">
        <v>40772</v>
      </c>
      <c r="G66" s="30" t="n">
        <v>40756</v>
      </c>
      <c r="H66" s="31" t="n">
        <f aca="false">INT(($H$325-G66)/30)</f>
        <v>53</v>
      </c>
      <c r="I66" s="24" t="n">
        <f aca="false">H66*1000</f>
        <v>53000</v>
      </c>
      <c r="J66" s="31" t="n">
        <f aca="false">1000+45000</f>
        <v>46000</v>
      </c>
      <c r="K66" s="31"/>
      <c r="L66" s="59" t="n">
        <f aca="false">I66-J66-K66</f>
        <v>7000</v>
      </c>
      <c r="M66" s="60" t="n">
        <v>3000</v>
      </c>
      <c r="N66" s="60"/>
      <c r="O66" s="60" t="n">
        <v>1600</v>
      </c>
      <c r="P66" s="60"/>
      <c r="Q66" s="60"/>
      <c r="R66" s="60" t="n">
        <v>1600</v>
      </c>
      <c r="S66" s="60" t="n">
        <v>4000</v>
      </c>
      <c r="T66" s="60"/>
      <c r="U66" s="60" t="n">
        <v>800</v>
      </c>
      <c r="V66" s="60" t="n">
        <v>800</v>
      </c>
      <c r="W66" s="18" t="n">
        <v>800</v>
      </c>
      <c r="X66" s="60" t="n">
        <f aca="false">800+800</f>
        <v>1600</v>
      </c>
      <c r="Y66" s="59" t="n">
        <f aca="false">SUM(M66:X66)</f>
        <v>14200</v>
      </c>
      <c r="Z66" s="59" t="n">
        <v>12</v>
      </c>
      <c r="AA66" s="59" t="n">
        <f aca="false">Z66*800</f>
        <v>9600</v>
      </c>
      <c r="AB66" s="59" t="n">
        <f aca="false">L66+AA66-Y66</f>
        <v>2400</v>
      </c>
      <c r="AC66" s="60" t="n">
        <v>800</v>
      </c>
      <c r="AD66" s="73" t="n">
        <v>800</v>
      </c>
      <c r="AE66" s="62" t="n">
        <f aca="false">AB66+AC66-AD66</f>
        <v>2400</v>
      </c>
      <c r="AF66" s="60" t="n">
        <v>800</v>
      </c>
      <c r="AG66" s="73" t="n">
        <v>800</v>
      </c>
      <c r="AH66" s="62" t="n">
        <f aca="false">AE66+AF66-AG66</f>
        <v>2400</v>
      </c>
      <c r="AI66" s="60" t="n">
        <v>800</v>
      </c>
      <c r="AJ66" s="73"/>
      <c r="AK66" s="62" t="n">
        <f aca="false">AH66+AI66-AJ66</f>
        <v>3200</v>
      </c>
      <c r="AL66" s="60" t="n">
        <v>800</v>
      </c>
      <c r="AM66" s="73"/>
      <c r="AN66" s="62" t="n">
        <f aca="false">AK66+AL66-AM66</f>
        <v>4000</v>
      </c>
    </row>
    <row collapsed="false" customFormat="false" customHeight="false" hidden="false" ht="15" outlineLevel="0" r="67">
      <c r="A67" s="19" t="n">
        <f aca="false">VLOOKUP(B67,справочник!$B$2:$E$322,4,0)</f>
        <v>94</v>
      </c>
      <c r="B67" s="0" t="e">
        <f aca="false">CONCATENATE(C67;D67)</f>
        <v>#VALUE!</v>
      </c>
      <c r="C67" s="24" t="n">
        <v>99</v>
      </c>
      <c r="D67" s="29" t="s">
        <v>173</v>
      </c>
      <c r="E67" s="24" t="s">
        <v>433</v>
      </c>
      <c r="F67" s="30" t="n">
        <v>40774</v>
      </c>
      <c r="G67" s="30" t="n">
        <v>40756</v>
      </c>
      <c r="H67" s="31" t="n">
        <f aca="false">INT(($H$325-G67)/30)</f>
        <v>53</v>
      </c>
      <c r="I67" s="24" t="n">
        <f aca="false">H67*1000</f>
        <v>53000</v>
      </c>
      <c r="J67" s="31" t="n">
        <f aca="false">42000+5000</f>
        <v>47000</v>
      </c>
      <c r="K67" s="31"/>
      <c r="L67" s="59" t="n">
        <f aca="false">I67-J67-K67</f>
        <v>6000</v>
      </c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59" t="n">
        <f aca="false">SUM(M67:X67)</f>
        <v>0</v>
      </c>
      <c r="Z67" s="59" t="n">
        <v>12</v>
      </c>
      <c r="AA67" s="59" t="n">
        <f aca="false">Z67*800</f>
        <v>9600</v>
      </c>
      <c r="AB67" s="59" t="n">
        <f aca="false">L67+AA67-Y67</f>
        <v>15600</v>
      </c>
      <c r="AC67" s="60" t="n">
        <v>800</v>
      </c>
      <c r="AD67" s="61"/>
      <c r="AE67" s="62" t="n">
        <f aca="false">AB67+AC67-AD67</f>
        <v>16400</v>
      </c>
      <c r="AF67" s="60" t="n">
        <v>800</v>
      </c>
      <c r="AG67" s="61"/>
      <c r="AH67" s="62" t="n">
        <f aca="false">AE67+AF67-AG67</f>
        <v>17200</v>
      </c>
      <c r="AI67" s="60" t="n">
        <v>800</v>
      </c>
      <c r="AJ67" s="61"/>
      <c r="AK67" s="62" t="n">
        <f aca="false">AH67+AI67-AJ67</f>
        <v>18000</v>
      </c>
      <c r="AL67" s="60" t="n">
        <v>800</v>
      </c>
      <c r="AM67" s="61"/>
      <c r="AN67" s="62" t="n">
        <f aca="false">AK67+AL67-AM67</f>
        <v>18800</v>
      </c>
    </row>
    <row collapsed="false" customFormat="false" customHeight="false" hidden="false" ht="15" outlineLevel="0" r="68">
      <c r="A68" s="19" t="n">
        <f aca="false">VLOOKUP(B68,справочник!$B$2:$E$322,4,0)</f>
        <v>39</v>
      </c>
      <c r="B68" s="0" t="e">
        <f aca="false">CONCATENATE(C68;D68)</f>
        <v>#VALUE!</v>
      </c>
      <c r="C68" s="24" t="n">
        <v>39</v>
      </c>
      <c r="D68" s="29" t="s">
        <v>140</v>
      </c>
      <c r="E68" s="24" t="s">
        <v>434</v>
      </c>
      <c r="F68" s="30" t="n">
        <v>40698</v>
      </c>
      <c r="G68" s="30" t="n">
        <v>40695</v>
      </c>
      <c r="H68" s="31" t="n">
        <f aca="false">INT(($H$325-G68)/30)</f>
        <v>55</v>
      </c>
      <c r="I68" s="24" t="n">
        <f aca="false">H68*1000</f>
        <v>55000</v>
      </c>
      <c r="J68" s="31" t="n">
        <f aca="false">1000+42000</f>
        <v>43000</v>
      </c>
      <c r="K68" s="31"/>
      <c r="L68" s="59" t="n">
        <f aca="false">I68-J68-K68</f>
        <v>12000</v>
      </c>
      <c r="M68" s="60"/>
      <c r="N68" s="60"/>
      <c r="O68" s="60"/>
      <c r="P68" s="60"/>
      <c r="Q68" s="60"/>
      <c r="R68" s="60"/>
      <c r="S68" s="60"/>
      <c r="T68" s="60"/>
      <c r="U68" s="60" t="n">
        <v>9600</v>
      </c>
      <c r="V68" s="60"/>
      <c r="W68" s="60"/>
      <c r="X68" s="60"/>
      <c r="Y68" s="59" t="n">
        <f aca="false">SUM(M68:X68)</f>
        <v>9600</v>
      </c>
      <c r="Z68" s="59" t="n">
        <v>12</v>
      </c>
      <c r="AA68" s="59" t="n">
        <f aca="false">Z68*800</f>
        <v>9600</v>
      </c>
      <c r="AB68" s="59" t="n">
        <f aca="false">L68+AA68-Y68</f>
        <v>12000</v>
      </c>
      <c r="AC68" s="60" t="n">
        <v>800</v>
      </c>
      <c r="AD68" s="61"/>
      <c r="AE68" s="62" t="n">
        <f aca="false">AB68+AC68-AD68</f>
        <v>12800</v>
      </c>
      <c r="AF68" s="60" t="n">
        <v>800</v>
      </c>
      <c r="AG68" s="61"/>
      <c r="AH68" s="62" t="n">
        <f aca="false">AE68+AF68-AG68</f>
        <v>13600</v>
      </c>
      <c r="AI68" s="60" t="n">
        <v>800</v>
      </c>
      <c r="AJ68" s="61"/>
      <c r="AK68" s="62" t="n">
        <f aca="false">AH68+AI68-AJ68</f>
        <v>14400</v>
      </c>
      <c r="AL68" s="60" t="n">
        <v>800</v>
      </c>
      <c r="AM68" s="61"/>
      <c r="AN68" s="62" t="n">
        <f aca="false">AK68+AL68-AM68</f>
        <v>15200</v>
      </c>
    </row>
    <row collapsed="false" customFormat="false" customHeight="false" hidden="false" ht="15" outlineLevel="0" r="69">
      <c r="A69" s="19" t="n">
        <f aca="false">VLOOKUP(B69,справочник!$B$2:$E$322,4,0)</f>
        <v>276</v>
      </c>
      <c r="B69" s="0" t="e">
        <f aca="false">CONCATENATE(C69;D69)</f>
        <v>#VALUE!</v>
      </c>
      <c r="C69" s="24" t="n">
        <v>289</v>
      </c>
      <c r="D69" s="29" t="s">
        <v>317</v>
      </c>
      <c r="E69" s="24" t="s">
        <v>435</v>
      </c>
      <c r="F69" s="30" t="n">
        <v>40890</v>
      </c>
      <c r="G69" s="30" t="n">
        <v>40878</v>
      </c>
      <c r="H69" s="31" t="n">
        <f aca="false">INT(($H$325-G69)/30)</f>
        <v>49</v>
      </c>
      <c r="I69" s="24" t="n">
        <f aca="false">H69*1000</f>
        <v>49000</v>
      </c>
      <c r="J69" s="31" t="n">
        <f aca="false">1000+36000</f>
        <v>37000</v>
      </c>
      <c r="K69" s="31"/>
      <c r="L69" s="59" t="n">
        <f aca="false">I69-J69-K69</f>
        <v>12000</v>
      </c>
      <c r="M69" s="60"/>
      <c r="N69" s="60"/>
      <c r="O69" s="60"/>
      <c r="P69" s="60"/>
      <c r="Q69" s="60"/>
      <c r="R69" s="60" t="n">
        <v>21600</v>
      </c>
      <c r="S69" s="60"/>
      <c r="T69" s="60"/>
      <c r="U69" s="60"/>
      <c r="V69" s="60"/>
      <c r="W69" s="60"/>
      <c r="X69" s="60"/>
      <c r="Y69" s="59" t="n">
        <f aca="false">SUM(M69:X69)</f>
        <v>21600</v>
      </c>
      <c r="Z69" s="59" t="n">
        <v>12</v>
      </c>
      <c r="AA69" s="59" t="n">
        <f aca="false">Z69*800</f>
        <v>9600</v>
      </c>
      <c r="AB69" s="59" t="n">
        <f aca="false">L69+AA69-Y69</f>
        <v>0</v>
      </c>
      <c r="AC69" s="60" t="n">
        <v>800</v>
      </c>
      <c r="AD69" s="61"/>
      <c r="AE69" s="62" t="n">
        <f aca="false">AB69+AC69-AD69</f>
        <v>800</v>
      </c>
      <c r="AF69" s="60" t="n">
        <v>800</v>
      </c>
      <c r="AG69" s="61"/>
      <c r="AH69" s="62" t="n">
        <f aca="false">AE69+AF69-AG69</f>
        <v>1600</v>
      </c>
      <c r="AI69" s="60" t="n">
        <v>800</v>
      </c>
      <c r="AJ69" s="61"/>
      <c r="AK69" s="62" t="n">
        <f aca="false">AH69+AI69-AJ69</f>
        <v>2400</v>
      </c>
      <c r="AL69" s="60" t="n">
        <v>800</v>
      </c>
      <c r="AM69" s="61"/>
      <c r="AN69" s="62" t="n">
        <f aca="false">AK69+AL69-AM69</f>
        <v>3200</v>
      </c>
    </row>
    <row collapsed="false" customFormat="false" customHeight="false" hidden="false" ht="15" outlineLevel="0" r="70">
      <c r="A70" s="19" t="n">
        <f aca="false">VLOOKUP(B70,справочник!$B$2:$E$322,4,0)</f>
        <v>148</v>
      </c>
      <c r="B70" s="0" t="e">
        <f aca="false">CONCATENATE(C70;D70)</f>
        <v>#VALUE!</v>
      </c>
      <c r="C70" s="24" t="n">
        <v>156</v>
      </c>
      <c r="D70" s="29" t="s">
        <v>67</v>
      </c>
      <c r="E70" s="24" t="s">
        <v>436</v>
      </c>
      <c r="F70" s="30" t="n">
        <v>41008</v>
      </c>
      <c r="G70" s="30" t="n">
        <v>41000</v>
      </c>
      <c r="H70" s="31" t="n">
        <f aca="false">INT(($H$325-G70)/30)</f>
        <v>45</v>
      </c>
      <c r="I70" s="24" t="n">
        <f aca="false">H70*1000</f>
        <v>45000</v>
      </c>
      <c r="J70" s="31" t="n">
        <f aca="false">12000</f>
        <v>12000</v>
      </c>
      <c r="K70" s="31"/>
      <c r="L70" s="59" t="n">
        <f aca="false">I70-J70-K70</f>
        <v>33000</v>
      </c>
      <c r="M70" s="60"/>
      <c r="N70" s="60" t="n">
        <v>1800</v>
      </c>
      <c r="O70" s="60" t="n">
        <v>1800</v>
      </c>
      <c r="P70" s="60" t="n">
        <v>1800</v>
      </c>
      <c r="Q70" s="60"/>
      <c r="R70" s="60"/>
      <c r="S70" s="60"/>
      <c r="T70" s="60"/>
      <c r="U70" s="60"/>
      <c r="V70" s="60"/>
      <c r="W70" s="60"/>
      <c r="X70" s="60"/>
      <c r="Y70" s="59" t="n">
        <f aca="false">SUM(M70:X70)</f>
        <v>5400</v>
      </c>
      <c r="Z70" s="59" t="n">
        <v>12</v>
      </c>
      <c r="AA70" s="59" t="n">
        <f aca="false">Z70*800</f>
        <v>9600</v>
      </c>
      <c r="AB70" s="59" t="n">
        <f aca="false">L70+AA70-Y70</f>
        <v>37200</v>
      </c>
      <c r="AC70" s="60" t="n">
        <v>800</v>
      </c>
      <c r="AD70" s="61"/>
      <c r="AE70" s="62" t="n">
        <f aca="false">AB70+AC70-AD70</f>
        <v>38000</v>
      </c>
      <c r="AF70" s="60" t="n">
        <v>800</v>
      </c>
      <c r="AG70" s="61"/>
      <c r="AH70" s="62" t="n">
        <f aca="false">AE70+AF70-AG70</f>
        <v>38800</v>
      </c>
      <c r="AI70" s="60" t="n">
        <v>800</v>
      </c>
      <c r="AJ70" s="61"/>
      <c r="AK70" s="62" t="n">
        <f aca="false">AH70+AI70-AJ70</f>
        <v>39600</v>
      </c>
      <c r="AL70" s="60" t="n">
        <v>800</v>
      </c>
      <c r="AM70" s="61"/>
      <c r="AN70" s="62" t="n">
        <f aca="false">AK70+AL70-AM70</f>
        <v>40400</v>
      </c>
    </row>
    <row collapsed="false" customFormat="false" customHeight="false" hidden="false" ht="15" outlineLevel="0" r="71">
      <c r="A71" s="19" t="n">
        <f aca="false">VLOOKUP(B71,справочник!$B$2:$E$322,4,0)</f>
        <v>308</v>
      </c>
      <c r="B71" s="0" t="e">
        <f aca="false">CONCATENATE(C71;D71)</f>
        <v>#VALUE!</v>
      </c>
      <c r="C71" s="24" t="n">
        <v>323</v>
      </c>
      <c r="D71" s="29" t="s">
        <v>163</v>
      </c>
      <c r="E71" s="24" t="s">
        <v>437</v>
      </c>
      <c r="F71" s="30" t="n">
        <v>42025</v>
      </c>
      <c r="G71" s="30" t="n">
        <v>42036</v>
      </c>
      <c r="H71" s="31" t="n">
        <f aca="false">INT(($H$325-G71)/30)</f>
        <v>11</v>
      </c>
      <c r="I71" s="24" t="n">
        <f aca="false">H71*1000</f>
        <v>11000</v>
      </c>
      <c r="J71" s="31" t="n">
        <v>3000</v>
      </c>
      <c r="K71" s="31"/>
      <c r="L71" s="59" t="n">
        <f aca="false">I71-J71-K71</f>
        <v>8000</v>
      </c>
      <c r="M71" s="60"/>
      <c r="N71" s="60"/>
      <c r="O71" s="60"/>
      <c r="P71" s="60"/>
      <c r="Q71" s="60"/>
      <c r="R71" s="60"/>
      <c r="S71" s="60" t="n">
        <v>4800</v>
      </c>
      <c r="T71" s="60"/>
      <c r="U71" s="60"/>
      <c r="V71" s="60"/>
      <c r="W71" s="60"/>
      <c r="X71" s="60"/>
      <c r="Y71" s="59" t="n">
        <f aca="false">SUM(M71:X71)</f>
        <v>4800</v>
      </c>
      <c r="Z71" s="59" t="n">
        <v>12</v>
      </c>
      <c r="AA71" s="59" t="n">
        <f aca="false">Z71*800</f>
        <v>9600</v>
      </c>
      <c r="AB71" s="59" t="n">
        <f aca="false">L71+AA71-Y71</f>
        <v>12800</v>
      </c>
      <c r="AC71" s="60" t="n">
        <v>800</v>
      </c>
      <c r="AD71" s="61"/>
      <c r="AE71" s="62" t="n">
        <f aca="false">AB71+AC71-AD71</f>
        <v>13600</v>
      </c>
      <c r="AF71" s="60" t="n">
        <v>800</v>
      </c>
      <c r="AG71" s="61"/>
      <c r="AH71" s="62" t="n">
        <f aca="false">AE71+AF71-AG71</f>
        <v>14400</v>
      </c>
      <c r="AI71" s="60" t="n">
        <v>800</v>
      </c>
      <c r="AJ71" s="61" t="n">
        <v>15000</v>
      </c>
      <c r="AK71" s="62" t="n">
        <f aca="false">AH71+AI71-AJ71</f>
        <v>200</v>
      </c>
      <c r="AL71" s="60" t="n">
        <v>800</v>
      </c>
      <c r="AM71" s="61"/>
      <c r="AN71" s="62" t="n">
        <f aca="false">AK71+AL71-AM71</f>
        <v>1000</v>
      </c>
    </row>
    <row collapsed="false" customFormat="false" customHeight="false" hidden="false" ht="15" outlineLevel="0" r="72">
      <c r="A72" s="19" t="n">
        <f aca="false">VLOOKUP(B72,справочник!$B$2:$E$322,4,0)</f>
        <v>318</v>
      </c>
      <c r="B72" s="0" t="e">
        <f aca="false">CONCATENATE(C72;D72)</f>
        <v>#VALUE!</v>
      </c>
      <c r="C72" s="24" t="s">
        <v>438</v>
      </c>
      <c r="D72" s="29" t="s">
        <v>315</v>
      </c>
      <c r="E72" s="24" t="s">
        <v>439</v>
      </c>
      <c r="F72" s="30" t="n">
        <v>40694</v>
      </c>
      <c r="G72" s="30" t="n">
        <v>40725</v>
      </c>
      <c r="H72" s="31" t="n">
        <f aca="false">INT(($H$325-G72)/30)</f>
        <v>54</v>
      </c>
      <c r="I72" s="24" t="n">
        <f aca="false">H72*1000*2</f>
        <v>108000</v>
      </c>
      <c r="J72" s="31" t="n">
        <f aca="false">2000+102000</f>
        <v>104000</v>
      </c>
      <c r="K72" s="31" t="n">
        <v>4000</v>
      </c>
      <c r="L72" s="60" t="n">
        <f aca="false">I72-J72-K72</f>
        <v>0</v>
      </c>
      <c r="M72" s="60"/>
      <c r="N72" s="60" t="n">
        <v>4800</v>
      </c>
      <c r="O72" s="60"/>
      <c r="P72" s="60" t="n">
        <v>4800</v>
      </c>
      <c r="Q72" s="60"/>
      <c r="R72" s="60"/>
      <c r="S72" s="60" t="n">
        <v>4800</v>
      </c>
      <c r="T72" s="60"/>
      <c r="U72" s="60"/>
      <c r="V72" s="60" t="n">
        <v>4800</v>
      </c>
      <c r="W72" s="60"/>
      <c r="X72" s="60"/>
      <c r="Y72" s="59" t="n">
        <f aca="false">SUM(M72:X72)</f>
        <v>19200</v>
      </c>
      <c r="Z72" s="59" t="n">
        <v>12</v>
      </c>
      <c r="AA72" s="59" t="n">
        <f aca="false">Z72*800</f>
        <v>9600</v>
      </c>
      <c r="AB72" s="59" t="n">
        <f aca="false">L72+AA72-Y72</f>
        <v>-9600</v>
      </c>
      <c r="AC72" s="60" t="n">
        <v>800</v>
      </c>
      <c r="AD72" s="61" t="n">
        <v>4800</v>
      </c>
      <c r="AE72" s="62" t="n">
        <f aca="false">AB72+AC72-AD72</f>
        <v>-13600</v>
      </c>
      <c r="AF72" s="60" t="n">
        <v>800</v>
      </c>
      <c r="AG72" s="61"/>
      <c r="AH72" s="62" t="n">
        <f aca="false">AE72+AF72-AG72</f>
        <v>-12800</v>
      </c>
      <c r="AI72" s="60" t="n">
        <v>800</v>
      </c>
      <c r="AJ72" s="61"/>
      <c r="AK72" s="62" t="n">
        <f aca="false">AH72+AI72-AJ72</f>
        <v>-12000</v>
      </c>
      <c r="AL72" s="60" t="n">
        <v>800</v>
      </c>
      <c r="AM72" s="61" t="n">
        <v>4800</v>
      </c>
      <c r="AN72" s="62" t="n">
        <f aca="false">AK72+AL72-AM72</f>
        <v>-16000</v>
      </c>
    </row>
    <row collapsed="false" customFormat="false" customHeight="false" hidden="false" ht="15" outlineLevel="0" r="73">
      <c r="A73" s="19" t="n">
        <f aca="false">VLOOKUP(B73,справочник!$B$2:$E$322,4,0)</f>
        <v>236</v>
      </c>
      <c r="B73" s="0" t="e">
        <f aca="false">CONCATENATE(C73;D73)</f>
        <v>#VALUE!</v>
      </c>
      <c r="C73" s="24" t="n">
        <v>245</v>
      </c>
      <c r="D73" s="29" t="s">
        <v>311</v>
      </c>
      <c r="E73" s="24" t="s">
        <v>440</v>
      </c>
      <c r="F73" s="30" t="n">
        <v>40945</v>
      </c>
      <c r="G73" s="30" t="n">
        <v>40940</v>
      </c>
      <c r="H73" s="31" t="n">
        <f aca="false">INT(($H$325-G73)/30)</f>
        <v>47</v>
      </c>
      <c r="I73" s="24" t="n">
        <f aca="false">H73*1000</f>
        <v>47000</v>
      </c>
      <c r="J73" s="31" t="n">
        <f aca="false">18000+11000</f>
        <v>29000</v>
      </c>
      <c r="K73" s="31"/>
      <c r="L73" s="59" t="n">
        <f aca="false">I73-J73-K73</f>
        <v>18000</v>
      </c>
      <c r="M73" s="60"/>
      <c r="N73" s="60"/>
      <c r="O73" s="60"/>
      <c r="P73" s="60"/>
      <c r="Q73" s="60" t="n">
        <v>25000</v>
      </c>
      <c r="R73" s="60"/>
      <c r="S73" s="60"/>
      <c r="T73" s="60"/>
      <c r="U73" s="60"/>
      <c r="V73" s="60" t="n">
        <v>2600</v>
      </c>
      <c r="W73" s="60"/>
      <c r="X73" s="60"/>
      <c r="Y73" s="59" t="n">
        <f aca="false">SUM(M73:X73)</f>
        <v>27600</v>
      </c>
      <c r="Z73" s="59" t="n">
        <v>12</v>
      </c>
      <c r="AA73" s="59" t="n">
        <f aca="false">Z73*800</f>
        <v>9600</v>
      </c>
      <c r="AB73" s="59" t="n">
        <f aca="false">L73+AA73-Y73</f>
        <v>0</v>
      </c>
      <c r="AC73" s="60" t="n">
        <v>800</v>
      </c>
      <c r="AD73" s="61"/>
      <c r="AE73" s="62" t="n">
        <f aca="false">AB73+AC73-AD73</f>
        <v>800</v>
      </c>
      <c r="AF73" s="60" t="n">
        <v>800</v>
      </c>
      <c r="AG73" s="61"/>
      <c r="AH73" s="62" t="n">
        <f aca="false">AE73+AF73-AG73</f>
        <v>1600</v>
      </c>
      <c r="AI73" s="60" t="n">
        <v>800</v>
      </c>
      <c r="AJ73" s="61"/>
      <c r="AK73" s="62" t="n">
        <f aca="false">AH73+AI73-AJ73</f>
        <v>2400</v>
      </c>
      <c r="AL73" s="60" t="n">
        <v>800</v>
      </c>
      <c r="AM73" s="61" t="n">
        <v>4800</v>
      </c>
      <c r="AN73" s="62" t="n">
        <f aca="false">AK73+AL73-AM73</f>
        <v>-1600</v>
      </c>
    </row>
    <row collapsed="false" customFormat="false" customHeight="false" hidden="false" ht="15" outlineLevel="0" r="74">
      <c r="A74" s="19" t="n">
        <f aca="false">VLOOKUP(B74,справочник!$B$2:$E$322,4,0)</f>
        <v>226</v>
      </c>
      <c r="B74" s="0" t="e">
        <f aca="false">CONCATENATE(C74;D74)</f>
        <v>#VALUE!</v>
      </c>
      <c r="C74" s="24" t="n">
        <v>235</v>
      </c>
      <c r="D74" s="29" t="s">
        <v>95</v>
      </c>
      <c r="E74" s="24" t="s">
        <v>441</v>
      </c>
      <c r="F74" s="30" t="n">
        <v>41739</v>
      </c>
      <c r="G74" s="30" t="n">
        <v>41760</v>
      </c>
      <c r="H74" s="31" t="n">
        <f aca="false">INT(($H$325-G74)/30)</f>
        <v>20</v>
      </c>
      <c r="I74" s="24" t="n">
        <f aca="false">H74*1000</f>
        <v>20000</v>
      </c>
      <c r="J74" s="31"/>
      <c r="K74" s="31"/>
      <c r="L74" s="59" t="n">
        <f aca="false">I74-J74-K74</f>
        <v>20000</v>
      </c>
      <c r="M74" s="60"/>
      <c r="N74" s="60"/>
      <c r="O74" s="60"/>
      <c r="P74" s="60"/>
      <c r="Q74" s="60"/>
      <c r="R74" s="60"/>
      <c r="S74" s="60"/>
      <c r="T74" s="60"/>
      <c r="U74" s="60" t="n">
        <v>4000</v>
      </c>
      <c r="V74" s="60"/>
      <c r="W74" s="60"/>
      <c r="X74" s="60"/>
      <c r="Y74" s="59" t="n">
        <f aca="false">SUM(M74:X74)</f>
        <v>4000</v>
      </c>
      <c r="Z74" s="59" t="n">
        <v>12</v>
      </c>
      <c r="AA74" s="59" t="n">
        <f aca="false">Z74*800</f>
        <v>9600</v>
      </c>
      <c r="AB74" s="59" t="n">
        <f aca="false">L74+AA74-Y74</f>
        <v>25600</v>
      </c>
      <c r="AC74" s="60" t="n">
        <v>800</v>
      </c>
      <c r="AD74" s="61"/>
      <c r="AE74" s="62" t="n">
        <f aca="false">AB74+AC74-AD74</f>
        <v>26400</v>
      </c>
      <c r="AF74" s="60" t="n">
        <v>800</v>
      </c>
      <c r="AG74" s="61" t="n">
        <v>2400</v>
      </c>
      <c r="AH74" s="62" t="n">
        <f aca="false">AE74+AF74-AG74</f>
        <v>24800</v>
      </c>
      <c r="AI74" s="60" t="n">
        <v>800</v>
      </c>
      <c r="AJ74" s="61" t="n">
        <v>2000</v>
      </c>
      <c r="AK74" s="62" t="n">
        <f aca="false">AH74+AI74-AJ74</f>
        <v>23600</v>
      </c>
      <c r="AL74" s="60" t="n">
        <v>800</v>
      </c>
      <c r="AM74" s="61" t="n">
        <v>5000</v>
      </c>
      <c r="AN74" s="62" t="n">
        <f aca="false">AK74+AL74-AM74</f>
        <v>19400</v>
      </c>
    </row>
    <row collapsed="false" customFormat="false" customHeight="false" hidden="false" ht="15" outlineLevel="0" r="75">
      <c r="A75" s="19" t="n">
        <f aca="false">VLOOKUP(B75,справочник!$B$2:$E$322,4,0)</f>
        <v>285</v>
      </c>
      <c r="B75" s="0" t="e">
        <f aca="false">CONCATENATE(C75;D75)</f>
        <v>#VALUE!</v>
      </c>
      <c r="C75" s="24" t="n">
        <v>297</v>
      </c>
      <c r="D75" s="29" t="s">
        <v>321</v>
      </c>
      <c r="E75" s="24" t="s">
        <v>442</v>
      </c>
      <c r="F75" s="24"/>
      <c r="G75" s="24"/>
      <c r="H75" s="31"/>
      <c r="I75" s="24" t="n">
        <v>19000</v>
      </c>
      <c r="J75" s="31" t="n">
        <v>19000</v>
      </c>
      <c r="K75" s="31"/>
      <c r="L75" s="59" t="n">
        <f aca="false">I75-J75-K75</f>
        <v>0</v>
      </c>
      <c r="M75" s="60"/>
      <c r="N75" s="60" t="n">
        <v>8000</v>
      </c>
      <c r="O75" s="60"/>
      <c r="P75" s="60"/>
      <c r="Q75" s="60"/>
      <c r="R75" s="60" t="n">
        <v>4000</v>
      </c>
      <c r="S75" s="60"/>
      <c r="T75" s="60"/>
      <c r="U75" s="60"/>
      <c r="V75" s="60"/>
      <c r="W75" s="60"/>
      <c r="X75" s="60" t="n">
        <v>6000</v>
      </c>
      <c r="Y75" s="59" t="n">
        <f aca="false">SUM(M75:X75)</f>
        <v>18000</v>
      </c>
      <c r="Z75" s="59" t="n">
        <v>12</v>
      </c>
      <c r="AA75" s="59" t="n">
        <f aca="false">Z75*800</f>
        <v>9600</v>
      </c>
      <c r="AB75" s="59" t="n">
        <f aca="false">L75+AA75-Y75</f>
        <v>-8400</v>
      </c>
      <c r="AC75" s="60" t="n">
        <v>800</v>
      </c>
      <c r="AD75" s="61"/>
      <c r="AE75" s="62" t="n">
        <f aca="false">AB75+AC75-AD75</f>
        <v>-7600</v>
      </c>
      <c r="AF75" s="60" t="n">
        <v>800</v>
      </c>
      <c r="AG75" s="61"/>
      <c r="AH75" s="62" t="n">
        <f aca="false">AE75+AF75-AG75</f>
        <v>-6800</v>
      </c>
      <c r="AI75" s="60" t="n">
        <v>800</v>
      </c>
      <c r="AJ75" s="61"/>
      <c r="AK75" s="62" t="n">
        <f aca="false">AH75+AI75-AJ75</f>
        <v>-6000</v>
      </c>
      <c r="AL75" s="60" t="n">
        <v>800</v>
      </c>
      <c r="AM75" s="61"/>
      <c r="AN75" s="62" t="n">
        <f aca="false">AK75+AL75-AM75</f>
        <v>-5200</v>
      </c>
    </row>
    <row collapsed="false" customFormat="false" customHeight="false" hidden="false" ht="15" outlineLevel="0" r="76">
      <c r="A76" s="19" t="n">
        <f aca="false">VLOOKUP(B76,справочник!$B$2:$E$322,4,0)</f>
        <v>24</v>
      </c>
      <c r="B76" s="0" t="e">
        <f aca="false">CONCATENATE(C76;D76)</f>
        <v>#VALUE!</v>
      </c>
      <c r="C76" s="24" t="n">
        <v>24</v>
      </c>
      <c r="D76" s="29" t="s">
        <v>155</v>
      </c>
      <c r="E76" s="24" t="s">
        <v>443</v>
      </c>
      <c r="F76" s="30" t="n">
        <v>41141</v>
      </c>
      <c r="G76" s="30" t="n">
        <v>41153</v>
      </c>
      <c r="H76" s="31" t="n">
        <f aca="false">INT(($H$325-G76)/30)</f>
        <v>40</v>
      </c>
      <c r="I76" s="24" t="n">
        <f aca="false">H76*1000</f>
        <v>40000</v>
      </c>
      <c r="J76" s="31" t="n">
        <v>30000</v>
      </c>
      <c r="K76" s="31"/>
      <c r="L76" s="59" t="n">
        <f aca="false">I76-J76-K76</f>
        <v>10000</v>
      </c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59" t="n">
        <f aca="false">SUM(M76:X76)</f>
        <v>0</v>
      </c>
      <c r="Z76" s="59" t="n">
        <v>12</v>
      </c>
      <c r="AA76" s="59" t="n">
        <f aca="false">Z76*800</f>
        <v>9600</v>
      </c>
      <c r="AB76" s="59" t="n">
        <f aca="false">L76+AA76-Y76</f>
        <v>19600</v>
      </c>
      <c r="AC76" s="60" t="n">
        <v>800</v>
      </c>
      <c r="AD76" s="61"/>
      <c r="AE76" s="62" t="n">
        <f aca="false">AB76+AC76-AD76</f>
        <v>20400</v>
      </c>
      <c r="AF76" s="60" t="n">
        <v>800</v>
      </c>
      <c r="AG76" s="61"/>
      <c r="AH76" s="62" t="n">
        <f aca="false">AE76+AF76-AG76</f>
        <v>21200</v>
      </c>
      <c r="AI76" s="60" t="n">
        <v>800</v>
      </c>
      <c r="AJ76" s="61"/>
      <c r="AK76" s="62" t="n">
        <f aca="false">AH76+AI76-AJ76</f>
        <v>22000</v>
      </c>
      <c r="AL76" s="60" t="n">
        <v>800</v>
      </c>
      <c r="AM76" s="61"/>
      <c r="AN76" s="62" t="n">
        <f aca="false">AK76+AL76-AM76</f>
        <v>22800</v>
      </c>
    </row>
    <row collapsed="false" customFormat="false" customHeight="false" hidden="false" ht="15" outlineLevel="0" r="77">
      <c r="A77" s="19" t="n">
        <f aca="false">VLOOKUP(B77,справочник!$B$2:$E$322,4,0)</f>
        <v>50</v>
      </c>
      <c r="B77" s="0" t="e">
        <f aca="false">CONCATENATE(C77;D77)</f>
        <v>#VALUE!</v>
      </c>
      <c r="C77" s="24" t="n">
        <v>50</v>
      </c>
      <c r="D77" s="29" t="s">
        <v>238</v>
      </c>
      <c r="E77" s="24" t="s">
        <v>444</v>
      </c>
      <c r="F77" s="30" t="n">
        <v>40793</v>
      </c>
      <c r="G77" s="30" t="n">
        <v>40787</v>
      </c>
      <c r="H77" s="31" t="n">
        <f aca="false">INT(($H$325-G77)/30)</f>
        <v>52</v>
      </c>
      <c r="I77" s="24" t="n">
        <f aca="false">H77*1000</f>
        <v>52000</v>
      </c>
      <c r="J77" s="31" t="n">
        <f aca="false">1000+41000</f>
        <v>42000</v>
      </c>
      <c r="K77" s="31"/>
      <c r="L77" s="59" t="n">
        <f aca="false">I77-J77-K77</f>
        <v>10000</v>
      </c>
      <c r="M77" s="60"/>
      <c r="N77" s="60"/>
      <c r="O77" s="60" t="n">
        <v>12000</v>
      </c>
      <c r="P77" s="60"/>
      <c r="Q77" s="60"/>
      <c r="R77" s="60"/>
      <c r="S77" s="60" t="n">
        <v>3200</v>
      </c>
      <c r="T77" s="60"/>
      <c r="U77" s="60"/>
      <c r="V77" s="60"/>
      <c r="W77" s="60"/>
      <c r="X77" s="60"/>
      <c r="Y77" s="59" t="n">
        <f aca="false">SUM(M77:X77)</f>
        <v>15200</v>
      </c>
      <c r="Z77" s="59" t="n">
        <v>12</v>
      </c>
      <c r="AA77" s="59" t="n">
        <f aca="false">Z77*800</f>
        <v>9600</v>
      </c>
      <c r="AB77" s="59" t="n">
        <f aca="false">L77+AA77-Y77</f>
        <v>4400</v>
      </c>
      <c r="AC77" s="60" t="n">
        <v>800</v>
      </c>
      <c r="AD77" s="61"/>
      <c r="AE77" s="62" t="n">
        <f aca="false">AB77+AC77-AD77</f>
        <v>5200</v>
      </c>
      <c r="AF77" s="60" t="n">
        <v>800</v>
      </c>
      <c r="AG77" s="61"/>
      <c r="AH77" s="62" t="n">
        <f aca="false">AE77+AF77-AG77</f>
        <v>6000</v>
      </c>
      <c r="AI77" s="60" t="n">
        <v>800</v>
      </c>
      <c r="AJ77" s="61"/>
      <c r="AK77" s="62" t="n">
        <f aca="false">AH77+AI77-AJ77</f>
        <v>6800</v>
      </c>
      <c r="AL77" s="60" t="n">
        <v>800</v>
      </c>
      <c r="AM77" s="61"/>
      <c r="AN77" s="62" t="n">
        <f aca="false">AK77+AL77-AM77</f>
        <v>7600</v>
      </c>
    </row>
    <row collapsed="false" customFormat="false" customHeight="false" hidden="false" ht="14.05" outlineLevel="0" r="78">
      <c r="A78" s="19" t="n">
        <f aca="false">VLOOKUP(B78,['file://SERVER/clipart_old/ALEX_DIS_1/Doks/Участок/ПРАВЛЕНИЕ_2017/членские взносы  апрель2017 (1).xlsx']справочник!$B$2:$E$322,4,0)</f>
        <v>122</v>
      </c>
      <c r="B78" s="0" t="str">
        <f aca="false">CONCATENATE(C78;D78)</f>
        <v>127Денисов Сергей Александрович</v>
      </c>
      <c r="C78" s="74" t="n">
        <v>127</v>
      </c>
      <c r="D78" s="75" t="s">
        <v>202</v>
      </c>
      <c r="E78" s="74" t="s">
        <v>445</v>
      </c>
      <c r="F78" s="76" t="n">
        <v>40938</v>
      </c>
      <c r="G78" s="76" t="n">
        <v>40940</v>
      </c>
      <c r="H78" s="77" t="n">
        <f aca="false">INT(($H$325-G78)/30)</f>
        <v>47</v>
      </c>
      <c r="I78" s="74" t="n">
        <f aca="false">H78*1000</f>
        <v>47000</v>
      </c>
      <c r="J78" s="77" t="n">
        <f aca="false">37000+5000</f>
        <v>42000</v>
      </c>
      <c r="K78" s="77" t="n">
        <v>5000</v>
      </c>
      <c r="L78" s="78" t="n">
        <f aca="false">I78-J78-K78</f>
        <v>0</v>
      </c>
      <c r="M78" s="79"/>
      <c r="N78" s="79" t="n">
        <v>2000</v>
      </c>
      <c r="O78" s="79"/>
      <c r="P78" s="79" t="n">
        <v>2000</v>
      </c>
      <c r="Q78" s="79"/>
      <c r="R78" s="79"/>
      <c r="S78" s="79"/>
      <c r="T78" s="79"/>
      <c r="U78" s="79" t="n">
        <v>3200</v>
      </c>
      <c r="V78" s="79"/>
      <c r="W78" s="79"/>
      <c r="X78" s="79" t="n">
        <v>2400</v>
      </c>
      <c r="Y78" s="78" t="n">
        <f aca="false">SUM(M78:X78)</f>
        <v>9600</v>
      </c>
      <c r="Z78" s="78" t="n">
        <v>12</v>
      </c>
      <c r="AA78" s="78" t="n">
        <f aca="false">Z78*800</f>
        <v>9600</v>
      </c>
      <c r="AB78" s="78" t="n">
        <f aca="false">L78+AA78-Y78</f>
        <v>0</v>
      </c>
      <c r="AC78" s="79" t="n">
        <v>800</v>
      </c>
      <c r="AD78" s="80"/>
      <c r="AE78" s="81" t="n">
        <f aca="false">AB78+AC78-AD78</f>
        <v>800</v>
      </c>
      <c r="AF78" s="79" t="n">
        <v>800</v>
      </c>
      <c r="AG78" s="80" t="n">
        <v>1600</v>
      </c>
      <c r="AH78" s="81" t="n">
        <f aca="false">AE78+AF78-AG78</f>
        <v>0</v>
      </c>
      <c r="AI78" s="79" t="n">
        <v>800</v>
      </c>
      <c r="AJ78" s="80"/>
      <c r="AK78" s="81" t="n">
        <f aca="false">AH78+AI78-AJ78</f>
        <v>800</v>
      </c>
      <c r="AL78" s="79" t="n">
        <v>800</v>
      </c>
      <c r="AM78" s="80"/>
      <c r="AN78" s="81" t="n">
        <f aca="false">AK78+AL78-AM78</f>
        <v>1600</v>
      </c>
    </row>
    <row collapsed="false" customFormat="false" customHeight="false" hidden="false" ht="15" outlineLevel="0" r="79">
      <c r="A79" s="19" t="n">
        <f aca="false">VLOOKUP(B79,справочник!$B$2:$E$322,4,0)</f>
        <v>301</v>
      </c>
      <c r="B79" s="0" t="e">
        <f aca="false">CONCATENATE(C79;D79)</f>
        <v>#VALUE!</v>
      </c>
      <c r="C79" s="24" t="n">
        <v>316</v>
      </c>
      <c r="D79" s="29" t="s">
        <v>133</v>
      </c>
      <c r="E79" s="24" t="s">
        <v>446</v>
      </c>
      <c r="F79" s="30" t="n">
        <v>41969</v>
      </c>
      <c r="G79" s="30" t="n">
        <v>41974</v>
      </c>
      <c r="H79" s="31" t="n">
        <f aca="false">INT(($H$325-G79)/30)</f>
        <v>13</v>
      </c>
      <c r="I79" s="24" t="n">
        <f aca="false">H79*1000</f>
        <v>13000</v>
      </c>
      <c r="J79" s="31" t="n">
        <v>1000</v>
      </c>
      <c r="K79" s="31"/>
      <c r="L79" s="59" t="n">
        <f aca="false">I79-J79-K79</f>
        <v>12000</v>
      </c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59" t="n">
        <f aca="false">SUM(M79:X79)</f>
        <v>0</v>
      </c>
      <c r="Z79" s="59" t="n">
        <v>12</v>
      </c>
      <c r="AA79" s="59" t="n">
        <f aca="false">Z79*800</f>
        <v>9600</v>
      </c>
      <c r="AB79" s="59" t="n">
        <f aca="false">L79+AA79-Y79</f>
        <v>21600</v>
      </c>
      <c r="AC79" s="60" t="n">
        <v>800</v>
      </c>
      <c r="AD79" s="61"/>
      <c r="AE79" s="62" t="n">
        <f aca="false">AB79+AC79-AD79</f>
        <v>22400</v>
      </c>
      <c r="AF79" s="60" t="n">
        <v>800</v>
      </c>
      <c r="AG79" s="61"/>
      <c r="AH79" s="62" t="n">
        <f aca="false">AE79+AF79-AG79</f>
        <v>23200</v>
      </c>
      <c r="AI79" s="60" t="n">
        <v>800</v>
      </c>
      <c r="AJ79" s="61"/>
      <c r="AK79" s="62" t="n">
        <f aca="false">AH79+AI79-AJ79</f>
        <v>24000</v>
      </c>
      <c r="AL79" s="60" t="n">
        <v>800</v>
      </c>
      <c r="AM79" s="61" t="n">
        <v>25000</v>
      </c>
      <c r="AN79" s="62" t="n">
        <f aca="false">AK79+AL79-AM79</f>
        <v>-200</v>
      </c>
    </row>
    <row collapsed="false" customFormat="false" customHeight="false" hidden="false" ht="15" outlineLevel="0" r="80">
      <c r="A80" s="19" t="n">
        <f aca="false">VLOOKUP(B80,справочник!$B$2:$E$322,4,0)</f>
        <v>18</v>
      </c>
      <c r="B80" s="0" t="e">
        <f aca="false">CONCATENATE(C80;D80)</f>
        <v>#VALUE!</v>
      </c>
      <c r="C80" s="24" t="n">
        <v>18</v>
      </c>
      <c r="D80" s="29" t="s">
        <v>220</v>
      </c>
      <c r="E80" s="24" t="s">
        <v>447</v>
      </c>
      <c r="F80" s="30" t="n">
        <v>41429</v>
      </c>
      <c r="G80" s="30" t="n">
        <v>41487</v>
      </c>
      <c r="H80" s="31" t="n">
        <f aca="false">INT(($H$325-G80)/30)</f>
        <v>29</v>
      </c>
      <c r="I80" s="24" t="n">
        <f aca="false">H80*1000</f>
        <v>29000</v>
      </c>
      <c r="J80" s="31" t="n">
        <v>29000</v>
      </c>
      <c r="K80" s="31"/>
      <c r="L80" s="59" t="n">
        <f aca="false">I80-J80-K80</f>
        <v>0</v>
      </c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59" t="n">
        <f aca="false">SUM(M80:X80)</f>
        <v>0</v>
      </c>
      <c r="Z80" s="59" t="n">
        <v>12</v>
      </c>
      <c r="AA80" s="59" t="n">
        <f aca="false">Z80*800</f>
        <v>9600</v>
      </c>
      <c r="AB80" s="59" t="n">
        <f aca="false">L80+AA80-Y80</f>
        <v>9600</v>
      </c>
      <c r="AC80" s="60" t="n">
        <v>800</v>
      </c>
      <c r="AD80" s="61"/>
      <c r="AE80" s="62" t="n">
        <f aca="false">AB80+AC80-AD80</f>
        <v>10400</v>
      </c>
      <c r="AF80" s="60" t="n">
        <v>800</v>
      </c>
      <c r="AG80" s="61"/>
      <c r="AH80" s="62" t="n">
        <f aca="false">AE80+AF80-AG80</f>
        <v>11200</v>
      </c>
      <c r="AI80" s="60" t="n">
        <v>800</v>
      </c>
      <c r="AJ80" s="61"/>
      <c r="AK80" s="62" t="n">
        <f aca="false">AH80+AI80-AJ80</f>
        <v>12000</v>
      </c>
      <c r="AL80" s="60" t="n">
        <v>800</v>
      </c>
      <c r="AM80" s="61" t="n">
        <v>14400</v>
      </c>
      <c r="AN80" s="62" t="n">
        <f aca="false">AK80+AL80-AM80</f>
        <v>-1600</v>
      </c>
    </row>
    <row collapsed="false" customFormat="false" customHeight="false" hidden="false" ht="15" outlineLevel="0" r="81">
      <c r="A81" s="19" t="n">
        <f aca="false">VLOOKUP(B81,справочник!$B$2:$E$322,4,0)</f>
        <v>155</v>
      </c>
      <c r="B81" s="0" t="e">
        <f aca="false">CONCATENATE(C81;D81)</f>
        <v>#VALUE!</v>
      </c>
      <c r="C81" s="24" t="n">
        <v>163</v>
      </c>
      <c r="D81" s="29" t="s">
        <v>301</v>
      </c>
      <c r="E81" s="24" t="s">
        <v>448</v>
      </c>
      <c r="F81" s="30" t="n">
        <v>41491</v>
      </c>
      <c r="G81" s="30" t="n">
        <v>41518</v>
      </c>
      <c r="H81" s="31" t="n">
        <f aca="false">INT(($H$325-G81)/30)</f>
        <v>28</v>
      </c>
      <c r="I81" s="24" t="n">
        <f aca="false">H81*1000</f>
        <v>28000</v>
      </c>
      <c r="J81" s="31" t="n">
        <v>28000</v>
      </c>
      <c r="K81" s="31" t="n">
        <v>2000</v>
      </c>
      <c r="L81" s="59" t="n">
        <f aca="false">I81-J81-K81</f>
        <v>-2000</v>
      </c>
      <c r="M81" s="60"/>
      <c r="N81" s="60" t="n">
        <v>600</v>
      </c>
      <c r="O81" s="60" t="n">
        <v>1600</v>
      </c>
      <c r="P81" s="60"/>
      <c r="Q81" s="60" t="n">
        <v>1600</v>
      </c>
      <c r="R81" s="60"/>
      <c r="S81" s="60" t="n">
        <v>1600</v>
      </c>
      <c r="T81" s="60"/>
      <c r="U81" s="60"/>
      <c r="V81" s="60" t="n">
        <v>1600</v>
      </c>
      <c r="W81" s="18" t="n">
        <v>1600</v>
      </c>
      <c r="X81" s="60"/>
      <c r="Y81" s="59" t="n">
        <f aca="false">SUM(M81:X81)</f>
        <v>8600</v>
      </c>
      <c r="Z81" s="59" t="n">
        <v>12</v>
      </c>
      <c r="AA81" s="59" t="n">
        <f aca="false">Z81*800</f>
        <v>9600</v>
      </c>
      <c r="AB81" s="59" t="n">
        <f aca="false">L81+AA81-Y81</f>
        <v>-1000</v>
      </c>
      <c r="AC81" s="60" t="n">
        <v>800</v>
      </c>
      <c r="AD81" s="61" t="n">
        <v>1600</v>
      </c>
      <c r="AE81" s="62" t="n">
        <f aca="false">AB81+AC81-AD81</f>
        <v>-1800</v>
      </c>
      <c r="AF81" s="60" t="n">
        <v>800</v>
      </c>
      <c r="AG81" s="61"/>
      <c r="AH81" s="62" t="n">
        <f aca="false">AE81+AF81-AG81</f>
        <v>-1000</v>
      </c>
      <c r="AI81" s="60" t="n">
        <v>800</v>
      </c>
      <c r="AJ81" s="61"/>
      <c r="AK81" s="62" t="n">
        <f aca="false">AH81+AI81-AJ81</f>
        <v>-200</v>
      </c>
      <c r="AL81" s="60" t="n">
        <v>800</v>
      </c>
      <c r="AM81" s="61"/>
      <c r="AN81" s="62" t="n">
        <f aca="false">AK81+AL81-AM81</f>
        <v>600</v>
      </c>
    </row>
    <row collapsed="false" customFormat="false" customHeight="false" hidden="false" ht="15" outlineLevel="0" r="82">
      <c r="A82" s="19" t="n">
        <f aca="false">VLOOKUP(B82,справочник!$B$2:$E$322,4,0)</f>
        <v>44</v>
      </c>
      <c r="B82" s="0" t="e">
        <f aca="false">CONCATENATE(C82;D82)</f>
        <v>#VALUE!</v>
      </c>
      <c r="C82" s="24" t="n">
        <v>44</v>
      </c>
      <c r="D82" s="29" t="s">
        <v>197</v>
      </c>
      <c r="E82" s="40" t="s">
        <v>393</v>
      </c>
      <c r="F82" s="41" t="n">
        <v>41100</v>
      </c>
      <c r="G82" s="41" t="n">
        <v>41091</v>
      </c>
      <c r="H82" s="31" t="n">
        <f aca="false">INT(($H$325-G82)/30)</f>
        <v>42</v>
      </c>
      <c r="I82" s="24" t="n">
        <f aca="false">H82*1000</f>
        <v>42000</v>
      </c>
      <c r="J82" s="31" t="n">
        <f aca="false">21000+6000</f>
        <v>27000</v>
      </c>
      <c r="K82" s="31" t="n">
        <v>13000</v>
      </c>
      <c r="L82" s="59" t="n">
        <f aca="false">I82-J82-K82</f>
        <v>2000</v>
      </c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59" t="n">
        <f aca="false">SUM(M82:X82)</f>
        <v>0</v>
      </c>
      <c r="Z82" s="59" t="n">
        <v>12</v>
      </c>
      <c r="AA82" s="59" t="n">
        <f aca="false">Z82*800</f>
        <v>9600</v>
      </c>
      <c r="AB82" s="59" t="n">
        <f aca="false">L82+AA82-Y82</f>
        <v>11600</v>
      </c>
      <c r="AC82" s="60" t="n">
        <v>800</v>
      </c>
      <c r="AD82" s="61"/>
      <c r="AE82" s="62" t="n">
        <f aca="false">AB82+AC82-AD82</f>
        <v>12400</v>
      </c>
      <c r="AF82" s="60" t="n">
        <v>800</v>
      </c>
      <c r="AG82" s="61"/>
      <c r="AH82" s="62" t="n">
        <f aca="false">AE82+AF82-AG82</f>
        <v>13200</v>
      </c>
      <c r="AI82" s="60" t="n">
        <v>800</v>
      </c>
      <c r="AJ82" s="61" t="n">
        <v>7200</v>
      </c>
      <c r="AK82" s="62" t="n">
        <f aca="false">AH82+AI82-AJ82</f>
        <v>6800</v>
      </c>
      <c r="AL82" s="60" t="n">
        <v>800</v>
      </c>
      <c r="AM82" s="61"/>
      <c r="AN82" s="62" t="n">
        <f aca="false">AK82+AL82-AM82</f>
        <v>7600</v>
      </c>
    </row>
    <row collapsed="false" customFormat="false" customHeight="false" hidden="false" ht="15" outlineLevel="0" r="83">
      <c r="A83" s="19" t="n">
        <f aca="false">VLOOKUP(B83,справочник!$B$2:$E$322,4,0)</f>
        <v>132</v>
      </c>
      <c r="B83" s="0" t="e">
        <f aca="false">CONCATENATE(C83;D83)</f>
        <v>#VALUE!</v>
      </c>
      <c r="C83" s="24" t="n">
        <v>139</v>
      </c>
      <c r="D83" s="29" t="s">
        <v>129</v>
      </c>
      <c r="E83" s="24" t="s">
        <v>449</v>
      </c>
      <c r="F83" s="30" t="n">
        <v>40690</v>
      </c>
      <c r="G83" s="30" t="n">
        <v>40695</v>
      </c>
      <c r="H83" s="31" t="n">
        <f aca="false">INT(($H$325-G83)/30)</f>
        <v>55</v>
      </c>
      <c r="I83" s="24" t="n">
        <f aca="false">H83*1000</f>
        <v>55000</v>
      </c>
      <c r="J83" s="31" t="n">
        <f aca="false">41000+1000</f>
        <v>42000</v>
      </c>
      <c r="K83" s="31"/>
      <c r="L83" s="59" t="n">
        <f aca="false">I83-J83-K83</f>
        <v>13000</v>
      </c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59" t="n">
        <f aca="false">SUM(M83:X83)</f>
        <v>0</v>
      </c>
      <c r="Z83" s="59" t="n">
        <v>12</v>
      </c>
      <c r="AA83" s="59" t="n">
        <f aca="false">Z83*800</f>
        <v>9600</v>
      </c>
      <c r="AB83" s="59" t="n">
        <f aca="false">L83+AA83-Y83</f>
        <v>22600</v>
      </c>
      <c r="AC83" s="60" t="n">
        <v>800</v>
      </c>
      <c r="AD83" s="61"/>
      <c r="AE83" s="62" t="n">
        <f aca="false">AB83+AC83-AD83</f>
        <v>23400</v>
      </c>
      <c r="AF83" s="60" t="n">
        <v>800</v>
      </c>
      <c r="AG83" s="61"/>
      <c r="AH83" s="62" t="n">
        <f aca="false">AE83+AF83-AG83</f>
        <v>24200</v>
      </c>
      <c r="AI83" s="60" t="n">
        <v>800</v>
      </c>
      <c r="AJ83" s="61"/>
      <c r="AK83" s="62" t="n">
        <f aca="false">AH83+AI83-AJ83</f>
        <v>25000</v>
      </c>
      <c r="AL83" s="60" t="n">
        <v>800</v>
      </c>
      <c r="AM83" s="61"/>
      <c r="AN83" s="62" t="n">
        <f aca="false">AK83+AL83-AM83</f>
        <v>25800</v>
      </c>
    </row>
    <row collapsed="false" customFormat="false" customHeight="false" hidden="false" ht="15" outlineLevel="0" r="84">
      <c r="A84" s="19" t="n">
        <f aca="false">VLOOKUP(B84,справочник!$B$2:$E$322,4,0)</f>
        <v>159</v>
      </c>
      <c r="B84" s="0" t="e">
        <f aca="false">CONCATENATE(C84;D84)</f>
        <v>#VALUE!</v>
      </c>
      <c r="C84" s="24" t="n">
        <v>167</v>
      </c>
      <c r="D84" s="29" t="s">
        <v>215</v>
      </c>
      <c r="E84" s="24" t="s">
        <v>450</v>
      </c>
      <c r="F84" s="30" t="n">
        <v>41044</v>
      </c>
      <c r="G84" s="30" t="n">
        <v>41030</v>
      </c>
      <c r="H84" s="31" t="n">
        <f aca="false">INT(($H$325-G84)/30)</f>
        <v>44</v>
      </c>
      <c r="I84" s="24" t="n">
        <f aca="false">H84*1000</f>
        <v>44000</v>
      </c>
      <c r="J84" s="31" t="n">
        <f aca="false">32000</f>
        <v>32000</v>
      </c>
      <c r="K84" s="31"/>
      <c r="L84" s="59" t="n">
        <f aca="false">I84-J84-K84</f>
        <v>12000</v>
      </c>
      <c r="M84" s="60"/>
      <c r="N84" s="60" t="n">
        <v>12000</v>
      </c>
      <c r="O84" s="60"/>
      <c r="P84" s="60"/>
      <c r="Q84" s="60"/>
      <c r="R84" s="60"/>
      <c r="S84" s="60" t="n">
        <v>5600</v>
      </c>
      <c r="T84" s="60"/>
      <c r="U84" s="60"/>
      <c r="V84" s="60"/>
      <c r="W84" s="60"/>
      <c r="X84" s="60" t="n">
        <v>4000</v>
      </c>
      <c r="Y84" s="59" t="n">
        <f aca="false">SUM(M84:X84)</f>
        <v>21600</v>
      </c>
      <c r="Z84" s="59" t="n">
        <v>12</v>
      </c>
      <c r="AA84" s="59" t="n">
        <f aca="false">Z84*800</f>
        <v>9600</v>
      </c>
      <c r="AB84" s="59" t="n">
        <f aca="false">L84+AA84-Y84</f>
        <v>0</v>
      </c>
      <c r="AC84" s="60" t="n">
        <v>800</v>
      </c>
      <c r="AD84" s="61"/>
      <c r="AE84" s="62" t="n">
        <f aca="false">AB84+AC84-AD84</f>
        <v>800</v>
      </c>
      <c r="AF84" s="60" t="n">
        <v>800</v>
      </c>
      <c r="AG84" s="61"/>
      <c r="AH84" s="62" t="n">
        <f aca="false">AE84+AF84-AG84</f>
        <v>1600</v>
      </c>
      <c r="AI84" s="60" t="n">
        <v>800</v>
      </c>
      <c r="AJ84" s="61"/>
      <c r="AK84" s="62" t="n">
        <f aca="false">AH84+AI84-AJ84</f>
        <v>2400</v>
      </c>
      <c r="AL84" s="60" t="n">
        <v>800</v>
      </c>
      <c r="AM84" s="61"/>
      <c r="AN84" s="62" t="n">
        <f aca="false">AK84+AL84-AM84</f>
        <v>3200</v>
      </c>
    </row>
    <row collapsed="false" customFormat="false" customHeight="false" hidden="false" ht="15" outlineLevel="0" r="85">
      <c r="A85" s="19" t="n">
        <f aca="false">VLOOKUP(B85,справочник!$B$2:$E$322,4,0)</f>
        <v>181</v>
      </c>
      <c r="B85" s="0" t="e">
        <f aca="false">CONCATENATE(C85;D85)</f>
        <v>#VALUE!</v>
      </c>
      <c r="C85" s="24" t="n">
        <v>189</v>
      </c>
      <c r="D85" s="29" t="s">
        <v>263</v>
      </c>
      <c r="E85" s="24" t="s">
        <v>451</v>
      </c>
      <c r="F85" s="30" t="n">
        <v>41734</v>
      </c>
      <c r="G85" s="30" t="n">
        <v>41760</v>
      </c>
      <c r="H85" s="31" t="n">
        <f aca="false">INT(($H$325-G85)/30)</f>
        <v>20</v>
      </c>
      <c r="I85" s="24" t="n">
        <f aca="false">H85*1000</f>
        <v>20000</v>
      </c>
      <c r="J85" s="31" t="n">
        <v>17000</v>
      </c>
      <c r="K85" s="31"/>
      <c r="L85" s="59" t="n">
        <f aca="false">I85-J85-K85</f>
        <v>3000</v>
      </c>
      <c r="M85" s="60"/>
      <c r="N85" s="60"/>
      <c r="O85" s="60"/>
      <c r="P85" s="60"/>
      <c r="Q85" s="60" t="n">
        <v>7000</v>
      </c>
      <c r="R85" s="60"/>
      <c r="S85" s="60"/>
      <c r="T85" s="60"/>
      <c r="U85" s="60"/>
      <c r="V85" s="60"/>
      <c r="W85" s="60"/>
      <c r="X85" s="60"/>
      <c r="Y85" s="59" t="n">
        <f aca="false">SUM(M85:X85)</f>
        <v>7000</v>
      </c>
      <c r="Z85" s="59" t="n">
        <v>12</v>
      </c>
      <c r="AA85" s="59" t="n">
        <f aca="false">Z85*800</f>
        <v>9600</v>
      </c>
      <c r="AB85" s="59" t="n">
        <f aca="false">L85+AA85-Y85</f>
        <v>5600</v>
      </c>
      <c r="AC85" s="60" t="n">
        <v>800</v>
      </c>
      <c r="AD85" s="61"/>
      <c r="AE85" s="62" t="n">
        <f aca="false">AB85+AC85-AD85</f>
        <v>6400</v>
      </c>
      <c r="AF85" s="60" t="n">
        <v>800</v>
      </c>
      <c r="AG85" s="61"/>
      <c r="AH85" s="62" t="n">
        <f aca="false">AE85+AF85-AG85</f>
        <v>7200</v>
      </c>
      <c r="AI85" s="60" t="n">
        <v>800</v>
      </c>
      <c r="AJ85" s="61"/>
      <c r="AK85" s="62" t="n">
        <f aca="false">AH85+AI85-AJ85</f>
        <v>8000</v>
      </c>
      <c r="AL85" s="60" t="n">
        <v>800</v>
      </c>
      <c r="AM85" s="61"/>
      <c r="AN85" s="62" t="n">
        <f aca="false">AK85+AL85-AM85</f>
        <v>8800</v>
      </c>
    </row>
    <row collapsed="false" customFormat="false" customHeight="false" hidden="false" ht="15" outlineLevel="0" r="86">
      <c r="A86" s="19" t="n">
        <f aca="false">VLOOKUP(B86,справочник!$B$2:$E$322,4,0)</f>
        <v>284</v>
      </c>
      <c r="B86" s="0" t="e">
        <f aca="false">CONCATENATE(C86;D86)</f>
        <v>#VALUE!</v>
      </c>
      <c r="C86" s="24" t="n">
        <v>296</v>
      </c>
      <c r="D86" s="29" t="s">
        <v>180</v>
      </c>
      <c r="E86" s="24" t="s">
        <v>452</v>
      </c>
      <c r="F86" s="30" t="n">
        <v>41549</v>
      </c>
      <c r="G86" s="30" t="n">
        <v>41579</v>
      </c>
      <c r="H86" s="31" t="n">
        <f aca="false">INT(($H$325-G86)/30)</f>
        <v>26</v>
      </c>
      <c r="I86" s="24" t="n">
        <f aca="false">H86*1000</f>
        <v>26000</v>
      </c>
      <c r="J86" s="31" t="n">
        <f aca="false">12000</f>
        <v>12000</v>
      </c>
      <c r="K86" s="31" t="n">
        <v>5000</v>
      </c>
      <c r="L86" s="59" t="n">
        <f aca="false">I86-J86-K86</f>
        <v>9000</v>
      </c>
      <c r="M86" s="60"/>
      <c r="N86" s="60"/>
      <c r="O86" s="60" t="n">
        <v>6000</v>
      </c>
      <c r="P86" s="60"/>
      <c r="Q86" s="60"/>
      <c r="R86" s="60"/>
      <c r="S86" s="60" t="n">
        <v>2400</v>
      </c>
      <c r="T86" s="60"/>
      <c r="U86" s="60"/>
      <c r="V86" s="60" t="n">
        <v>3200</v>
      </c>
      <c r="W86" s="60"/>
      <c r="X86" s="60"/>
      <c r="Y86" s="59" t="n">
        <f aca="false">SUM(M86:X86)</f>
        <v>11600</v>
      </c>
      <c r="Z86" s="59" t="n">
        <v>12</v>
      </c>
      <c r="AA86" s="59" t="n">
        <f aca="false">Z86*800</f>
        <v>9600</v>
      </c>
      <c r="AB86" s="59" t="n">
        <f aca="false">L86+AA86-Y86</f>
        <v>7000</v>
      </c>
      <c r="AC86" s="60" t="n">
        <v>800</v>
      </c>
      <c r="AD86" s="61"/>
      <c r="AE86" s="62" t="n">
        <f aca="false">AB86+AC86-AD86</f>
        <v>7800</v>
      </c>
      <c r="AF86" s="60" t="n">
        <v>800</v>
      </c>
      <c r="AG86" s="61"/>
      <c r="AH86" s="62" t="n">
        <f aca="false">AE86+AF86-AG86</f>
        <v>8600</v>
      </c>
      <c r="AI86" s="60" t="n">
        <v>800</v>
      </c>
      <c r="AJ86" s="61"/>
      <c r="AK86" s="62" t="n">
        <f aca="false">AH86+AI86-AJ86</f>
        <v>9400</v>
      </c>
      <c r="AL86" s="60" t="n">
        <v>800</v>
      </c>
      <c r="AM86" s="61" t="n">
        <v>5000</v>
      </c>
      <c r="AN86" s="62" t="n">
        <f aca="false">AK86+AL86-AM86</f>
        <v>5200</v>
      </c>
    </row>
    <row collapsed="false" customFormat="false" customHeight="false" hidden="false" ht="25.5" outlineLevel="0" r="87">
      <c r="A87" s="19" t="n">
        <f aca="false">VLOOKUP(B87,справочник!$B$2:$E$322,4,0)</f>
        <v>264</v>
      </c>
      <c r="B87" s="0" t="e">
        <f aca="false">CONCATENATE(C87;D87)</f>
        <v>#VALUE!</v>
      </c>
      <c r="C87" s="24" t="n">
        <v>277</v>
      </c>
      <c r="D87" s="29" t="s">
        <v>233</v>
      </c>
      <c r="E87" s="24" t="s">
        <v>453</v>
      </c>
      <c r="F87" s="30" t="n">
        <v>41093</v>
      </c>
      <c r="G87" s="30" t="n">
        <v>41091</v>
      </c>
      <c r="H87" s="31" t="n">
        <f aca="false">INT(($H$325-G87)/30)</f>
        <v>42</v>
      </c>
      <c r="I87" s="24" t="n">
        <f aca="false">H87*1000</f>
        <v>42000</v>
      </c>
      <c r="J87" s="31" t="n">
        <f aca="false">38000</f>
        <v>38000</v>
      </c>
      <c r="K87" s="31"/>
      <c r="L87" s="59" t="n">
        <f aca="false">I87-J87-K87</f>
        <v>4000</v>
      </c>
      <c r="M87" s="60" t="n">
        <v>4000</v>
      </c>
      <c r="N87" s="60"/>
      <c r="O87" s="60" t="n">
        <v>2000</v>
      </c>
      <c r="P87" s="60"/>
      <c r="Q87" s="60"/>
      <c r="R87" s="60"/>
      <c r="S87" s="60" t="n">
        <v>6000</v>
      </c>
      <c r="T87" s="60"/>
      <c r="U87" s="60"/>
      <c r="V87" s="60"/>
      <c r="W87" s="60"/>
      <c r="X87" s="60"/>
      <c r="Y87" s="59" t="n">
        <f aca="false">SUM(M87:X87)</f>
        <v>12000</v>
      </c>
      <c r="Z87" s="59" t="n">
        <v>12</v>
      </c>
      <c r="AA87" s="59" t="n">
        <f aca="false">Z87*800</f>
        <v>9600</v>
      </c>
      <c r="AB87" s="59" t="n">
        <f aca="false">L87+AA87-Y87</f>
        <v>1600</v>
      </c>
      <c r="AC87" s="60" t="n">
        <v>800</v>
      </c>
      <c r="AD87" s="61"/>
      <c r="AE87" s="62" t="n">
        <f aca="false">AB87+AC87-AD87</f>
        <v>2400</v>
      </c>
      <c r="AF87" s="60" t="n">
        <v>800</v>
      </c>
      <c r="AG87" s="61" t="n">
        <v>2400</v>
      </c>
      <c r="AH87" s="62" t="n">
        <f aca="false">AE87+AF87-AG87</f>
        <v>800</v>
      </c>
      <c r="AI87" s="60" t="n">
        <v>800</v>
      </c>
      <c r="AJ87" s="61" t="n">
        <v>2400</v>
      </c>
      <c r="AK87" s="62" t="n">
        <f aca="false">AH87+AI87-AJ87</f>
        <v>-800</v>
      </c>
      <c r="AL87" s="60" t="n">
        <v>800</v>
      </c>
      <c r="AM87" s="61"/>
      <c r="AN87" s="62" t="n">
        <f aca="false">AK87+AL87-AM87</f>
        <v>0</v>
      </c>
    </row>
    <row collapsed="false" customFormat="false" customHeight="false" hidden="false" ht="15" outlineLevel="0" r="88">
      <c r="A88" s="19" t="n">
        <f aca="false">VLOOKUP(B88,справочник!$B$2:$E$322,4,0)</f>
        <v>32</v>
      </c>
      <c r="B88" s="0" t="e">
        <f aca="false">CONCATENATE(C88;D88)</f>
        <v>#VALUE!</v>
      </c>
      <c r="C88" s="24" t="n">
        <v>32</v>
      </c>
      <c r="D88" s="29" t="s">
        <v>290</v>
      </c>
      <c r="E88" s="24" t="s">
        <v>454</v>
      </c>
      <c r="F88" s="30" t="n">
        <v>40695</v>
      </c>
      <c r="G88" s="30" t="n">
        <v>40695</v>
      </c>
      <c r="H88" s="31" t="n">
        <f aca="false">INT(($H$325-G88)/30)</f>
        <v>55</v>
      </c>
      <c r="I88" s="24" t="n">
        <f aca="false">H88*1000</f>
        <v>55000</v>
      </c>
      <c r="J88" s="31" t="n">
        <f aca="false">7000+48000</f>
        <v>55000</v>
      </c>
      <c r="K88" s="31"/>
      <c r="L88" s="59" t="n">
        <f aca="false">I88-J88-K88</f>
        <v>0</v>
      </c>
      <c r="M88" s="60" t="n">
        <v>2400</v>
      </c>
      <c r="N88" s="60"/>
      <c r="O88" s="60"/>
      <c r="P88" s="60"/>
      <c r="Q88" s="60"/>
      <c r="R88" s="60" t="n">
        <v>2400</v>
      </c>
      <c r="S88" s="60" t="n">
        <v>4800</v>
      </c>
      <c r="T88" s="60"/>
      <c r="U88" s="60"/>
      <c r="V88" s="60"/>
      <c r="W88" s="60"/>
      <c r="X88" s="60"/>
      <c r="Y88" s="59" t="n">
        <f aca="false">SUM(M88:X88)</f>
        <v>9600</v>
      </c>
      <c r="Z88" s="59" t="n">
        <v>12</v>
      </c>
      <c r="AA88" s="59" t="n">
        <f aca="false">Z88*800</f>
        <v>9600</v>
      </c>
      <c r="AB88" s="59" t="n">
        <f aca="false">L88+AA88-Y88</f>
        <v>0</v>
      </c>
      <c r="AC88" s="60" t="n">
        <v>800</v>
      </c>
      <c r="AD88" s="61"/>
      <c r="AE88" s="62" t="n">
        <f aca="false">AB88+AC88-AD88</f>
        <v>800</v>
      </c>
      <c r="AF88" s="60" t="n">
        <v>800</v>
      </c>
      <c r="AG88" s="61"/>
      <c r="AH88" s="62" t="n">
        <f aca="false">AE88+AF88-AG88</f>
        <v>1600</v>
      </c>
      <c r="AI88" s="60" t="n">
        <v>800</v>
      </c>
      <c r="AJ88" s="61" t="n">
        <v>2400</v>
      </c>
      <c r="AK88" s="62" t="n">
        <f aca="false">AH88+AI88-AJ88</f>
        <v>0</v>
      </c>
      <c r="AL88" s="60" t="n">
        <v>800</v>
      </c>
      <c r="AM88" s="61"/>
      <c r="AN88" s="62" t="n">
        <f aca="false">AK88+AL88-AM88</f>
        <v>800</v>
      </c>
    </row>
    <row collapsed="false" customFormat="false" customHeight="false" hidden="false" ht="15" outlineLevel="0" r="89">
      <c r="A89" s="19" t="n">
        <f aca="false">VLOOKUP(B89,справочник!$B$2:$E$322,4,0)</f>
        <v>49</v>
      </c>
      <c r="B89" s="0" t="e">
        <f aca="false">CONCATENATE(C89;D89)</f>
        <v>#VALUE!</v>
      </c>
      <c r="C89" s="24" t="n">
        <v>49</v>
      </c>
      <c r="D89" s="29" t="s">
        <v>274</v>
      </c>
      <c r="E89" s="24" t="s">
        <v>455</v>
      </c>
      <c r="F89" s="30" t="n">
        <v>40729</v>
      </c>
      <c r="G89" s="30" t="n">
        <v>40756</v>
      </c>
      <c r="H89" s="31" t="n">
        <f aca="false">INT(($H$325-G89)/30)</f>
        <v>53</v>
      </c>
      <c r="I89" s="24" t="n">
        <f aca="false">H89*1000</f>
        <v>53000</v>
      </c>
      <c r="J89" s="31" t="n">
        <f aca="false">42000</f>
        <v>42000</v>
      </c>
      <c r="K89" s="31"/>
      <c r="L89" s="59" t="n">
        <f aca="false">I89-J89-K89</f>
        <v>11000</v>
      </c>
      <c r="M89" s="60"/>
      <c r="N89" s="60"/>
      <c r="O89" s="60"/>
      <c r="P89" s="60"/>
      <c r="Q89" s="60" t="n">
        <v>4800</v>
      </c>
      <c r="R89" s="60" t="n">
        <v>10200</v>
      </c>
      <c r="S89" s="60"/>
      <c r="T89" s="60"/>
      <c r="U89" s="60"/>
      <c r="V89" s="60"/>
      <c r="W89" s="60"/>
      <c r="X89" s="60" t="n">
        <v>4800</v>
      </c>
      <c r="Y89" s="59" t="n">
        <f aca="false">SUM(M89:X89)</f>
        <v>19800</v>
      </c>
      <c r="Z89" s="59" t="n">
        <v>12</v>
      </c>
      <c r="AA89" s="59" t="n">
        <f aca="false">Z89*800</f>
        <v>9600</v>
      </c>
      <c r="AB89" s="59" t="n">
        <f aca="false">L89+AA89-Y89</f>
        <v>800</v>
      </c>
      <c r="AC89" s="60" t="n">
        <v>800</v>
      </c>
      <c r="AD89" s="61"/>
      <c r="AE89" s="62" t="n">
        <f aca="false">AB89+AC89-AD89</f>
        <v>1600</v>
      </c>
      <c r="AF89" s="60" t="n">
        <v>800</v>
      </c>
      <c r="AG89" s="61" t="n">
        <v>2400</v>
      </c>
      <c r="AH89" s="62" t="n">
        <f aca="false">AE89+AF89-AG89</f>
        <v>0</v>
      </c>
      <c r="AI89" s="60" t="n">
        <v>800</v>
      </c>
      <c r="AJ89" s="61"/>
      <c r="AK89" s="62" t="n">
        <f aca="false">AH89+AI89-AJ89</f>
        <v>800</v>
      </c>
      <c r="AL89" s="60" t="n">
        <v>800</v>
      </c>
      <c r="AM89" s="61" t="n">
        <f aca="false">2000+400</f>
        <v>2400</v>
      </c>
      <c r="AN89" s="62" t="n">
        <f aca="false">AK89+AL89-AM89</f>
        <v>-800</v>
      </c>
    </row>
    <row collapsed="false" customFormat="true" customHeight="false" hidden="false" ht="15" outlineLevel="0" r="90" s="64">
      <c r="A90" s="63" t="n">
        <f aca="false">VLOOKUP(B90,справочник!$B$2:$E$322,4,0)</f>
        <v>234</v>
      </c>
      <c r="B90" s="64" t="e">
        <f aca="false">CONCATENATE(C90;D90)</f>
        <v>#VALUE!</v>
      </c>
      <c r="C90" s="36" t="n">
        <v>243</v>
      </c>
      <c r="D90" s="65" t="s">
        <v>280</v>
      </c>
      <c r="E90" s="36" t="s">
        <v>456</v>
      </c>
      <c r="F90" s="34" t="n">
        <v>41248</v>
      </c>
      <c r="G90" s="34" t="n">
        <v>41365</v>
      </c>
      <c r="H90" s="35" t="n">
        <v>3</v>
      </c>
      <c r="I90" s="36" t="n">
        <f aca="false">H90*1000</f>
        <v>3000</v>
      </c>
      <c r="J90" s="35"/>
      <c r="K90" s="35" t="n">
        <v>3000</v>
      </c>
      <c r="L90" s="66" t="n">
        <f aca="false">I90-J90-K90</f>
        <v>0</v>
      </c>
      <c r="M90" s="66"/>
      <c r="N90" s="66" t="n">
        <v>4800</v>
      </c>
      <c r="O90" s="66"/>
      <c r="P90" s="66"/>
      <c r="Q90" s="66"/>
      <c r="R90" s="66"/>
      <c r="S90" s="66"/>
      <c r="T90" s="66" t="n">
        <v>2500</v>
      </c>
      <c r="U90" s="66" t="n">
        <v>2300</v>
      </c>
      <c r="V90" s="66"/>
      <c r="W90" s="66"/>
      <c r="X90" s="66"/>
      <c r="Y90" s="66" t="n">
        <f aca="false">SUM(M90:X90)</f>
        <v>9600</v>
      </c>
      <c r="Z90" s="66" t="n">
        <v>12</v>
      </c>
      <c r="AA90" s="66" t="n">
        <f aca="false">Z90*800</f>
        <v>9600</v>
      </c>
      <c r="AB90" s="66" t="n">
        <f aca="false">L90+AA90-Y90</f>
        <v>0</v>
      </c>
      <c r="AC90" s="66" t="n">
        <v>800</v>
      </c>
      <c r="AD90" s="67"/>
      <c r="AE90" s="71" t="n">
        <f aca="false">AB90+AC90-AD90</f>
        <v>800</v>
      </c>
      <c r="AF90" s="66" t="n">
        <v>800</v>
      </c>
      <c r="AG90" s="67"/>
      <c r="AH90" s="71" t="n">
        <f aca="false">AE90+AF90-AG90</f>
        <v>1600</v>
      </c>
      <c r="AI90" s="66" t="n">
        <v>800</v>
      </c>
      <c r="AJ90" s="67" t="n">
        <v>3200</v>
      </c>
      <c r="AK90" s="71" t="n">
        <f aca="false">AH90+AI90-AJ90</f>
        <v>-800</v>
      </c>
      <c r="AL90" s="66" t="n">
        <v>800</v>
      </c>
      <c r="AM90" s="67"/>
      <c r="AN90" s="71" t="n">
        <f aca="false">AK90+AL90-AM90</f>
        <v>0</v>
      </c>
    </row>
    <row collapsed="false" customFormat="true" customHeight="false" hidden="false" ht="15" outlineLevel="0" r="91" s="64">
      <c r="A91" s="63" t="n">
        <f aca="false">VLOOKUP(B91,справочник!$B$2:$E$322,4,0)</f>
        <v>234</v>
      </c>
      <c r="B91" s="64" t="e">
        <f aca="false">CONCATENATE(C91;D91)</f>
        <v>#VALUE!</v>
      </c>
      <c r="C91" s="36" t="n">
        <v>244</v>
      </c>
      <c r="D91" s="65" t="s">
        <v>280</v>
      </c>
      <c r="E91" s="36"/>
      <c r="F91" s="34" t="n">
        <v>41248</v>
      </c>
      <c r="G91" s="34" t="n">
        <v>41365</v>
      </c>
      <c r="H91" s="35" t="n">
        <v>3</v>
      </c>
      <c r="I91" s="36" t="n">
        <f aca="false">H91*1000</f>
        <v>3000</v>
      </c>
      <c r="J91" s="35"/>
      <c r="K91" s="35" t="n">
        <v>3000</v>
      </c>
      <c r="L91" s="66" t="n">
        <f aca="false">I91-J91-K91</f>
        <v>0</v>
      </c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 t="n">
        <f aca="false">SUM(M91:X91)</f>
        <v>0</v>
      </c>
      <c r="Z91" s="66" t="n">
        <v>0</v>
      </c>
      <c r="AA91" s="66" t="n">
        <f aca="false">Z91*800</f>
        <v>0</v>
      </c>
      <c r="AB91" s="66" t="n">
        <f aca="false">L91+AA91-Y91</f>
        <v>0</v>
      </c>
      <c r="AC91" s="66" t="n">
        <v>0</v>
      </c>
      <c r="AD91" s="67"/>
      <c r="AE91" s="71" t="n">
        <f aca="false">AB91+AC91-AD91</f>
        <v>0</v>
      </c>
      <c r="AF91" s="66" t="n">
        <v>0</v>
      </c>
      <c r="AG91" s="67"/>
      <c r="AH91" s="71" t="n">
        <f aca="false">AE91+AF91-AG91</f>
        <v>0</v>
      </c>
      <c r="AI91" s="66" t="n">
        <v>0</v>
      </c>
      <c r="AJ91" s="67"/>
      <c r="AK91" s="71" t="n">
        <f aca="false">AH91+AI91-AJ91</f>
        <v>0</v>
      </c>
      <c r="AL91" s="66" t="n">
        <v>0</v>
      </c>
      <c r="AM91" s="67"/>
      <c r="AN91" s="71" t="n">
        <f aca="false">AK91+AL91-AM91</f>
        <v>0</v>
      </c>
    </row>
    <row collapsed="false" customFormat="true" customHeight="false" hidden="false" ht="15" outlineLevel="0" r="92" s="64">
      <c r="A92" s="63" t="n">
        <f aca="false">VLOOKUP(B92,справочник!$B$2:$E$322,4,0)</f>
        <v>234</v>
      </c>
      <c r="B92" s="64" t="e">
        <f aca="false">CONCATENATE(C92;D92)</f>
        <v>#VALUE!</v>
      </c>
      <c r="C92" s="36" t="s">
        <v>457</v>
      </c>
      <c r="D92" s="65" t="s">
        <v>280</v>
      </c>
      <c r="E92" s="36"/>
      <c r="F92" s="34" t="n">
        <v>41456</v>
      </c>
      <c r="G92" s="34" t="n">
        <v>41456</v>
      </c>
      <c r="H92" s="35" t="n">
        <f aca="false">INT(($H$325-G92)/30)</f>
        <v>30</v>
      </c>
      <c r="I92" s="36" t="n">
        <f aca="false">H92*1000</f>
        <v>30000</v>
      </c>
      <c r="J92" s="35"/>
      <c r="K92" s="35" t="n">
        <v>30000</v>
      </c>
      <c r="L92" s="66" t="n">
        <f aca="false">I92-J92-K92</f>
        <v>0</v>
      </c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 t="n">
        <f aca="false">SUM(M92:X92)</f>
        <v>0</v>
      </c>
      <c r="Z92" s="66" t="n">
        <v>0</v>
      </c>
      <c r="AA92" s="66" t="n">
        <f aca="false">Z92*800</f>
        <v>0</v>
      </c>
      <c r="AB92" s="66" t="n">
        <f aca="false">L92+AA92-Y92</f>
        <v>0</v>
      </c>
      <c r="AC92" s="66" t="n">
        <v>0</v>
      </c>
      <c r="AD92" s="67"/>
      <c r="AE92" s="71" t="n">
        <f aca="false">AB92+AC92-AD92</f>
        <v>0</v>
      </c>
      <c r="AF92" s="66" t="n">
        <v>0</v>
      </c>
      <c r="AG92" s="67"/>
      <c r="AH92" s="71" t="n">
        <f aca="false">AE92+AF92-AG92</f>
        <v>0</v>
      </c>
      <c r="AI92" s="66" t="n">
        <v>0</v>
      </c>
      <c r="AJ92" s="67"/>
      <c r="AK92" s="71" t="n">
        <f aca="false">AH92+AI92-AJ92</f>
        <v>0</v>
      </c>
      <c r="AL92" s="66" t="n">
        <v>0</v>
      </c>
      <c r="AM92" s="67"/>
      <c r="AN92" s="71" t="n">
        <f aca="false">AK92+AL92-AM92</f>
        <v>0</v>
      </c>
    </row>
    <row collapsed="false" customFormat="false" customHeight="false" hidden="false" ht="15" outlineLevel="0" r="93">
      <c r="A93" s="19" t="n">
        <f aca="false">VLOOKUP(B93,справочник!$B$2:$E$322,4,0)</f>
        <v>254</v>
      </c>
      <c r="B93" s="0" t="e">
        <f aca="false">CONCATENATE(C93;D93)</f>
        <v>#VALUE!</v>
      </c>
      <c r="C93" s="24" t="n">
        <v>267</v>
      </c>
      <c r="D93" s="29" t="s">
        <v>183</v>
      </c>
      <c r="E93" s="24" t="s">
        <v>458</v>
      </c>
      <c r="F93" s="30" t="n">
        <v>40953</v>
      </c>
      <c r="G93" s="30" t="n">
        <v>40940</v>
      </c>
      <c r="H93" s="31" t="n">
        <f aca="false">INT(($H$325-G93)/30)</f>
        <v>47</v>
      </c>
      <c r="I93" s="24" t="n">
        <f aca="false">H93*1000</f>
        <v>47000</v>
      </c>
      <c r="J93" s="31" t="n">
        <f aca="false">39000+5000</f>
        <v>44000</v>
      </c>
      <c r="K93" s="31"/>
      <c r="L93" s="59" t="n">
        <f aca="false">I93-J93-K93</f>
        <v>3000</v>
      </c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59" t="n">
        <f aca="false">SUM(M93:X93)</f>
        <v>0</v>
      </c>
      <c r="Z93" s="59" t="n">
        <v>12</v>
      </c>
      <c r="AA93" s="59" t="n">
        <f aca="false">Z93*800</f>
        <v>9600</v>
      </c>
      <c r="AB93" s="59" t="n">
        <f aca="false">L93+AA93-Y93</f>
        <v>12600</v>
      </c>
      <c r="AC93" s="60" t="n">
        <v>800</v>
      </c>
      <c r="AD93" s="61"/>
      <c r="AE93" s="62" t="n">
        <f aca="false">AB93+AC93-AD93</f>
        <v>13400</v>
      </c>
      <c r="AF93" s="60" t="n">
        <v>800</v>
      </c>
      <c r="AG93" s="61"/>
      <c r="AH93" s="62" t="n">
        <f aca="false">AE93+AF93-AG93</f>
        <v>14200</v>
      </c>
      <c r="AI93" s="60" t="n">
        <v>800</v>
      </c>
      <c r="AJ93" s="61"/>
      <c r="AK93" s="62" t="n">
        <f aca="false">AH93+AI93-AJ93</f>
        <v>15000</v>
      </c>
      <c r="AL93" s="60" t="n">
        <v>800</v>
      </c>
      <c r="AM93" s="61"/>
      <c r="AN93" s="62" t="n">
        <f aca="false">AK93+AL93-AM93</f>
        <v>15800</v>
      </c>
    </row>
    <row collapsed="false" customFormat="true" customHeight="false" hidden="false" ht="15" outlineLevel="0" r="94" s="64">
      <c r="A94" s="63" t="n">
        <f aca="false">VLOOKUP(B94,справочник!$B$2:$E$322,4,0)</f>
        <v>230</v>
      </c>
      <c r="B94" s="64" t="e">
        <f aca="false">CONCATENATE(C94;D94)</f>
        <v>#VALUE!</v>
      </c>
      <c r="C94" s="36" t="n">
        <v>239</v>
      </c>
      <c r="D94" s="65" t="s">
        <v>168</v>
      </c>
      <c r="E94" s="36" t="s">
        <v>459</v>
      </c>
      <c r="F94" s="34" t="n">
        <v>41590</v>
      </c>
      <c r="G94" s="34" t="n">
        <v>41579</v>
      </c>
      <c r="H94" s="35" t="n">
        <f aca="false">INT(($H$325-G94)/30)</f>
        <v>26</v>
      </c>
      <c r="I94" s="36" t="n">
        <f aca="false">H94*1000</f>
        <v>26000</v>
      </c>
      <c r="J94" s="35" t="n">
        <v>26000</v>
      </c>
      <c r="K94" s="35"/>
      <c r="L94" s="66" t="n">
        <f aca="false">I94-J94-K94</f>
        <v>0</v>
      </c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 t="n">
        <f aca="false">SUM(M94:X94)</f>
        <v>0</v>
      </c>
      <c r="Z94" s="66" t="n">
        <v>0</v>
      </c>
      <c r="AA94" s="66" t="n">
        <f aca="false">Z94*800</f>
        <v>0</v>
      </c>
      <c r="AB94" s="66" t="n">
        <f aca="false">L94+AA94-Y94</f>
        <v>0</v>
      </c>
      <c r="AC94" s="66" t="n">
        <v>0</v>
      </c>
      <c r="AD94" s="67"/>
      <c r="AE94" s="71" t="n">
        <f aca="false">AB94+AC94-AD94</f>
        <v>0</v>
      </c>
      <c r="AF94" s="66" t="n">
        <v>0</v>
      </c>
      <c r="AG94" s="67"/>
      <c r="AH94" s="71" t="n">
        <f aca="false">AE94+AF94-AG94</f>
        <v>0</v>
      </c>
      <c r="AI94" s="66" t="n">
        <v>0</v>
      </c>
      <c r="AJ94" s="67"/>
      <c r="AK94" s="71" t="n">
        <f aca="false">AH94+AI94-AJ94</f>
        <v>0</v>
      </c>
      <c r="AL94" s="66" t="n">
        <v>0</v>
      </c>
      <c r="AM94" s="67"/>
      <c r="AN94" s="71" t="n">
        <f aca="false">AK94+AL94-AM94</f>
        <v>0</v>
      </c>
    </row>
    <row collapsed="false" customFormat="false" customHeight="false" hidden="false" ht="15" outlineLevel="0" r="95">
      <c r="A95" s="63" t="n">
        <f aca="false">VLOOKUP(B95,справочник!$B$2:$E$322,4,0)</f>
        <v>230</v>
      </c>
      <c r="B95" s="64" t="e">
        <f aca="false">CONCATENATE(C95;D95)</f>
        <v>#VALUE!</v>
      </c>
      <c r="C95" s="36" t="n">
        <v>257</v>
      </c>
      <c r="D95" s="65" t="s">
        <v>168</v>
      </c>
      <c r="E95" s="36" t="s">
        <v>460</v>
      </c>
      <c r="F95" s="34" t="n">
        <v>41882</v>
      </c>
      <c r="G95" s="34" t="n">
        <v>41944</v>
      </c>
      <c r="H95" s="35" t="n">
        <f aca="false">INT(($H$325-G95)/30)</f>
        <v>14</v>
      </c>
      <c r="I95" s="36" t="n">
        <f aca="false">H95*1000</f>
        <v>14000</v>
      </c>
      <c r="J95" s="35" t="n">
        <v>0</v>
      </c>
      <c r="K95" s="35" t="n">
        <v>4000</v>
      </c>
      <c r="L95" s="66" t="n">
        <f aca="false">I95-J95-K95</f>
        <v>10000</v>
      </c>
      <c r="M95" s="66"/>
      <c r="N95" s="66" t="n">
        <f aca="false">11900+200</f>
        <v>12100</v>
      </c>
      <c r="O95" s="66"/>
      <c r="P95" s="66"/>
      <c r="Q95" s="66" t="n">
        <v>3500</v>
      </c>
      <c r="R95" s="66"/>
      <c r="S95" s="66"/>
      <c r="T95" s="64" t="n">
        <v>2700</v>
      </c>
      <c r="U95" s="66"/>
      <c r="V95" s="66"/>
      <c r="W95" s="66"/>
      <c r="X95" s="66"/>
      <c r="Y95" s="66" t="n">
        <f aca="false">SUM(M95:X95)</f>
        <v>18300</v>
      </c>
      <c r="Z95" s="66" t="n">
        <v>12</v>
      </c>
      <c r="AA95" s="66" t="n">
        <f aca="false">Z95*800</f>
        <v>9600</v>
      </c>
      <c r="AB95" s="66" t="n">
        <f aca="false">L95+AA95-Y95</f>
        <v>1300</v>
      </c>
      <c r="AC95" s="66" t="n">
        <v>800</v>
      </c>
      <c r="AD95" s="67"/>
      <c r="AE95" s="71" t="n">
        <f aca="false">AB95+AC95-AD95</f>
        <v>2100</v>
      </c>
      <c r="AF95" s="66" t="n">
        <v>800</v>
      </c>
      <c r="AG95" s="67"/>
      <c r="AH95" s="71" t="n">
        <f aca="false">AE95+AF95-AG95</f>
        <v>2900</v>
      </c>
      <c r="AI95" s="66" t="n">
        <v>800</v>
      </c>
      <c r="AJ95" s="67" t="n">
        <v>2100</v>
      </c>
      <c r="AK95" s="71" t="n">
        <f aca="false">AH95+AI95-AJ95</f>
        <v>1600</v>
      </c>
      <c r="AL95" s="66" t="n">
        <v>800</v>
      </c>
      <c r="AM95" s="67"/>
      <c r="AN95" s="71" t="n">
        <f aca="false">AK95+AL95-AM95</f>
        <v>2400</v>
      </c>
    </row>
    <row collapsed="false" customFormat="false" customHeight="false" hidden="false" ht="15" outlineLevel="0" r="96">
      <c r="A96" s="19" t="n">
        <f aca="false">VLOOKUP(B96,справочник!$B$2:$E$322,4,0)</f>
        <v>4</v>
      </c>
      <c r="B96" s="0" t="e">
        <f aca="false">CONCATENATE(C96;D96)</f>
        <v>#VALUE!</v>
      </c>
      <c r="C96" s="24" t="n">
        <v>4</v>
      </c>
      <c r="D96" s="29" t="s">
        <v>241</v>
      </c>
      <c r="E96" s="24" t="s">
        <v>461</v>
      </c>
      <c r="F96" s="30" t="n">
        <v>41436</v>
      </c>
      <c r="G96" s="30" t="n">
        <v>41456</v>
      </c>
      <c r="H96" s="31" t="n">
        <f aca="false">INT(($H$325-G96)/30)</f>
        <v>30</v>
      </c>
      <c r="I96" s="24" t="n">
        <f aca="false">H96*1000</f>
        <v>30000</v>
      </c>
      <c r="J96" s="31" t="n">
        <v>27000</v>
      </c>
      <c r="K96" s="31"/>
      <c r="L96" s="59" t="n">
        <f aca="false">I96-J96-K96</f>
        <v>3000</v>
      </c>
      <c r="M96" s="60"/>
      <c r="N96" s="60"/>
      <c r="O96" s="60"/>
      <c r="P96" s="60"/>
      <c r="Q96" s="60" t="n">
        <v>5000</v>
      </c>
      <c r="R96" s="60"/>
      <c r="S96" s="60"/>
      <c r="T96" s="60"/>
      <c r="U96" s="60"/>
      <c r="V96" s="60"/>
      <c r="W96" s="60"/>
      <c r="X96" s="60"/>
      <c r="Y96" s="59" t="n">
        <f aca="false">SUM(M96:X96)</f>
        <v>5000</v>
      </c>
      <c r="Z96" s="59" t="n">
        <v>12</v>
      </c>
      <c r="AA96" s="59" t="n">
        <f aca="false">Z96*800</f>
        <v>9600</v>
      </c>
      <c r="AB96" s="59" t="n">
        <f aca="false">L96+AA96-Y96</f>
        <v>7600</v>
      </c>
      <c r="AC96" s="60" t="n">
        <v>800</v>
      </c>
      <c r="AD96" s="61"/>
      <c r="AE96" s="62" t="n">
        <f aca="false">AB96+AC96-AD96</f>
        <v>8400</v>
      </c>
      <c r="AF96" s="60" t="n">
        <v>800</v>
      </c>
      <c r="AG96" s="61"/>
      <c r="AH96" s="62" t="n">
        <f aca="false">AE96+AF96-AG96</f>
        <v>9200</v>
      </c>
      <c r="AI96" s="60" t="n">
        <v>800</v>
      </c>
      <c r="AJ96" s="61"/>
      <c r="AK96" s="62" t="n">
        <f aca="false">AH96+AI96-AJ96</f>
        <v>10000</v>
      </c>
      <c r="AL96" s="60" t="n">
        <v>800</v>
      </c>
      <c r="AM96" s="61"/>
      <c r="AN96" s="62" t="n">
        <f aca="false">AK96+AL96-AM96</f>
        <v>10800</v>
      </c>
    </row>
    <row collapsed="false" customFormat="false" customHeight="false" hidden="false" ht="15" outlineLevel="0" r="97">
      <c r="A97" s="19" t="n">
        <f aca="false">VLOOKUP(B97,справочник!$B$2:$E$322,4,0)</f>
        <v>213</v>
      </c>
      <c r="B97" s="0" t="e">
        <f aca="false">CONCATENATE(C97;D97)</f>
        <v>#VALUE!</v>
      </c>
      <c r="C97" s="24" t="n">
        <v>222</v>
      </c>
      <c r="D97" s="29" t="s">
        <v>104</v>
      </c>
      <c r="E97" s="24" t="s">
        <v>462</v>
      </c>
      <c r="F97" s="30" t="n">
        <v>41766</v>
      </c>
      <c r="G97" s="30" t="n">
        <v>41791</v>
      </c>
      <c r="H97" s="31" t="n">
        <f aca="false">INT(($H$325-G97)/30)</f>
        <v>19</v>
      </c>
      <c r="I97" s="24" t="n">
        <f aca="false">H97*1000</f>
        <v>19000</v>
      </c>
      <c r="J97" s="31" t="n">
        <v>500</v>
      </c>
      <c r="K97" s="31"/>
      <c r="L97" s="59" t="n">
        <f aca="false">I97-J97-K97</f>
        <v>18500</v>
      </c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59" t="n">
        <f aca="false">SUM(M97:X97)</f>
        <v>0</v>
      </c>
      <c r="Z97" s="59" t="n">
        <v>12</v>
      </c>
      <c r="AA97" s="59" t="n">
        <f aca="false">Z97*800</f>
        <v>9600</v>
      </c>
      <c r="AB97" s="59" t="n">
        <f aca="false">L97+AA97-Y97</f>
        <v>28100</v>
      </c>
      <c r="AC97" s="60" t="n">
        <v>800</v>
      </c>
      <c r="AD97" s="61"/>
      <c r="AE97" s="62" t="n">
        <f aca="false">AB97+AC97-AD97</f>
        <v>28900</v>
      </c>
      <c r="AF97" s="60" t="n">
        <v>800</v>
      </c>
      <c r="AG97" s="61"/>
      <c r="AH97" s="62" t="n">
        <f aca="false">AE97+AF97-AG97</f>
        <v>29700</v>
      </c>
      <c r="AI97" s="60" t="n">
        <v>800</v>
      </c>
      <c r="AJ97" s="61"/>
      <c r="AK97" s="62" t="n">
        <f aca="false">AH97+AI97-AJ97</f>
        <v>30500</v>
      </c>
      <c r="AL97" s="60" t="n">
        <v>800</v>
      </c>
      <c r="AM97" s="61"/>
      <c r="AN97" s="62" t="n">
        <f aca="false">AK97+AL97-AM97</f>
        <v>31300</v>
      </c>
    </row>
    <row collapsed="false" customFormat="false" customHeight="false" hidden="false" ht="15" outlineLevel="0" r="98">
      <c r="A98" s="19" t="n">
        <f aca="false">VLOOKUP(B98,справочник!$B$2:$E$322,4,0)</f>
        <v>127</v>
      </c>
      <c r="B98" s="0" t="e">
        <f aca="false">CONCATENATE(C98;D98)</f>
        <v>#VALUE!</v>
      </c>
      <c r="C98" s="24" t="n">
        <v>132</v>
      </c>
      <c r="D98" s="29" t="s">
        <v>30</v>
      </c>
      <c r="E98" s="24" t="s">
        <v>463</v>
      </c>
      <c r="F98" s="30" t="n">
        <v>40701</v>
      </c>
      <c r="G98" s="30" t="n">
        <v>40695</v>
      </c>
      <c r="H98" s="31" t="n">
        <f aca="false">INT(($H$325-G98)/30)</f>
        <v>55</v>
      </c>
      <c r="I98" s="24" t="n">
        <f aca="false">H98*1000</f>
        <v>55000</v>
      </c>
      <c r="J98" s="31" t="n">
        <f aca="false">36000+7000</f>
        <v>43000</v>
      </c>
      <c r="K98" s="31"/>
      <c r="L98" s="59" t="n">
        <v>0</v>
      </c>
      <c r="M98" s="60"/>
      <c r="N98" s="60" t="n">
        <v>1600</v>
      </c>
      <c r="O98" s="60"/>
      <c r="P98" s="60"/>
      <c r="Q98" s="60"/>
      <c r="R98" s="60"/>
      <c r="S98" s="60"/>
      <c r="T98" s="0" t="n">
        <v>2400</v>
      </c>
      <c r="U98" s="60"/>
      <c r="V98" s="60"/>
      <c r="W98" s="60"/>
      <c r="X98" s="60"/>
      <c r="Y98" s="59" t="n">
        <f aca="false">SUM(M98:X98)</f>
        <v>4000</v>
      </c>
      <c r="Z98" s="59" t="n">
        <v>12</v>
      </c>
      <c r="AA98" s="59" t="n">
        <f aca="false">Z98*800</f>
        <v>9600</v>
      </c>
      <c r="AB98" s="59" t="n">
        <f aca="false">L98+AA98-Y98</f>
        <v>5600</v>
      </c>
      <c r="AC98" s="60" t="n">
        <v>800</v>
      </c>
      <c r="AD98" s="61"/>
      <c r="AE98" s="62" t="n">
        <f aca="false">AB98+AC98-AD98</f>
        <v>6400</v>
      </c>
      <c r="AF98" s="60" t="n">
        <v>800</v>
      </c>
      <c r="AG98" s="61"/>
      <c r="AH98" s="62" t="n">
        <f aca="false">AE98+AF98-AG98</f>
        <v>7200</v>
      </c>
      <c r="AI98" s="60" t="n">
        <v>800</v>
      </c>
      <c r="AJ98" s="61"/>
      <c r="AK98" s="62" t="n">
        <f aca="false">AH98+AI98-AJ98</f>
        <v>8000</v>
      </c>
      <c r="AL98" s="60" t="n">
        <v>800</v>
      </c>
      <c r="AM98" s="61"/>
      <c r="AN98" s="62" t="n">
        <f aca="false">AK98+AL98-AM98</f>
        <v>8800</v>
      </c>
    </row>
    <row collapsed="false" customFormat="false" customHeight="false" hidden="false" ht="15" outlineLevel="0" r="99">
      <c r="A99" s="19" t="n">
        <f aca="false">VLOOKUP(B99,справочник!$B$2:$E$322,4,0)</f>
        <v>66</v>
      </c>
      <c r="B99" s="0" t="e">
        <f aca="false">CONCATENATE(C99;D99)</f>
        <v>#VALUE!</v>
      </c>
      <c r="C99" s="24" t="n">
        <v>68</v>
      </c>
      <c r="D99" s="29" t="s">
        <v>192</v>
      </c>
      <c r="E99" s="24" t="s">
        <v>464</v>
      </c>
      <c r="F99" s="30" t="n">
        <v>41100</v>
      </c>
      <c r="G99" s="30" t="n">
        <v>41091</v>
      </c>
      <c r="H99" s="31" t="n">
        <f aca="false">INT(($H$325-G99)/30)</f>
        <v>42</v>
      </c>
      <c r="I99" s="24" t="n">
        <f aca="false">H99*1000</f>
        <v>42000</v>
      </c>
      <c r="J99" s="31" t="n">
        <v>39780</v>
      </c>
      <c r="K99" s="31"/>
      <c r="L99" s="59" t="n">
        <f aca="false">I99-J99-K99</f>
        <v>2220</v>
      </c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18" t="n">
        <v>8000</v>
      </c>
      <c r="X99" s="60"/>
      <c r="Y99" s="59" t="n">
        <f aca="false">SUM(M99:X99)</f>
        <v>8000</v>
      </c>
      <c r="Z99" s="59" t="n">
        <v>12</v>
      </c>
      <c r="AA99" s="59" t="n">
        <f aca="false">Z99*800</f>
        <v>9600</v>
      </c>
      <c r="AB99" s="59" t="n">
        <f aca="false">L99+AA99-Y99</f>
        <v>3820</v>
      </c>
      <c r="AC99" s="60" t="n">
        <v>800</v>
      </c>
      <c r="AD99" s="61"/>
      <c r="AE99" s="62" t="n">
        <f aca="false">AB99+AC99-AD99</f>
        <v>4620</v>
      </c>
      <c r="AF99" s="60" t="n">
        <v>800</v>
      </c>
      <c r="AG99" s="61"/>
      <c r="AH99" s="62" t="n">
        <f aca="false">AE99+AF99-AG99</f>
        <v>5420</v>
      </c>
      <c r="AI99" s="60" t="n">
        <v>800</v>
      </c>
      <c r="AJ99" s="61" t="n">
        <v>1600</v>
      </c>
      <c r="AK99" s="62" t="n">
        <f aca="false">AH99+AI99-AJ99</f>
        <v>4620</v>
      </c>
      <c r="AL99" s="60" t="n">
        <v>800</v>
      </c>
      <c r="AM99" s="61"/>
      <c r="AN99" s="62" t="n">
        <f aca="false">AK99+AL99-AM99</f>
        <v>5420</v>
      </c>
    </row>
    <row collapsed="false" customFormat="false" customHeight="false" hidden="false" ht="15" outlineLevel="0" r="100">
      <c r="A100" s="19" t="n">
        <f aca="false">VLOOKUP(B100,справочник!$B$2:$E$322,4,0)</f>
        <v>36</v>
      </c>
      <c r="B100" s="0" t="e">
        <f aca="false">CONCATENATE(C100;D100)</f>
        <v>#VALUE!</v>
      </c>
      <c r="C100" s="24" t="n">
        <v>36</v>
      </c>
      <c r="D100" s="29" t="s">
        <v>154</v>
      </c>
      <c r="E100" s="24" t="s">
        <v>465</v>
      </c>
      <c r="F100" s="30" t="n">
        <v>40736</v>
      </c>
      <c r="G100" s="30" t="n">
        <v>40756</v>
      </c>
      <c r="H100" s="31" t="n">
        <f aca="false">INT(($H$325-G100)/30)</f>
        <v>53</v>
      </c>
      <c r="I100" s="24" t="n">
        <f aca="false">H100*1000</f>
        <v>53000</v>
      </c>
      <c r="J100" s="31" t="n">
        <f aca="false">42000+1000</f>
        <v>43000</v>
      </c>
      <c r="K100" s="31"/>
      <c r="L100" s="59" t="n">
        <f aca="false">I100-J100-K100</f>
        <v>10000</v>
      </c>
      <c r="M100" s="60"/>
      <c r="N100" s="60"/>
      <c r="O100" s="60"/>
      <c r="P100" s="60"/>
      <c r="Q100" s="60"/>
      <c r="R100" s="60"/>
      <c r="S100" s="60"/>
      <c r="T100" s="0" t="n">
        <v>4000</v>
      </c>
      <c r="U100" s="60"/>
      <c r="V100" s="60"/>
      <c r="W100" s="60"/>
      <c r="X100" s="60" t="n">
        <v>2800</v>
      </c>
      <c r="Y100" s="59" t="n">
        <f aca="false">SUM(M100:X100)</f>
        <v>6800</v>
      </c>
      <c r="Z100" s="59" t="n">
        <v>12</v>
      </c>
      <c r="AA100" s="59" t="n">
        <f aca="false">Z100*800</f>
        <v>9600</v>
      </c>
      <c r="AB100" s="59" t="n">
        <f aca="false">L100+AA100-Y100</f>
        <v>12800</v>
      </c>
      <c r="AC100" s="60" t="n">
        <v>800</v>
      </c>
      <c r="AD100" s="61"/>
      <c r="AE100" s="62" t="n">
        <f aca="false">AB100+AC100-AD100</f>
        <v>13600</v>
      </c>
      <c r="AF100" s="60" t="n">
        <v>800</v>
      </c>
      <c r="AG100" s="61"/>
      <c r="AH100" s="62" t="n">
        <f aca="false">AE100+AF100-AG100</f>
        <v>14400</v>
      </c>
      <c r="AI100" s="60" t="n">
        <v>800</v>
      </c>
      <c r="AJ100" s="61"/>
      <c r="AK100" s="62" t="n">
        <f aca="false">AH100+AI100-AJ100</f>
        <v>15200</v>
      </c>
      <c r="AL100" s="60" t="n">
        <v>800</v>
      </c>
      <c r="AM100" s="61"/>
      <c r="AN100" s="62" t="n">
        <f aca="false">AK100+AL100-AM100</f>
        <v>16000</v>
      </c>
    </row>
    <row collapsed="false" customFormat="true" customHeight="false" hidden="false" ht="15" outlineLevel="0" r="101" s="64">
      <c r="A101" s="63" t="n">
        <f aca="false">VLOOKUP(B101,справочник!$B$2:$E$322,4,0)</f>
        <v>38</v>
      </c>
      <c r="B101" s="64" t="e">
        <f aca="false">CONCATENATE(C101;D101)</f>
        <v>#VALUE!</v>
      </c>
      <c r="C101" s="36" t="n">
        <v>255</v>
      </c>
      <c r="D101" s="65" t="s">
        <v>175</v>
      </c>
      <c r="E101" s="36" t="s">
        <v>466</v>
      </c>
      <c r="F101" s="34" t="n">
        <v>40770</v>
      </c>
      <c r="G101" s="34" t="n">
        <v>40787</v>
      </c>
      <c r="H101" s="35" t="n">
        <f aca="false">INT(($H$325-G101)/30)</f>
        <v>52</v>
      </c>
      <c r="I101" s="36" t="n">
        <f aca="false">H101*1000</f>
        <v>52000</v>
      </c>
      <c r="J101" s="35" t="n">
        <f aca="false">5000+18000+29000</f>
        <v>52000</v>
      </c>
      <c r="K101" s="35"/>
      <c r="L101" s="66" t="n">
        <f aca="false">I101-J101-K101</f>
        <v>0</v>
      </c>
      <c r="M101" s="66"/>
      <c r="N101" s="66"/>
      <c r="O101" s="66"/>
      <c r="P101" s="66"/>
      <c r="Q101" s="66"/>
      <c r="R101" s="66" t="n">
        <v>1600</v>
      </c>
      <c r="S101" s="66" t="n">
        <v>800</v>
      </c>
      <c r="T101" s="66" t="n">
        <v>1600</v>
      </c>
      <c r="U101" s="66" t="n">
        <v>2161.78</v>
      </c>
      <c r="V101" s="66"/>
      <c r="W101" s="64" t="n">
        <v>800</v>
      </c>
      <c r="X101" s="66" t="n">
        <v>800</v>
      </c>
      <c r="Y101" s="66" t="n">
        <f aca="false">SUM(M101:X101)</f>
        <v>7761.78</v>
      </c>
      <c r="Z101" s="66" t="n">
        <v>12</v>
      </c>
      <c r="AA101" s="66" t="n">
        <f aca="false">Z101*800</f>
        <v>9600</v>
      </c>
      <c r="AB101" s="66" t="n">
        <f aca="false">L101+AA101-Y101</f>
        <v>1838.22</v>
      </c>
      <c r="AC101" s="66" t="n">
        <v>800</v>
      </c>
      <c r="AD101" s="82" t="n">
        <v>800</v>
      </c>
      <c r="AE101" s="68" t="n">
        <f aca="false">SUM(AB101:AB102)+SUM(AC101:AC102)-SUM(AD101:AD102)</f>
        <v>7000</v>
      </c>
      <c r="AF101" s="66" t="n">
        <v>800</v>
      </c>
      <c r="AG101" s="82" t="n">
        <f aca="false">500+800</f>
        <v>1300</v>
      </c>
      <c r="AH101" s="68" t="n">
        <f aca="false">SUM(AE101:AE102)+SUM(AF101:AF102)-SUM(AG101:AG102)</f>
        <v>6500</v>
      </c>
      <c r="AI101" s="66" t="n">
        <v>800</v>
      </c>
      <c r="AJ101" s="82"/>
      <c r="AK101" s="68" t="n">
        <f aca="false">SUM(AH101:AH102)+SUM(AI101:AI102)-SUM(AJ101:AJ102)</f>
        <v>7300</v>
      </c>
      <c r="AL101" s="66" t="n">
        <v>800</v>
      </c>
      <c r="AM101" s="82"/>
      <c r="AN101" s="68" t="n">
        <f aca="false">SUM(AK101:AK102)+SUM(AL101:AL102)-SUM(AM101:AM102)</f>
        <v>7100</v>
      </c>
    </row>
    <row collapsed="false" customFormat="false" customHeight="false" hidden="false" ht="15" outlineLevel="0" r="102">
      <c r="A102" s="63" t="n">
        <f aca="false">VLOOKUP(B102,справочник!$B$2:$E$322,4,0)</f>
        <v>38</v>
      </c>
      <c r="B102" s="64" t="e">
        <f aca="false">CONCATENATE(C102;D102)</f>
        <v>#VALUE!</v>
      </c>
      <c r="C102" s="36" t="n">
        <v>38</v>
      </c>
      <c r="D102" s="65" t="s">
        <v>175</v>
      </c>
      <c r="E102" s="36" t="s">
        <v>467</v>
      </c>
      <c r="F102" s="34" t="n">
        <v>41100</v>
      </c>
      <c r="G102" s="34" t="n">
        <v>41091</v>
      </c>
      <c r="H102" s="35" t="n">
        <f aca="false">INT(($H$325-G102)/30)</f>
        <v>42</v>
      </c>
      <c r="I102" s="36" t="n">
        <f aca="false">H102*1000</f>
        <v>42000</v>
      </c>
      <c r="J102" s="35" t="n">
        <v>35000</v>
      </c>
      <c r="K102" s="35"/>
      <c r="L102" s="66" t="n">
        <f aca="false">I102-J102-K102</f>
        <v>7000</v>
      </c>
      <c r="M102" s="66"/>
      <c r="N102" s="66"/>
      <c r="O102" s="66"/>
      <c r="P102" s="66"/>
      <c r="Q102" s="66"/>
      <c r="R102" s="66"/>
      <c r="S102" s="66"/>
      <c r="U102" s="66"/>
      <c r="V102" s="66" t="n">
        <v>1138.22</v>
      </c>
      <c r="W102" s="66"/>
      <c r="X102" s="66" t="n">
        <v>700</v>
      </c>
      <c r="Y102" s="66" t="n">
        <f aca="false">SUM(M102:X102)</f>
        <v>1838.22</v>
      </c>
      <c r="Z102" s="66" t="n">
        <v>0</v>
      </c>
      <c r="AA102" s="66" t="n">
        <f aca="false">Z102*800</f>
        <v>0</v>
      </c>
      <c r="AB102" s="66" t="n">
        <f aca="false">L102+AA102-Y102</f>
        <v>5161.78</v>
      </c>
      <c r="AC102" s="66" t="n">
        <v>0</v>
      </c>
      <c r="AD102" s="67"/>
      <c r="AE102" s="68"/>
      <c r="AF102" s="66" t="n">
        <v>0</v>
      </c>
      <c r="AG102" s="67"/>
      <c r="AH102" s="68"/>
      <c r="AI102" s="66" t="n">
        <v>0</v>
      </c>
      <c r="AJ102" s="67"/>
      <c r="AK102" s="68"/>
      <c r="AL102" s="66" t="n">
        <v>0</v>
      </c>
      <c r="AM102" s="67" t="n">
        <v>1000</v>
      </c>
      <c r="AN102" s="68"/>
    </row>
    <row collapsed="false" customFormat="false" customHeight="false" hidden="false" ht="15" outlineLevel="0" r="103">
      <c r="A103" s="19" t="n">
        <f aca="false">VLOOKUP(B103,справочник!$B$2:$E$322,4,0)</f>
        <v>12</v>
      </c>
      <c r="B103" s="0" t="e">
        <f aca="false">CONCATENATE(C103;D103)</f>
        <v>#VALUE!</v>
      </c>
      <c r="C103" s="24" t="n">
        <v>12</v>
      </c>
      <c r="D103" s="29" t="s">
        <v>71</v>
      </c>
      <c r="E103" s="24" t="s">
        <v>468</v>
      </c>
      <c r="F103" s="30" t="n">
        <v>41414</v>
      </c>
      <c r="G103" s="30" t="n">
        <v>41426</v>
      </c>
      <c r="H103" s="31" t="n">
        <f aca="false">INT(($H$325-G103)/30)</f>
        <v>31</v>
      </c>
      <c r="I103" s="24" t="n">
        <f aca="false">H103*1000</f>
        <v>31000</v>
      </c>
      <c r="J103" s="31" t="n">
        <v>5000</v>
      </c>
      <c r="K103" s="31"/>
      <c r="L103" s="59" t="n">
        <f aca="false">I103-J103-K103</f>
        <v>26000</v>
      </c>
      <c r="M103" s="60"/>
      <c r="N103" s="60"/>
      <c r="O103" s="60"/>
      <c r="P103" s="60"/>
      <c r="Q103" s="60"/>
      <c r="R103" s="60"/>
      <c r="S103" s="60"/>
      <c r="T103" s="0" t="n">
        <v>4000</v>
      </c>
      <c r="U103" s="60"/>
      <c r="V103" s="60"/>
      <c r="W103" s="60"/>
      <c r="X103" s="60"/>
      <c r="Y103" s="59" t="n">
        <f aca="false">SUM(M103:X103)</f>
        <v>4000</v>
      </c>
      <c r="Z103" s="59" t="n">
        <v>12</v>
      </c>
      <c r="AA103" s="59" t="n">
        <f aca="false">Z103*800</f>
        <v>9600</v>
      </c>
      <c r="AB103" s="59" t="n">
        <f aca="false">L103+AA103-Y103</f>
        <v>31600</v>
      </c>
      <c r="AC103" s="60" t="n">
        <v>800</v>
      </c>
      <c r="AD103" s="61"/>
      <c r="AE103" s="62" t="n">
        <f aca="false">AB103+AC103-AD103</f>
        <v>32400</v>
      </c>
      <c r="AF103" s="60" t="n">
        <v>800</v>
      </c>
      <c r="AG103" s="61"/>
      <c r="AH103" s="62" t="n">
        <f aca="false">AE103+AF103-AG103</f>
        <v>33200</v>
      </c>
      <c r="AI103" s="60" t="n">
        <v>800</v>
      </c>
      <c r="AJ103" s="61"/>
      <c r="AK103" s="62" t="n">
        <f aca="false">AH103+AI103-AJ103</f>
        <v>34000</v>
      </c>
      <c r="AL103" s="60" t="n">
        <v>800</v>
      </c>
      <c r="AM103" s="61"/>
      <c r="AN103" s="62" t="n">
        <f aca="false">AK103+AL103-AM103</f>
        <v>34800</v>
      </c>
    </row>
    <row collapsed="false" customFormat="false" customHeight="false" hidden="false" ht="15" outlineLevel="0" r="104">
      <c r="A104" s="19" t="n">
        <f aca="false">VLOOKUP(B104,справочник!$B$2:$E$322,4,0)</f>
        <v>63</v>
      </c>
      <c r="B104" s="0" t="e">
        <f aca="false">CONCATENATE(C104;D104)</f>
        <v>#VALUE!</v>
      </c>
      <c r="C104" s="24" t="n">
        <v>65</v>
      </c>
      <c r="D104" s="29" t="s">
        <v>68</v>
      </c>
      <c r="E104" s="24" t="s">
        <v>469</v>
      </c>
      <c r="F104" s="30" t="n">
        <v>41513</v>
      </c>
      <c r="G104" s="30" t="n">
        <v>41518</v>
      </c>
      <c r="H104" s="31" t="n">
        <v>0</v>
      </c>
      <c r="I104" s="24" t="n">
        <f aca="false">H104*1000</f>
        <v>0</v>
      </c>
      <c r="J104" s="31" t="n">
        <v>0</v>
      </c>
      <c r="K104" s="31"/>
      <c r="L104" s="59" t="n">
        <f aca="false">I104-J104-K104</f>
        <v>0</v>
      </c>
      <c r="M104" s="60"/>
      <c r="N104" s="60"/>
      <c r="O104" s="60"/>
      <c r="P104" s="60"/>
      <c r="Q104" s="60"/>
      <c r="R104" s="60" t="n">
        <v>800</v>
      </c>
      <c r="S104" s="60"/>
      <c r="T104" s="60"/>
      <c r="U104" s="60"/>
      <c r="V104" s="60"/>
      <c r="W104" s="60"/>
      <c r="X104" s="60" t="n">
        <v>800</v>
      </c>
      <c r="Y104" s="59" t="n">
        <f aca="false">SUM(M104:X104)</f>
        <v>1600</v>
      </c>
      <c r="Z104" s="59" t="n">
        <v>1</v>
      </c>
      <c r="AA104" s="59" t="n">
        <f aca="false">Z104*800</f>
        <v>800</v>
      </c>
      <c r="AB104" s="59" t="n">
        <f aca="false">L104+AA104-Y104</f>
        <v>-800</v>
      </c>
      <c r="AC104" s="60" t="n">
        <v>800</v>
      </c>
      <c r="AD104" s="61"/>
      <c r="AE104" s="62" t="n">
        <f aca="false">AB104+AC104-AD104</f>
        <v>0</v>
      </c>
      <c r="AF104" s="60" t="n">
        <v>800</v>
      </c>
      <c r="AG104" s="61"/>
      <c r="AH104" s="62" t="n">
        <f aca="false">AE104+AF104-AG104</f>
        <v>800</v>
      </c>
      <c r="AI104" s="60" t="n">
        <v>800</v>
      </c>
      <c r="AJ104" s="61" t="n">
        <v>4800</v>
      </c>
      <c r="AK104" s="62" t="n">
        <f aca="false">AH104+AI104-AJ104</f>
        <v>-3200</v>
      </c>
      <c r="AL104" s="60" t="n">
        <v>800</v>
      </c>
      <c r="AM104" s="61"/>
      <c r="AN104" s="62" t="n">
        <f aca="false">AK104+AL104-AM104</f>
        <v>-2400</v>
      </c>
    </row>
    <row collapsed="false" customFormat="false" customHeight="false" hidden="false" ht="15" outlineLevel="0" r="105">
      <c r="A105" s="19" t="n">
        <f aca="false">VLOOKUP(B105,справочник!$B$2:$E$322,4,0)</f>
        <v>16</v>
      </c>
      <c r="B105" s="0" t="e">
        <f aca="false">CONCATENATE(C105;D105)</f>
        <v>#VALUE!</v>
      </c>
      <c r="C105" s="24" t="n">
        <v>16</v>
      </c>
      <c r="D105" s="29" t="s">
        <v>322</v>
      </c>
      <c r="E105" s="24" t="s">
        <v>470</v>
      </c>
      <c r="F105" s="30" t="n">
        <v>41254</v>
      </c>
      <c r="G105" s="30" t="n">
        <v>41275</v>
      </c>
      <c r="H105" s="31" t="n">
        <f aca="false">INT(($H$325-G105)/30)</f>
        <v>36</v>
      </c>
      <c r="I105" s="24" t="n">
        <f aca="false">H105*1000</f>
        <v>36000</v>
      </c>
      <c r="J105" s="31" t="n">
        <v>36000</v>
      </c>
      <c r="K105" s="31"/>
      <c r="L105" s="59" t="n">
        <f aca="false">I105-J105-K105</f>
        <v>0</v>
      </c>
      <c r="M105" s="60"/>
      <c r="N105" s="60"/>
      <c r="O105" s="60"/>
      <c r="P105" s="60"/>
      <c r="Q105" s="60"/>
      <c r="R105" s="60" t="n">
        <v>12000</v>
      </c>
      <c r="S105" s="60"/>
      <c r="T105" s="60"/>
      <c r="U105" s="60"/>
      <c r="V105" s="60"/>
      <c r="W105" s="60"/>
      <c r="X105" s="60"/>
      <c r="Y105" s="59" t="n">
        <f aca="false">SUM(M105:X105)</f>
        <v>12000</v>
      </c>
      <c r="Z105" s="59" t="n">
        <v>12</v>
      </c>
      <c r="AA105" s="59" t="n">
        <f aca="false">Z105*800</f>
        <v>9600</v>
      </c>
      <c r="AB105" s="59" t="n">
        <f aca="false">L105+AA105-Y105</f>
        <v>-2400</v>
      </c>
      <c r="AC105" s="60" t="n">
        <v>800</v>
      </c>
      <c r="AD105" s="61"/>
      <c r="AE105" s="62" t="n">
        <f aca="false">AB105+AC105-AD105</f>
        <v>-1600</v>
      </c>
      <c r="AF105" s="60" t="n">
        <v>800</v>
      </c>
      <c r="AG105" s="61"/>
      <c r="AH105" s="62" t="n">
        <f aca="false">AE105+AF105-AG105</f>
        <v>-800</v>
      </c>
      <c r="AI105" s="60" t="n">
        <v>800</v>
      </c>
      <c r="AJ105" s="61"/>
      <c r="AK105" s="62" t="n">
        <f aca="false">AH105+AI105-AJ105</f>
        <v>0</v>
      </c>
      <c r="AL105" s="60" t="n">
        <v>800</v>
      </c>
      <c r="AM105" s="61"/>
      <c r="AN105" s="62" t="n">
        <f aca="false">AK105+AL105-AM105</f>
        <v>800</v>
      </c>
    </row>
    <row collapsed="false" customFormat="false" customHeight="false" hidden="false" ht="15" outlineLevel="0" r="106">
      <c r="A106" s="19" t="n">
        <f aca="false">VLOOKUP(B106,справочник!$B$2:$E$322,4,0)</f>
        <v>121</v>
      </c>
      <c r="B106" s="0" t="e">
        <f aca="false">CONCATENATE(C106;D106)</f>
        <v>#VALUE!</v>
      </c>
      <c r="C106" s="24" t="n">
        <v>126</v>
      </c>
      <c r="D106" s="29" t="s">
        <v>222</v>
      </c>
      <c r="E106" s="24" t="s">
        <v>471</v>
      </c>
      <c r="F106" s="30" t="n">
        <v>41190</v>
      </c>
      <c r="G106" s="30" t="n">
        <v>41214</v>
      </c>
      <c r="H106" s="31" t="n">
        <f aca="false">INT(($H$325-G106)/30)</f>
        <v>38</v>
      </c>
      <c r="I106" s="24" t="n">
        <f aca="false">H106*1000</f>
        <v>38000</v>
      </c>
      <c r="J106" s="31" t="n">
        <v>32000</v>
      </c>
      <c r="K106" s="31"/>
      <c r="L106" s="59" t="n">
        <f aca="false">I106-J106-K106</f>
        <v>6000</v>
      </c>
      <c r="M106" s="60" t="n">
        <v>3000</v>
      </c>
      <c r="N106" s="60"/>
      <c r="O106" s="60"/>
      <c r="P106" s="60" t="n">
        <v>3200</v>
      </c>
      <c r="Q106" s="60"/>
      <c r="R106" s="60"/>
      <c r="S106" s="60"/>
      <c r="T106" s="0" t="n">
        <v>3200</v>
      </c>
      <c r="U106" s="60"/>
      <c r="V106" s="60" t="n">
        <v>4000</v>
      </c>
      <c r="W106" s="60"/>
      <c r="X106" s="60"/>
      <c r="Y106" s="59" t="n">
        <f aca="false">SUM(M106:X106)</f>
        <v>13400</v>
      </c>
      <c r="Z106" s="59" t="n">
        <v>12</v>
      </c>
      <c r="AA106" s="59" t="n">
        <f aca="false">Z106*800</f>
        <v>9600</v>
      </c>
      <c r="AB106" s="59" t="n">
        <f aca="false">L106+AA106-Y106</f>
        <v>2200</v>
      </c>
      <c r="AC106" s="60" t="n">
        <v>800</v>
      </c>
      <c r="AD106" s="61"/>
      <c r="AE106" s="62" t="n">
        <f aca="false">AB106+AC106-AD106</f>
        <v>3000</v>
      </c>
      <c r="AF106" s="60" t="n">
        <v>800</v>
      </c>
      <c r="AG106" s="61"/>
      <c r="AH106" s="62" t="n">
        <f aca="false">AE106+AF106-AG106</f>
        <v>3800</v>
      </c>
      <c r="AI106" s="60" t="n">
        <v>800</v>
      </c>
      <c r="AJ106" s="61"/>
      <c r="AK106" s="62" t="n">
        <f aca="false">AH106+AI106-AJ106</f>
        <v>4600</v>
      </c>
      <c r="AL106" s="60" t="n">
        <v>800</v>
      </c>
      <c r="AM106" s="61"/>
      <c r="AN106" s="62" t="n">
        <f aca="false">AK106+AL106-AM106</f>
        <v>5400</v>
      </c>
    </row>
    <row collapsed="false" customFormat="false" customHeight="false" hidden="false" ht="15" outlineLevel="0" r="107">
      <c r="A107" s="19" t="n">
        <f aca="false">VLOOKUP(B107,справочник!$B$2:$E$322,4,0)</f>
        <v>156</v>
      </c>
      <c r="B107" s="0" t="e">
        <f aca="false">CONCATENATE(C107;D107)</f>
        <v>#VALUE!</v>
      </c>
      <c r="C107" s="24" t="n">
        <v>164</v>
      </c>
      <c r="D107" s="29" t="s">
        <v>307</v>
      </c>
      <c r="E107" s="24" t="s">
        <v>472</v>
      </c>
      <c r="F107" s="30" t="n">
        <v>41394</v>
      </c>
      <c r="G107" s="30" t="n">
        <v>41426</v>
      </c>
      <c r="H107" s="31" t="n">
        <f aca="false">INT(($H$325-G107)/30)</f>
        <v>31</v>
      </c>
      <c r="I107" s="24" t="n">
        <f aca="false">H107*1000</f>
        <v>31000</v>
      </c>
      <c r="J107" s="31" t="n">
        <v>28000</v>
      </c>
      <c r="K107" s="31"/>
      <c r="L107" s="59" t="n">
        <f aca="false">I107-J107-K107</f>
        <v>3000</v>
      </c>
      <c r="M107" s="60"/>
      <c r="N107" s="60" t="n">
        <v>5000</v>
      </c>
      <c r="O107" s="60" t="n">
        <v>1000</v>
      </c>
      <c r="P107" s="60" t="n">
        <v>1000</v>
      </c>
      <c r="Q107" s="60" t="n">
        <v>1000</v>
      </c>
      <c r="R107" s="60" t="n">
        <v>1000</v>
      </c>
      <c r="S107" s="60" t="n">
        <v>1000</v>
      </c>
      <c r="T107" s="0" t="n">
        <v>1000</v>
      </c>
      <c r="U107" s="60" t="n">
        <v>1000</v>
      </c>
      <c r="V107" s="60" t="n">
        <v>1000</v>
      </c>
      <c r="W107" s="18" t="n">
        <v>1000</v>
      </c>
      <c r="X107" s="60" t="n">
        <v>1000</v>
      </c>
      <c r="Y107" s="59" t="n">
        <f aca="false">SUM(M107:X107)</f>
        <v>15000</v>
      </c>
      <c r="Z107" s="59" t="n">
        <v>12</v>
      </c>
      <c r="AA107" s="59" t="n">
        <f aca="false">Z107*800</f>
        <v>9600</v>
      </c>
      <c r="AB107" s="59" t="n">
        <f aca="false">L107+AA107-Y107</f>
        <v>-2400</v>
      </c>
      <c r="AC107" s="60" t="n">
        <v>800</v>
      </c>
      <c r="AD107" s="73" t="n">
        <v>1000</v>
      </c>
      <c r="AE107" s="62" t="n">
        <f aca="false">AB107+AC107-AD107</f>
        <v>-2600</v>
      </c>
      <c r="AF107" s="60" t="n">
        <v>800</v>
      </c>
      <c r="AG107" s="73" t="n">
        <v>1000</v>
      </c>
      <c r="AH107" s="62" t="n">
        <f aca="false">AE107+AF107-AG107</f>
        <v>-2800</v>
      </c>
      <c r="AI107" s="60" t="n">
        <v>800</v>
      </c>
      <c r="AJ107" s="73" t="n">
        <v>1000</v>
      </c>
      <c r="AK107" s="62" t="n">
        <f aca="false">AH107+AI107-AJ107</f>
        <v>-3000</v>
      </c>
      <c r="AL107" s="60" t="n">
        <v>800</v>
      </c>
      <c r="AM107" s="73" t="n">
        <v>1000</v>
      </c>
      <c r="AN107" s="62" t="n">
        <f aca="false">AK107+AL107-AM107</f>
        <v>-3200</v>
      </c>
    </row>
    <row collapsed="false" customFormat="false" customHeight="false" hidden="false" ht="15" outlineLevel="0" r="108">
      <c r="A108" s="19" t="n">
        <f aca="false">VLOOKUP(B108,справочник!$B$2:$E$322,4,0)</f>
        <v>5</v>
      </c>
      <c r="B108" s="0" t="e">
        <f aca="false">CONCATENATE(C108;D108)</f>
        <v>#VALUE!</v>
      </c>
      <c r="C108" s="24" t="n">
        <v>5</v>
      </c>
      <c r="D108" s="29" t="s">
        <v>149</v>
      </c>
      <c r="E108" s="24" t="s">
        <v>473</v>
      </c>
      <c r="F108" s="30" t="n">
        <v>41071</v>
      </c>
      <c r="G108" s="30" t="n">
        <v>41061</v>
      </c>
      <c r="H108" s="31" t="n">
        <f aca="false">INT(($H$325-G108)/30)</f>
        <v>43</v>
      </c>
      <c r="I108" s="24" t="n">
        <f aca="false">H108*1000</f>
        <v>43000</v>
      </c>
      <c r="J108" s="31" t="n">
        <f aca="false">32000</f>
        <v>32000</v>
      </c>
      <c r="K108" s="31"/>
      <c r="L108" s="59" t="n">
        <f aca="false">I108-J108-K108</f>
        <v>11000</v>
      </c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59" t="n">
        <f aca="false">SUM(M108:X108)</f>
        <v>0</v>
      </c>
      <c r="Z108" s="59" t="n">
        <v>12</v>
      </c>
      <c r="AA108" s="59" t="n">
        <f aca="false">Z108*800</f>
        <v>9600</v>
      </c>
      <c r="AB108" s="59" t="n">
        <f aca="false">L108+AA108-Y108</f>
        <v>20600</v>
      </c>
      <c r="AC108" s="60" t="n">
        <v>800</v>
      </c>
      <c r="AD108" s="61"/>
      <c r="AE108" s="62" t="n">
        <f aca="false">AB108+AC108-AD108</f>
        <v>21400</v>
      </c>
      <c r="AF108" s="60" t="n">
        <v>800</v>
      </c>
      <c r="AG108" s="61"/>
      <c r="AH108" s="62" t="n">
        <f aca="false">AE108+AF108-AG108</f>
        <v>22200</v>
      </c>
      <c r="AI108" s="60" t="n">
        <v>800</v>
      </c>
      <c r="AJ108" s="61"/>
      <c r="AK108" s="62" t="n">
        <f aca="false">AH108+AI108-AJ108</f>
        <v>23000</v>
      </c>
      <c r="AL108" s="60" t="n">
        <v>800</v>
      </c>
      <c r="AM108" s="61" t="n">
        <v>4000</v>
      </c>
      <c r="AN108" s="62" t="n">
        <f aca="false">AK108+AL108-AM108</f>
        <v>19800</v>
      </c>
    </row>
    <row collapsed="false" customFormat="false" customHeight="false" hidden="false" ht="15" outlineLevel="0" r="109">
      <c r="A109" s="19" t="n">
        <f aca="false">VLOOKUP(B109,справочник!$B$2:$E$322,4,0)</f>
        <v>214</v>
      </c>
      <c r="B109" s="0" t="e">
        <f aca="false">CONCATENATE(C109;D109)</f>
        <v>#VALUE!</v>
      </c>
      <c r="C109" s="24" t="n">
        <v>223</v>
      </c>
      <c r="D109" s="29" t="s">
        <v>295</v>
      </c>
      <c r="E109" s="24" t="s">
        <v>474</v>
      </c>
      <c r="F109" s="30" t="n">
        <v>41807</v>
      </c>
      <c r="G109" s="30" t="n">
        <v>41791</v>
      </c>
      <c r="H109" s="31" t="n">
        <f aca="false">INT(($H$325-G109)/30)</f>
        <v>19</v>
      </c>
      <c r="I109" s="24" t="n">
        <f aca="false">H109*1000</f>
        <v>19000</v>
      </c>
      <c r="J109" s="31" t="n">
        <v>19000</v>
      </c>
      <c r="K109" s="31"/>
      <c r="L109" s="59" t="n">
        <f aca="false">I109-J109-K109</f>
        <v>0</v>
      </c>
      <c r="M109" s="60"/>
      <c r="N109" s="60" t="n">
        <v>3000</v>
      </c>
      <c r="O109" s="60"/>
      <c r="P109" s="60"/>
      <c r="Q109" s="60"/>
      <c r="R109" s="60" t="n">
        <v>2000</v>
      </c>
      <c r="S109" s="60"/>
      <c r="T109" s="60"/>
      <c r="U109" s="60" t="n">
        <v>2200</v>
      </c>
      <c r="V109" s="60"/>
      <c r="W109" s="18" t="n">
        <v>800</v>
      </c>
      <c r="X109" s="60" t="n">
        <v>1600</v>
      </c>
      <c r="Y109" s="59" t="n">
        <f aca="false">SUM(M109:X109)</f>
        <v>9600</v>
      </c>
      <c r="Z109" s="59" t="n">
        <v>12</v>
      </c>
      <c r="AA109" s="59" t="n">
        <f aca="false">Z109*800</f>
        <v>9600</v>
      </c>
      <c r="AB109" s="59" t="n">
        <f aca="false">L109+AA109-Y109</f>
        <v>0</v>
      </c>
      <c r="AC109" s="60" t="n">
        <v>800</v>
      </c>
      <c r="AD109" s="73" t="n">
        <v>1600</v>
      </c>
      <c r="AE109" s="62" t="n">
        <f aca="false">AB109+AC109-AD109</f>
        <v>-800</v>
      </c>
      <c r="AF109" s="60" t="n">
        <v>800</v>
      </c>
      <c r="AG109" s="73"/>
      <c r="AH109" s="62" t="n">
        <f aca="false">AE109+AF109-AG109</f>
        <v>0</v>
      </c>
      <c r="AI109" s="60" t="n">
        <v>800</v>
      </c>
      <c r="AJ109" s="73"/>
      <c r="AK109" s="62" t="n">
        <f aca="false">AH109+AI109-AJ109</f>
        <v>800</v>
      </c>
      <c r="AL109" s="60" t="n">
        <v>800</v>
      </c>
      <c r="AM109" s="73" t="n">
        <v>1600</v>
      </c>
      <c r="AN109" s="62" t="n">
        <f aca="false">AK109+AL109-AM109</f>
        <v>0</v>
      </c>
    </row>
    <row collapsed="false" customFormat="false" customHeight="false" hidden="false" ht="15" outlineLevel="0" r="110">
      <c r="A110" s="19" t="n">
        <f aca="false">VLOOKUP(B110,справочник!$B$2:$E$322,4,0)</f>
        <v>279</v>
      </c>
      <c r="B110" s="0" t="e">
        <f aca="false">CONCATENATE(C110;D110)</f>
        <v>#VALUE!</v>
      </c>
      <c r="C110" s="24" t="n">
        <v>291</v>
      </c>
      <c r="D110" s="29" t="s">
        <v>170</v>
      </c>
      <c r="E110" s="24" t="s">
        <v>475</v>
      </c>
      <c r="F110" s="30" t="n">
        <v>40890</v>
      </c>
      <c r="G110" s="30" t="n">
        <v>40878</v>
      </c>
      <c r="H110" s="31" t="n">
        <f aca="false">INT(($H$325-G110)/30)</f>
        <v>49</v>
      </c>
      <c r="I110" s="24" t="n">
        <f aca="false">H110*1000</f>
        <v>49000</v>
      </c>
      <c r="J110" s="31" t="n">
        <f aca="false">42000+1000</f>
        <v>43000</v>
      </c>
      <c r="K110" s="31"/>
      <c r="L110" s="59" t="n">
        <f aca="false">I110-J110-K110</f>
        <v>6000</v>
      </c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59" t="n">
        <f aca="false">SUM(M110:X110)</f>
        <v>0</v>
      </c>
      <c r="Z110" s="59" t="n">
        <v>12</v>
      </c>
      <c r="AA110" s="59" t="n">
        <f aca="false">Z110*800</f>
        <v>9600</v>
      </c>
      <c r="AB110" s="59" t="n">
        <f aca="false">L110+AA110-Y110</f>
        <v>15600</v>
      </c>
      <c r="AC110" s="60" t="n">
        <v>800</v>
      </c>
      <c r="AD110" s="61"/>
      <c r="AE110" s="62" t="n">
        <f aca="false">AB110+AC110-AD110</f>
        <v>16400</v>
      </c>
      <c r="AF110" s="60" t="n">
        <v>800</v>
      </c>
      <c r="AG110" s="61"/>
      <c r="AH110" s="62" t="n">
        <f aca="false">AE110+AF110-AG110</f>
        <v>17200</v>
      </c>
      <c r="AI110" s="60" t="n">
        <v>800</v>
      </c>
      <c r="AJ110" s="61"/>
      <c r="AK110" s="62" t="n">
        <f aca="false">AH110+AI110-AJ110</f>
        <v>18000</v>
      </c>
      <c r="AL110" s="60" t="n">
        <v>800</v>
      </c>
      <c r="AM110" s="61"/>
      <c r="AN110" s="62" t="n">
        <f aca="false">AK110+AL110-AM110</f>
        <v>18800</v>
      </c>
    </row>
    <row collapsed="false" customFormat="false" customHeight="false" hidden="false" ht="15" outlineLevel="0" r="111">
      <c r="A111" s="19" t="n">
        <f aca="false">VLOOKUP(B111,справочник!$B$2:$E$322,4,0)</f>
        <v>197</v>
      </c>
      <c r="B111" s="0" t="e">
        <f aca="false">CONCATENATE(C111;D111)</f>
        <v>#VALUE!</v>
      </c>
      <c r="C111" s="24" t="n">
        <v>205</v>
      </c>
      <c r="D111" s="29" t="s">
        <v>52</v>
      </c>
      <c r="E111" s="24" t="s">
        <v>476</v>
      </c>
      <c r="F111" s="30" t="n">
        <v>40862</v>
      </c>
      <c r="G111" s="30" t="n">
        <v>40848</v>
      </c>
      <c r="H111" s="31" t="n">
        <f aca="false">INT(($H$325-G111)/30)</f>
        <v>50</v>
      </c>
      <c r="I111" s="24" t="n">
        <f aca="false">H111*1000</f>
        <v>50000</v>
      </c>
      <c r="J111" s="31" t="n">
        <v>16000</v>
      </c>
      <c r="K111" s="31"/>
      <c r="L111" s="59" t="n">
        <f aca="false">I111-J111-K111</f>
        <v>34000</v>
      </c>
      <c r="M111" s="60"/>
      <c r="N111" s="60"/>
      <c r="O111" s="60"/>
      <c r="P111" s="60"/>
      <c r="Q111" s="60"/>
      <c r="R111" s="60"/>
      <c r="S111" s="60" t="n">
        <v>6600</v>
      </c>
      <c r="T111" s="60"/>
      <c r="U111" s="60"/>
      <c r="V111" s="60"/>
      <c r="W111" s="60"/>
      <c r="X111" s="60"/>
      <c r="Y111" s="59" t="n">
        <f aca="false">SUM(M111:X111)</f>
        <v>6600</v>
      </c>
      <c r="Z111" s="59" t="n">
        <v>12</v>
      </c>
      <c r="AA111" s="59" t="n">
        <f aca="false">Z111*800</f>
        <v>9600</v>
      </c>
      <c r="AB111" s="59" t="n">
        <f aca="false">L111+AA111-Y111</f>
        <v>37000</v>
      </c>
      <c r="AC111" s="60" t="n">
        <v>800</v>
      </c>
      <c r="AD111" s="61"/>
      <c r="AE111" s="62" t="n">
        <f aca="false">AB111+AC111-AD111</f>
        <v>37800</v>
      </c>
      <c r="AF111" s="60" t="n">
        <v>800</v>
      </c>
      <c r="AG111" s="61"/>
      <c r="AH111" s="62" t="n">
        <f aca="false">AE111+AF111-AG111</f>
        <v>38600</v>
      </c>
      <c r="AI111" s="60" t="n">
        <v>800</v>
      </c>
      <c r="AJ111" s="61"/>
      <c r="AK111" s="62" t="n">
        <f aca="false">AH111+AI111-AJ111</f>
        <v>39400</v>
      </c>
      <c r="AL111" s="60" t="n">
        <v>800</v>
      </c>
      <c r="AM111" s="61" t="n">
        <v>8000</v>
      </c>
      <c r="AN111" s="62" t="n">
        <f aca="false">AK111+AL111-AM111</f>
        <v>32200</v>
      </c>
    </row>
    <row collapsed="false" customFormat="false" customHeight="false" hidden="false" ht="15" outlineLevel="0" r="112">
      <c r="A112" s="19" t="n">
        <f aca="false">VLOOKUP(B112,справочник!$B$2:$E$322,4,0)</f>
        <v>295</v>
      </c>
      <c r="B112" s="0" t="e">
        <f aca="false">CONCATENATE(C112;D112)</f>
        <v>#VALUE!</v>
      </c>
      <c r="C112" s="24" t="n">
        <v>310</v>
      </c>
      <c r="D112" s="29" t="s">
        <v>40</v>
      </c>
      <c r="E112" s="24" t="s">
        <v>477</v>
      </c>
      <c r="F112" s="30" t="n">
        <v>41994</v>
      </c>
      <c r="G112" s="30" t="n">
        <v>42005</v>
      </c>
      <c r="H112" s="31" t="n">
        <f aca="false">INT(($H$325-G112)/30)</f>
        <v>12</v>
      </c>
      <c r="I112" s="24" t="n">
        <f aca="false">H112*1000</f>
        <v>12000</v>
      </c>
      <c r="J112" s="31"/>
      <c r="K112" s="31"/>
      <c r="L112" s="59" t="n">
        <f aca="false">I112-J112-K112</f>
        <v>12000</v>
      </c>
      <c r="M112" s="60"/>
      <c r="N112" s="60"/>
      <c r="O112" s="60"/>
      <c r="P112" s="60"/>
      <c r="Q112" s="60"/>
      <c r="R112" s="60"/>
      <c r="S112" s="60"/>
      <c r="T112" s="60" t="n">
        <v>18150</v>
      </c>
      <c r="U112" s="60"/>
      <c r="V112" s="60"/>
      <c r="W112" s="60"/>
      <c r="X112" s="60"/>
      <c r="Y112" s="59" t="n">
        <f aca="false">SUM(M112:X112)</f>
        <v>18150</v>
      </c>
      <c r="Z112" s="59" t="n">
        <v>12</v>
      </c>
      <c r="AA112" s="59" t="n">
        <f aca="false">Z112*800</f>
        <v>9600</v>
      </c>
      <c r="AB112" s="59" t="n">
        <f aca="false">L112+AA112-Y112</f>
        <v>3450</v>
      </c>
      <c r="AC112" s="60" t="n">
        <v>800</v>
      </c>
      <c r="AD112" s="61"/>
      <c r="AE112" s="62" t="n">
        <f aca="false">AB112+AC112-AD112</f>
        <v>4250</v>
      </c>
      <c r="AF112" s="60" t="n">
        <v>800</v>
      </c>
      <c r="AG112" s="61"/>
      <c r="AH112" s="62" t="n">
        <f aca="false">AE112+AF112-AG112</f>
        <v>5050</v>
      </c>
      <c r="AI112" s="60" t="n">
        <v>800</v>
      </c>
      <c r="AJ112" s="61" t="n">
        <v>5000</v>
      </c>
      <c r="AK112" s="62" t="n">
        <f aca="false">AH112+AI112-AJ112</f>
        <v>850</v>
      </c>
      <c r="AL112" s="60" t="n">
        <v>800</v>
      </c>
      <c r="AM112" s="61"/>
      <c r="AN112" s="62" t="n">
        <f aca="false">AK112+AL112-AM112</f>
        <v>1650</v>
      </c>
    </row>
    <row collapsed="false" customFormat="false" customHeight="false" hidden="false" ht="15" outlineLevel="0" r="113">
      <c r="A113" s="19" t="n">
        <f aca="false">VLOOKUP(B113,справочник!$B$2:$E$322,4,0)</f>
        <v>196</v>
      </c>
      <c r="B113" s="0" t="e">
        <f aca="false">CONCATENATE(C113;D113)</f>
        <v>#VALUE!</v>
      </c>
      <c r="C113" s="24" t="n">
        <v>204</v>
      </c>
      <c r="D113" s="29" t="s">
        <v>281</v>
      </c>
      <c r="E113" s="24" t="s">
        <v>478</v>
      </c>
      <c r="F113" s="30" t="n">
        <v>40945</v>
      </c>
      <c r="G113" s="30" t="n">
        <v>40969</v>
      </c>
      <c r="H113" s="31" t="n">
        <f aca="false">INT(($H$325-G113)/30)</f>
        <v>46</v>
      </c>
      <c r="I113" s="24" t="n">
        <f aca="false">H113*1000</f>
        <v>46000</v>
      </c>
      <c r="J113" s="31" t="n">
        <f aca="false">46000</f>
        <v>46000</v>
      </c>
      <c r="K113" s="31"/>
      <c r="L113" s="59" t="n">
        <f aca="false">I113-J113-K113</f>
        <v>0</v>
      </c>
      <c r="M113" s="60"/>
      <c r="N113" s="60"/>
      <c r="O113" s="60" t="n">
        <v>4800</v>
      </c>
      <c r="P113" s="60"/>
      <c r="Q113" s="60"/>
      <c r="R113" s="60"/>
      <c r="S113" s="60"/>
      <c r="T113" s="0" t="n">
        <v>2400</v>
      </c>
      <c r="U113" s="60"/>
      <c r="V113" s="60"/>
      <c r="W113" s="18" t="n">
        <v>2400</v>
      </c>
      <c r="X113" s="60"/>
      <c r="Y113" s="59" t="n">
        <f aca="false">SUM(M113:X113)</f>
        <v>9600</v>
      </c>
      <c r="Z113" s="59" t="n">
        <v>12</v>
      </c>
      <c r="AA113" s="59" t="n">
        <f aca="false">Z113*800</f>
        <v>9600</v>
      </c>
      <c r="AB113" s="59" t="n">
        <f aca="false">L113+AA113-Y113</f>
        <v>0</v>
      </c>
      <c r="AC113" s="60" t="n">
        <v>800</v>
      </c>
      <c r="AD113" s="61"/>
      <c r="AE113" s="62" t="n">
        <f aca="false">AB113+AC113-AD113</f>
        <v>800</v>
      </c>
      <c r="AF113" s="60" t="n">
        <v>800</v>
      </c>
      <c r="AG113" s="61" t="n">
        <v>3200</v>
      </c>
      <c r="AH113" s="62" t="n">
        <f aca="false">AE113+AF113-AG113</f>
        <v>-1600</v>
      </c>
      <c r="AI113" s="60" t="n">
        <v>800</v>
      </c>
      <c r="AJ113" s="61"/>
      <c r="AK113" s="62" t="n">
        <f aca="false">AH113+AI113-AJ113</f>
        <v>-800</v>
      </c>
      <c r="AL113" s="60" t="n">
        <v>800</v>
      </c>
      <c r="AM113" s="61"/>
      <c r="AN113" s="62" t="n">
        <f aca="false">AK113+AL113-AM113</f>
        <v>0</v>
      </c>
    </row>
    <row collapsed="false" customFormat="false" customHeight="false" hidden="false" ht="25.5" outlineLevel="0" r="114">
      <c r="A114" s="19" t="n">
        <f aca="false">VLOOKUP(B114,справочник!$B$2:$E$322,4,0)</f>
        <v>124</v>
      </c>
      <c r="B114" s="0" t="e">
        <f aca="false">CONCATENATE(C114;D114)</f>
        <v>#VALUE!</v>
      </c>
      <c r="C114" s="24" t="n">
        <v>129</v>
      </c>
      <c r="D114" s="29" t="s">
        <v>125</v>
      </c>
      <c r="E114" s="24" t="s">
        <v>479</v>
      </c>
      <c r="F114" s="30" t="n">
        <v>41580</v>
      </c>
      <c r="G114" s="30" t="n">
        <v>41609</v>
      </c>
      <c r="H114" s="31" t="n">
        <f aca="false">INT(($H$325-G114)/30)</f>
        <v>25</v>
      </c>
      <c r="I114" s="24" t="n">
        <f aca="false">H114*1000</f>
        <v>25000</v>
      </c>
      <c r="J114" s="31" t="n">
        <f aca="false">5000+1500+5000</f>
        <v>11500</v>
      </c>
      <c r="K114" s="31"/>
      <c r="L114" s="59" t="n">
        <f aca="false">I114-J114-K114</f>
        <v>13500</v>
      </c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59" t="n">
        <f aca="false">SUM(M114:X114)</f>
        <v>0</v>
      </c>
      <c r="Z114" s="59" t="n">
        <v>12</v>
      </c>
      <c r="AA114" s="59" t="n">
        <f aca="false">Z114*800</f>
        <v>9600</v>
      </c>
      <c r="AB114" s="59" t="n">
        <f aca="false">L114+AA114-Y114</f>
        <v>23100</v>
      </c>
      <c r="AC114" s="60" t="n">
        <v>800</v>
      </c>
      <c r="AD114" s="61"/>
      <c r="AE114" s="62" t="n">
        <f aca="false">AB114+AC114-AD114</f>
        <v>23900</v>
      </c>
      <c r="AF114" s="60" t="n">
        <v>800</v>
      </c>
      <c r="AG114" s="61"/>
      <c r="AH114" s="62" t="n">
        <f aca="false">AE114+AF114-AG114</f>
        <v>24700</v>
      </c>
      <c r="AI114" s="60" t="n">
        <v>800</v>
      </c>
      <c r="AJ114" s="61"/>
      <c r="AK114" s="62" t="n">
        <f aca="false">AH114+AI114-AJ114</f>
        <v>25500</v>
      </c>
      <c r="AL114" s="60" t="n">
        <v>800</v>
      </c>
      <c r="AM114" s="61"/>
      <c r="AN114" s="62" t="n">
        <f aca="false">AK114+AL114-AM114</f>
        <v>26300</v>
      </c>
    </row>
    <row collapsed="false" customFormat="false" customHeight="false" hidden="false" ht="15" outlineLevel="0" r="115">
      <c r="A115" s="19" t="n">
        <f aca="false">VLOOKUP(B115,справочник!$B$2:$E$322,4,0)</f>
        <v>250</v>
      </c>
      <c r="B115" s="0" t="e">
        <f aca="false">CONCATENATE(C115;D115)</f>
        <v>#VALUE!</v>
      </c>
      <c r="C115" s="24" t="n">
        <v>261</v>
      </c>
      <c r="D115" s="29" t="s">
        <v>146</v>
      </c>
      <c r="E115" s="24" t="s">
        <v>480</v>
      </c>
      <c r="F115" s="30" t="n">
        <v>41498</v>
      </c>
      <c r="G115" s="30" t="n">
        <v>41518</v>
      </c>
      <c r="H115" s="31" t="n">
        <f aca="false">INT(($H$325-G115)/30)</f>
        <v>28</v>
      </c>
      <c r="I115" s="24" t="n">
        <f aca="false">H115*1000</f>
        <v>28000</v>
      </c>
      <c r="J115" s="31" t="n">
        <v>13000</v>
      </c>
      <c r="K115" s="31" t="n">
        <v>1000</v>
      </c>
      <c r="L115" s="59" t="n">
        <f aca="false">I115-J115-K115</f>
        <v>14000</v>
      </c>
      <c r="M115" s="60"/>
      <c r="N115" s="60"/>
      <c r="O115" s="60" t="n">
        <v>1000</v>
      </c>
      <c r="P115" s="60" t="n">
        <v>1000</v>
      </c>
      <c r="Q115" s="60" t="n">
        <v>1000</v>
      </c>
      <c r="R115" s="60"/>
      <c r="S115" s="60" t="n">
        <v>1000</v>
      </c>
      <c r="T115" s="60"/>
      <c r="U115" s="60" t="n">
        <v>2500</v>
      </c>
      <c r="V115" s="60" t="n">
        <v>1000</v>
      </c>
      <c r="W115" s="18" t="n">
        <v>2000</v>
      </c>
      <c r="X115" s="60"/>
      <c r="Y115" s="59" t="n">
        <f aca="false">SUM(M115:X115)</f>
        <v>9500</v>
      </c>
      <c r="Z115" s="59" t="n">
        <v>12</v>
      </c>
      <c r="AA115" s="59" t="n">
        <f aca="false">Z115*800</f>
        <v>9600</v>
      </c>
      <c r="AB115" s="59" t="n">
        <f aca="false">L115+AA115-Y115</f>
        <v>14100</v>
      </c>
      <c r="AC115" s="60" t="n">
        <v>800</v>
      </c>
      <c r="AD115" s="73" t="n">
        <v>2000</v>
      </c>
      <c r="AE115" s="62" t="n">
        <f aca="false">AB115+AC115-AD115</f>
        <v>12900</v>
      </c>
      <c r="AF115" s="60" t="n">
        <v>800</v>
      </c>
      <c r="AG115" s="73"/>
      <c r="AH115" s="62" t="n">
        <f aca="false">AE115+AF115-AG115</f>
        <v>13700</v>
      </c>
      <c r="AI115" s="60" t="n">
        <v>800</v>
      </c>
      <c r="AJ115" s="73"/>
      <c r="AK115" s="62" t="n">
        <f aca="false">AH115+AI115-AJ115</f>
        <v>14500</v>
      </c>
      <c r="AL115" s="60" t="n">
        <v>800</v>
      </c>
      <c r="AM115" s="73" t="n">
        <v>2000</v>
      </c>
      <c r="AN115" s="62" t="n">
        <f aca="false">AK115+AL115-AM115</f>
        <v>13300</v>
      </c>
    </row>
    <row collapsed="false" customFormat="false" customHeight="false" hidden="false" ht="15" outlineLevel="0" r="116">
      <c r="A116" s="19" t="n">
        <f aca="false">VLOOKUP(B116,справочник!$B$2:$E$322,4,0)</f>
        <v>153</v>
      </c>
      <c r="B116" s="0" t="e">
        <f aca="false">CONCATENATE(C116;D116)</f>
        <v>#VALUE!</v>
      </c>
      <c r="C116" s="24" t="n">
        <v>161</v>
      </c>
      <c r="D116" s="29" t="s">
        <v>252</v>
      </c>
      <c r="E116" s="24" t="s">
        <v>481</v>
      </c>
      <c r="F116" s="30" t="n">
        <v>40994</v>
      </c>
      <c r="G116" s="30" t="n">
        <v>41000</v>
      </c>
      <c r="H116" s="31" t="n">
        <f aca="false">INT(($H$325-G116)/30)</f>
        <v>45</v>
      </c>
      <c r="I116" s="24" t="n">
        <f aca="false">H116*1000</f>
        <v>45000</v>
      </c>
      <c r="J116" s="31" t="n">
        <v>41000</v>
      </c>
      <c r="K116" s="31"/>
      <c r="L116" s="59" t="n">
        <f aca="false">I116-J116-K116</f>
        <v>4000</v>
      </c>
      <c r="M116" s="60"/>
      <c r="N116" s="60"/>
      <c r="O116" s="60"/>
      <c r="P116" s="60" t="n">
        <v>7200</v>
      </c>
      <c r="Q116" s="60"/>
      <c r="R116" s="60"/>
      <c r="S116" s="60" t="n">
        <v>1600</v>
      </c>
      <c r="T116" s="60"/>
      <c r="U116" s="60"/>
      <c r="V116" s="60"/>
      <c r="W116" s="18" t="n">
        <v>4000</v>
      </c>
      <c r="X116" s="60"/>
      <c r="Y116" s="59" t="n">
        <f aca="false">SUM(M116:X116)</f>
        <v>12800</v>
      </c>
      <c r="Z116" s="59" t="n">
        <v>12</v>
      </c>
      <c r="AA116" s="59" t="n">
        <f aca="false">Z116*800</f>
        <v>9600</v>
      </c>
      <c r="AB116" s="59" t="n">
        <f aca="false">L116+AA116-Y116</f>
        <v>800</v>
      </c>
      <c r="AC116" s="60" t="n">
        <v>800</v>
      </c>
      <c r="AD116" s="61"/>
      <c r="AE116" s="62" t="n">
        <f aca="false">AB116+AC116-AD116</f>
        <v>1600</v>
      </c>
      <c r="AF116" s="60" t="n">
        <v>800</v>
      </c>
      <c r="AG116" s="61"/>
      <c r="AH116" s="62" t="n">
        <f aca="false">AE116+AF116-AG116</f>
        <v>2400</v>
      </c>
      <c r="AI116" s="60" t="n">
        <v>800</v>
      </c>
      <c r="AJ116" s="61"/>
      <c r="AK116" s="62" t="n">
        <f aca="false">AH116+AI116-AJ116</f>
        <v>3200</v>
      </c>
      <c r="AL116" s="60" t="n">
        <v>800</v>
      </c>
      <c r="AM116" s="61" t="n">
        <v>2400</v>
      </c>
      <c r="AN116" s="62" t="n">
        <f aca="false">AK116+AL116-AM116</f>
        <v>1600</v>
      </c>
    </row>
    <row collapsed="false" customFormat="false" customHeight="false" hidden="false" ht="15" outlineLevel="0" r="117">
      <c r="A117" s="19" t="n">
        <f aca="false">VLOOKUP(B117,справочник!$B$2:$E$322,4,0)</f>
        <v>106</v>
      </c>
      <c r="B117" s="0" t="e">
        <f aca="false">CONCATENATE(C117;D117)</f>
        <v>#VALUE!</v>
      </c>
      <c r="C117" s="24" t="n">
        <v>111</v>
      </c>
      <c r="D117" s="29" t="s">
        <v>50</v>
      </c>
      <c r="E117" s="24" t="s">
        <v>482</v>
      </c>
      <c r="F117" s="30" t="n">
        <v>41463</v>
      </c>
      <c r="G117" s="30" t="n">
        <v>41282</v>
      </c>
      <c r="H117" s="31" t="n">
        <f aca="false">INT(($H$325-G117)/30)</f>
        <v>36</v>
      </c>
      <c r="I117" s="24" t="n">
        <f aca="false">H117*1000</f>
        <v>36000</v>
      </c>
      <c r="J117" s="31" t="n">
        <v>1000</v>
      </c>
      <c r="K117" s="31"/>
      <c r="L117" s="59" t="n">
        <f aca="false">I117-J117-K117</f>
        <v>35000</v>
      </c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59" t="n">
        <f aca="false">SUM(M117:X117)</f>
        <v>0</v>
      </c>
      <c r="Z117" s="59" t="n">
        <v>12</v>
      </c>
      <c r="AA117" s="59" t="n">
        <f aca="false">Z117*800</f>
        <v>9600</v>
      </c>
      <c r="AB117" s="59" t="n">
        <f aca="false">L117+AA117-Y117</f>
        <v>44600</v>
      </c>
      <c r="AC117" s="60" t="n">
        <v>800</v>
      </c>
      <c r="AD117" s="61"/>
      <c r="AE117" s="62" t="n">
        <f aca="false">AB117+AC117-AD117</f>
        <v>45400</v>
      </c>
      <c r="AF117" s="60" t="n">
        <v>800</v>
      </c>
      <c r="AG117" s="61"/>
      <c r="AH117" s="62" t="n">
        <f aca="false">AE117+AF117-AG117</f>
        <v>46200</v>
      </c>
      <c r="AI117" s="60" t="n">
        <v>800</v>
      </c>
      <c r="AJ117" s="61" t="n">
        <v>5000</v>
      </c>
      <c r="AK117" s="62" t="n">
        <f aca="false">AH117+AI117-AJ117</f>
        <v>42000</v>
      </c>
      <c r="AL117" s="60" t="n">
        <v>800</v>
      </c>
      <c r="AM117" s="61"/>
      <c r="AN117" s="62" t="n">
        <f aca="false">AK117+AL117-AM117</f>
        <v>42800</v>
      </c>
    </row>
    <row collapsed="false" customFormat="false" customHeight="false" hidden="false" ht="15" outlineLevel="0" r="118">
      <c r="A118" s="19" t="n">
        <f aca="false">VLOOKUP(B118,справочник!$B$2:$E$322,4,0)</f>
        <v>222</v>
      </c>
      <c r="B118" s="0" t="e">
        <f aca="false">CONCATENATE(C118;D118)</f>
        <v>#VALUE!</v>
      </c>
      <c r="C118" s="24" t="n">
        <v>231</v>
      </c>
      <c r="D118" s="29" t="s">
        <v>38</v>
      </c>
      <c r="E118" s="24" t="s">
        <v>483</v>
      </c>
      <c r="F118" s="30" t="n">
        <v>41429</v>
      </c>
      <c r="G118" s="30" t="n">
        <v>41456</v>
      </c>
      <c r="H118" s="31" t="n">
        <f aca="false">INT(($H$325-G118)/30)</f>
        <v>30</v>
      </c>
      <c r="I118" s="24" t="n">
        <f aca="false">H118*1000</f>
        <v>30000</v>
      </c>
      <c r="J118" s="31" t="n">
        <v>25000</v>
      </c>
      <c r="K118" s="31" t="n">
        <v>5000</v>
      </c>
      <c r="L118" s="59" t="n">
        <f aca="false">I118-J118-K118</f>
        <v>0</v>
      </c>
      <c r="M118" s="60"/>
      <c r="N118" s="60" t="n">
        <v>3200</v>
      </c>
      <c r="O118" s="60"/>
      <c r="P118" s="60"/>
      <c r="Q118" s="60" t="n">
        <v>4000</v>
      </c>
      <c r="R118" s="60"/>
      <c r="S118" s="60"/>
      <c r="T118" s="60"/>
      <c r="U118" s="60"/>
      <c r="V118" s="60" t="n">
        <v>2400</v>
      </c>
      <c r="W118" s="60"/>
      <c r="X118" s="60"/>
      <c r="Y118" s="59" t="n">
        <f aca="false">SUM(M118:X118)</f>
        <v>9600</v>
      </c>
      <c r="Z118" s="59" t="n">
        <v>12</v>
      </c>
      <c r="AA118" s="59" t="n">
        <f aca="false">Z118*800</f>
        <v>9600</v>
      </c>
      <c r="AB118" s="59" t="n">
        <f aca="false">L118+AA118-Y118</f>
        <v>0</v>
      </c>
      <c r="AC118" s="60" t="n">
        <v>800</v>
      </c>
      <c r="AD118" s="61"/>
      <c r="AE118" s="62" t="n">
        <f aca="false">AB118+AC118-AD118</f>
        <v>800</v>
      </c>
      <c r="AF118" s="60" t="n">
        <v>800</v>
      </c>
      <c r="AG118" s="61"/>
      <c r="AH118" s="62" t="n">
        <f aca="false">AE118+AF118-AG118</f>
        <v>1600</v>
      </c>
      <c r="AI118" s="60" t="n">
        <v>800</v>
      </c>
      <c r="AJ118" s="61"/>
      <c r="AK118" s="62" t="n">
        <f aca="false">AH118+AI118-AJ118</f>
        <v>2400</v>
      </c>
      <c r="AL118" s="60" t="n">
        <v>800</v>
      </c>
      <c r="AM118" s="61"/>
      <c r="AN118" s="62" t="n">
        <f aca="false">AK118+AL118-AM118</f>
        <v>3200</v>
      </c>
    </row>
    <row collapsed="false" customFormat="false" customHeight="false" hidden="false" ht="15" outlineLevel="0" r="119">
      <c r="A119" s="19" t="n">
        <f aca="false">VLOOKUP(B119,справочник!$B$2:$E$322,4,0)</f>
        <v>208</v>
      </c>
      <c r="B119" s="0" t="e">
        <f aca="false">CONCATENATE(C119;D119)</f>
        <v>#VALUE!</v>
      </c>
      <c r="C119" s="24" t="n">
        <v>218</v>
      </c>
      <c r="D119" s="29" t="s">
        <v>189</v>
      </c>
      <c r="E119" s="24" t="s">
        <v>484</v>
      </c>
      <c r="F119" s="30" t="n">
        <v>41052</v>
      </c>
      <c r="G119" s="30" t="n">
        <v>41061</v>
      </c>
      <c r="H119" s="31" t="n">
        <f aca="false">INT(($H$325-G119)/30)</f>
        <v>43</v>
      </c>
      <c r="I119" s="24" t="n">
        <f aca="false">H119*1000</f>
        <v>43000</v>
      </c>
      <c r="J119" s="31" t="n">
        <f aca="false">40500</f>
        <v>40500</v>
      </c>
      <c r="K119" s="31"/>
      <c r="L119" s="59" t="n">
        <f aca="false">I119-J119-K119</f>
        <v>2500</v>
      </c>
      <c r="M119" s="60"/>
      <c r="N119" s="60"/>
      <c r="O119" s="60"/>
      <c r="P119" s="60"/>
      <c r="Q119" s="60"/>
      <c r="R119" s="60"/>
      <c r="S119" s="60"/>
      <c r="T119" s="0" t="n">
        <v>3600</v>
      </c>
      <c r="U119" s="60"/>
      <c r="V119" s="60"/>
      <c r="W119" s="60"/>
      <c r="X119" s="60"/>
      <c r="Y119" s="59" t="n">
        <f aca="false">SUM(M119:X119)</f>
        <v>3600</v>
      </c>
      <c r="Z119" s="59" t="n">
        <v>12</v>
      </c>
      <c r="AA119" s="59" t="n">
        <f aca="false">Z119*800</f>
        <v>9600</v>
      </c>
      <c r="AB119" s="59" t="n">
        <f aca="false">L119+AA119-Y119</f>
        <v>8500</v>
      </c>
      <c r="AC119" s="60" t="n">
        <v>800</v>
      </c>
      <c r="AD119" s="61" t="n">
        <v>3000</v>
      </c>
      <c r="AE119" s="62" t="n">
        <f aca="false">AB119+AC119-AD119</f>
        <v>6300</v>
      </c>
      <c r="AF119" s="60" t="n">
        <v>800</v>
      </c>
      <c r="AG119" s="61"/>
      <c r="AH119" s="62" t="n">
        <f aca="false">AE119+AF119-AG119</f>
        <v>7100</v>
      </c>
      <c r="AI119" s="60" t="n">
        <v>800</v>
      </c>
      <c r="AJ119" s="61"/>
      <c r="AK119" s="62" t="n">
        <f aca="false">AH119+AI119-AJ119</f>
        <v>7900</v>
      </c>
      <c r="AL119" s="60" t="n">
        <v>800</v>
      </c>
      <c r="AM119" s="61"/>
      <c r="AN119" s="62" t="n">
        <f aca="false">AK119+AL119-AM119</f>
        <v>8700</v>
      </c>
    </row>
    <row collapsed="false" customFormat="false" customHeight="false" hidden="false" ht="25.5" outlineLevel="0" r="120">
      <c r="A120" s="19" t="n">
        <f aca="false">VLOOKUP(B120,справочник!$B$2:$E$322,4,0)</f>
        <v>207</v>
      </c>
      <c r="B120" s="0" t="e">
        <f aca="false">CONCATENATE(C120;D120)</f>
        <v>#VALUE!</v>
      </c>
      <c r="C120" s="24" t="n">
        <v>217</v>
      </c>
      <c r="D120" s="29" t="s">
        <v>210</v>
      </c>
      <c r="E120" s="24"/>
      <c r="F120" s="24"/>
      <c r="G120" s="24"/>
      <c r="H120" s="31"/>
      <c r="I120" s="24" t="n">
        <f aca="false">H120*1000</f>
        <v>0</v>
      </c>
      <c r="J120" s="31"/>
      <c r="K120" s="31"/>
      <c r="L120" s="59" t="n">
        <f aca="false">I120-J120-K120</f>
        <v>0</v>
      </c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59" t="n">
        <f aca="false">SUM(M120:X120)</f>
        <v>0</v>
      </c>
      <c r="Z120" s="59" t="n">
        <v>12</v>
      </c>
      <c r="AA120" s="59" t="n">
        <f aca="false">Z120*800</f>
        <v>9600</v>
      </c>
      <c r="AB120" s="59" t="n">
        <f aca="false">L120+AA120-Y120</f>
        <v>9600</v>
      </c>
      <c r="AC120" s="60" t="n">
        <v>800</v>
      </c>
      <c r="AD120" s="61"/>
      <c r="AE120" s="62" t="n">
        <f aca="false">AB120+AC120-AD120</f>
        <v>10400</v>
      </c>
      <c r="AF120" s="60" t="n">
        <v>800</v>
      </c>
      <c r="AG120" s="61"/>
      <c r="AH120" s="62" t="n">
        <f aca="false">AE120+AF120-AG120</f>
        <v>11200</v>
      </c>
      <c r="AI120" s="60" t="n">
        <v>800</v>
      </c>
      <c r="AJ120" s="61"/>
      <c r="AK120" s="62" t="n">
        <f aca="false">AH120+AI120-AJ120</f>
        <v>12000</v>
      </c>
      <c r="AL120" s="60" t="n">
        <v>800</v>
      </c>
      <c r="AM120" s="61"/>
      <c r="AN120" s="62" t="n">
        <f aca="false">AK120+AL120-AM120</f>
        <v>12800</v>
      </c>
    </row>
    <row collapsed="false" customFormat="false" customHeight="false" hidden="false" ht="15" outlineLevel="0" r="121">
      <c r="A121" s="19" t="n">
        <f aca="false">VLOOKUP(B121,справочник!$B$2:$E$322,4,0)</f>
        <v>231</v>
      </c>
      <c r="B121" s="0" t="e">
        <f aca="false">CONCATENATE(C121;D121)</f>
        <v>#VALUE!</v>
      </c>
      <c r="C121" s="24" t="n">
        <v>240</v>
      </c>
      <c r="D121" s="29" t="s">
        <v>226</v>
      </c>
      <c r="E121" s="24" t="s">
        <v>485</v>
      </c>
      <c r="F121" s="30" t="n">
        <v>41357</v>
      </c>
      <c r="G121" s="30" t="n">
        <v>41365</v>
      </c>
      <c r="H121" s="31" t="n">
        <f aca="false">INT(($H$325-G121)/30)</f>
        <v>33</v>
      </c>
      <c r="I121" s="24" t="n">
        <f aca="false">H121*1000</f>
        <v>33000</v>
      </c>
      <c r="J121" s="31" t="n">
        <v>28000</v>
      </c>
      <c r="K121" s="31"/>
      <c r="L121" s="59" t="n">
        <f aca="false">I121-J121-K121</f>
        <v>5000</v>
      </c>
      <c r="M121" s="60"/>
      <c r="N121" s="60" t="n">
        <v>5000</v>
      </c>
      <c r="O121" s="60"/>
      <c r="P121" s="60" t="n">
        <v>1000</v>
      </c>
      <c r="Q121" s="60"/>
      <c r="R121" s="60"/>
      <c r="S121" s="60"/>
      <c r="T121" s="60"/>
      <c r="U121" s="60"/>
      <c r="V121" s="60"/>
      <c r="W121" s="60"/>
      <c r="X121" s="60"/>
      <c r="Y121" s="59" t="n">
        <f aca="false">SUM(M121:X121)</f>
        <v>6000</v>
      </c>
      <c r="Z121" s="59" t="n">
        <v>12</v>
      </c>
      <c r="AA121" s="59" t="n">
        <f aca="false">Z121*800</f>
        <v>9600</v>
      </c>
      <c r="AB121" s="59" t="n">
        <f aca="false">L121+AA121-Y121</f>
        <v>8600</v>
      </c>
      <c r="AC121" s="60" t="n">
        <v>800</v>
      </c>
      <c r="AD121" s="61"/>
      <c r="AE121" s="62" t="n">
        <f aca="false">AB121+AC121-AD121</f>
        <v>9400</v>
      </c>
      <c r="AF121" s="60" t="n">
        <v>800</v>
      </c>
      <c r="AG121" s="61"/>
      <c r="AH121" s="62" t="n">
        <f aca="false">AE121+AF121-AG121</f>
        <v>10200</v>
      </c>
      <c r="AI121" s="60" t="n">
        <v>800</v>
      </c>
      <c r="AJ121" s="61"/>
      <c r="AK121" s="62" t="n">
        <f aca="false">AH121+AI121-AJ121</f>
        <v>11000</v>
      </c>
      <c r="AL121" s="60" t="n">
        <v>800</v>
      </c>
      <c r="AM121" s="61"/>
      <c r="AN121" s="62" t="n">
        <f aca="false">AK121+AL121-AM121</f>
        <v>11800</v>
      </c>
    </row>
    <row collapsed="false" customFormat="false" customHeight="false" hidden="false" ht="15" outlineLevel="0" r="122">
      <c r="A122" s="19" t="n">
        <f aca="false">VLOOKUP(B122,справочник!$B$2:$E$322,4,0)</f>
        <v>76</v>
      </c>
      <c r="B122" s="0" t="e">
        <f aca="false">CONCATENATE(C122;D122)</f>
        <v>#VALUE!</v>
      </c>
      <c r="C122" s="24" t="n">
        <v>82</v>
      </c>
      <c r="D122" s="29" t="s">
        <v>309</v>
      </c>
      <c r="E122" s="24" t="s">
        <v>486</v>
      </c>
      <c r="F122" s="30" t="n">
        <v>40682</v>
      </c>
      <c r="G122" s="30" t="n">
        <v>40695</v>
      </c>
      <c r="H122" s="31" t="n">
        <f aca="false">INT(($H$325-G122)/30)</f>
        <v>55</v>
      </c>
      <c r="I122" s="24" t="n">
        <f aca="false">H122*1000</f>
        <v>55000</v>
      </c>
      <c r="J122" s="31" t="n">
        <v>54000</v>
      </c>
      <c r="K122" s="31" t="n">
        <v>3000</v>
      </c>
      <c r="L122" s="59" t="n">
        <f aca="false">I122-J122-K122</f>
        <v>-2000</v>
      </c>
      <c r="M122" s="60"/>
      <c r="N122" s="60" t="n">
        <v>2400</v>
      </c>
      <c r="O122" s="60"/>
      <c r="P122" s="60" t="n">
        <v>2400</v>
      </c>
      <c r="Q122" s="60"/>
      <c r="R122" s="60"/>
      <c r="S122" s="60"/>
      <c r="T122" s="0" t="n">
        <v>2400</v>
      </c>
      <c r="U122" s="60"/>
      <c r="V122" s="60"/>
      <c r="W122" s="60" t="n">
        <v>2400</v>
      </c>
      <c r="X122" s="60"/>
      <c r="Y122" s="59" t="n">
        <f aca="false">SUM(M122:X122)</f>
        <v>9600</v>
      </c>
      <c r="Z122" s="59" t="n">
        <v>12</v>
      </c>
      <c r="AA122" s="59" t="n">
        <f aca="false">Z122*800</f>
        <v>9600</v>
      </c>
      <c r="AB122" s="59" t="n">
        <f aca="false">L122+AA122-Y122</f>
        <v>-2000</v>
      </c>
      <c r="AC122" s="60" t="n">
        <v>800</v>
      </c>
      <c r="AD122" s="61"/>
      <c r="AE122" s="62" t="n">
        <f aca="false">AB122+AC122-AD122</f>
        <v>-1200</v>
      </c>
      <c r="AF122" s="60" t="n">
        <v>800</v>
      </c>
      <c r="AG122" s="61"/>
      <c r="AH122" s="62" t="n">
        <f aca="false">AE122+AF122-AG122</f>
        <v>-400</v>
      </c>
      <c r="AI122" s="60" t="n">
        <v>800</v>
      </c>
      <c r="AJ122" s="61" t="n">
        <v>400</v>
      </c>
      <c r="AK122" s="62" t="n">
        <f aca="false">AH122+AI122-AJ122</f>
        <v>0</v>
      </c>
      <c r="AL122" s="60" t="n">
        <v>800</v>
      </c>
      <c r="AM122" s="61"/>
      <c r="AN122" s="62" t="n">
        <f aca="false">AK122+AL122-AM122</f>
        <v>800</v>
      </c>
    </row>
    <row collapsed="false" customFormat="false" customHeight="false" hidden="false" ht="15" outlineLevel="0" r="123">
      <c r="A123" s="19" t="n">
        <f aca="false">VLOOKUP(B123,справочник!$B$2:$E$322,4,0)</f>
        <v>82</v>
      </c>
      <c r="B123" s="0" t="e">
        <f aca="false">CONCATENATE(C123;D123)</f>
        <v>#VALUE!</v>
      </c>
      <c r="C123" s="24" t="n">
        <v>87</v>
      </c>
      <c r="D123" s="29" t="s">
        <v>229</v>
      </c>
      <c r="E123" s="24" t="s">
        <v>487</v>
      </c>
      <c r="F123" s="30" t="n">
        <v>41148</v>
      </c>
      <c r="G123" s="30" t="n">
        <v>41153</v>
      </c>
      <c r="H123" s="31" t="n">
        <f aca="false">INT(($H$325-G123)/30)</f>
        <v>40</v>
      </c>
      <c r="I123" s="24" t="n">
        <f aca="false">H123*1000</f>
        <v>40000</v>
      </c>
      <c r="J123" s="31" t="n">
        <v>35000</v>
      </c>
      <c r="K123" s="31"/>
      <c r="L123" s="59" t="n">
        <f aca="false">I123-J123-K123</f>
        <v>5000</v>
      </c>
      <c r="M123" s="60" t="n">
        <v>3000</v>
      </c>
      <c r="N123" s="60"/>
      <c r="O123" s="60" t="n">
        <v>3000</v>
      </c>
      <c r="P123" s="60"/>
      <c r="Q123" s="60"/>
      <c r="R123" s="60"/>
      <c r="S123" s="60"/>
      <c r="T123" s="60"/>
      <c r="U123" s="60"/>
      <c r="V123" s="60" t="n">
        <v>2000</v>
      </c>
      <c r="W123" s="60"/>
      <c r="X123" s="60"/>
      <c r="Y123" s="59" t="n">
        <f aca="false">SUM(M123:X123)</f>
        <v>8000</v>
      </c>
      <c r="Z123" s="59" t="n">
        <v>12</v>
      </c>
      <c r="AA123" s="59" t="n">
        <f aca="false">Z123*800</f>
        <v>9600</v>
      </c>
      <c r="AB123" s="59" t="n">
        <f aca="false">L123+AA123-Y123</f>
        <v>6600</v>
      </c>
      <c r="AC123" s="60" t="n">
        <v>800</v>
      </c>
      <c r="AD123" s="61"/>
      <c r="AE123" s="62" t="n">
        <f aca="false">AB123+AC123-AD123</f>
        <v>7400</v>
      </c>
      <c r="AF123" s="60" t="n">
        <v>800</v>
      </c>
      <c r="AG123" s="61"/>
      <c r="AH123" s="62" t="n">
        <f aca="false">AE123+AF123-AG123</f>
        <v>8200</v>
      </c>
      <c r="AI123" s="60" t="n">
        <v>800</v>
      </c>
      <c r="AJ123" s="61" t="n">
        <v>3200</v>
      </c>
      <c r="AK123" s="62" t="n">
        <f aca="false">AH123+AI123-AJ123</f>
        <v>5800</v>
      </c>
      <c r="AL123" s="60" t="n">
        <v>800</v>
      </c>
      <c r="AM123" s="61" t="n">
        <v>2000</v>
      </c>
      <c r="AN123" s="62" t="n">
        <f aca="false">AK123+AL123-AM123</f>
        <v>4600</v>
      </c>
    </row>
    <row collapsed="false" customFormat="false" customHeight="false" hidden="false" ht="15" outlineLevel="0" r="124">
      <c r="A124" s="19" t="n">
        <f aca="false">VLOOKUP(B124,справочник!$B$2:$E$322,4,0)</f>
        <v>8</v>
      </c>
      <c r="B124" s="0" t="e">
        <f aca="false">CONCATENATE(C124;D124)</f>
        <v>#VALUE!</v>
      </c>
      <c r="C124" s="24" t="n">
        <v>8</v>
      </c>
      <c r="D124" s="29" t="s">
        <v>240</v>
      </c>
      <c r="E124" s="24" t="s">
        <v>488</v>
      </c>
      <c r="F124" s="30" t="n">
        <v>41741</v>
      </c>
      <c r="G124" s="30" t="n">
        <v>41760</v>
      </c>
      <c r="H124" s="31" t="n">
        <f aca="false">INT(($H$325-G124)/30)</f>
        <v>20</v>
      </c>
      <c r="I124" s="24" t="n">
        <f aca="false">H124*1000</f>
        <v>20000</v>
      </c>
      <c r="J124" s="31" t="n">
        <v>18000</v>
      </c>
      <c r="K124" s="31"/>
      <c r="L124" s="59" t="n">
        <f aca="false">I124-J124-K124</f>
        <v>2000</v>
      </c>
      <c r="M124" s="60"/>
      <c r="N124" s="60"/>
      <c r="O124" s="60"/>
      <c r="P124" s="60"/>
      <c r="Q124" s="60"/>
      <c r="R124" s="60" t="n">
        <v>4000</v>
      </c>
      <c r="S124" s="60"/>
      <c r="T124" s="60"/>
      <c r="U124" s="60"/>
      <c r="V124" s="60" t="n">
        <v>7600</v>
      </c>
      <c r="W124" s="60"/>
      <c r="X124" s="60"/>
      <c r="Y124" s="59" t="n">
        <f aca="false">SUM(M124:X124)</f>
        <v>11600</v>
      </c>
      <c r="Z124" s="59" t="n">
        <v>12</v>
      </c>
      <c r="AA124" s="59" t="n">
        <f aca="false">Z124*800</f>
        <v>9600</v>
      </c>
      <c r="AB124" s="59" t="n">
        <f aca="false">L124+AA124-Y124</f>
        <v>0</v>
      </c>
      <c r="AC124" s="60" t="n">
        <v>800</v>
      </c>
      <c r="AD124" s="61"/>
      <c r="AE124" s="62" t="n">
        <f aca="false">AB124+AC124-AD124</f>
        <v>800</v>
      </c>
      <c r="AF124" s="60" t="n">
        <v>800</v>
      </c>
      <c r="AG124" s="61"/>
      <c r="AH124" s="62" t="n">
        <f aca="false">AE124+AF124-AG124</f>
        <v>1600</v>
      </c>
      <c r="AI124" s="60" t="n">
        <v>800</v>
      </c>
      <c r="AJ124" s="61" t="n">
        <v>4000</v>
      </c>
      <c r="AK124" s="62" t="n">
        <f aca="false">AH124+AI124-AJ124</f>
        <v>-1600</v>
      </c>
      <c r="AL124" s="60" t="n">
        <v>800</v>
      </c>
      <c r="AM124" s="61"/>
      <c r="AN124" s="62" t="n">
        <f aca="false">AK124+AL124-AM124</f>
        <v>-800</v>
      </c>
    </row>
    <row collapsed="false" customFormat="false" customHeight="false" hidden="false" ht="15" outlineLevel="0" r="125">
      <c r="A125" s="19" t="n">
        <f aca="false">VLOOKUP(B125,справочник!$B$2:$E$322,4,0)</f>
        <v>149</v>
      </c>
      <c r="B125" s="0" t="e">
        <f aca="false">CONCATENATE(C125;D125)</f>
        <v>#VALUE!</v>
      </c>
      <c r="C125" s="24" t="n">
        <v>157</v>
      </c>
      <c r="D125" s="29" t="s">
        <v>35</v>
      </c>
      <c r="E125" s="24" t="s">
        <v>489</v>
      </c>
      <c r="F125" s="30" t="n">
        <v>40820</v>
      </c>
      <c r="G125" s="30" t="n">
        <v>40817</v>
      </c>
      <c r="H125" s="31" t="n">
        <f aca="false">INT(($H$325-G125)/30)</f>
        <v>51</v>
      </c>
      <c r="I125" s="24" t="n">
        <f aca="false">H125*1000</f>
        <v>51000</v>
      </c>
      <c r="J125" s="31" t="n">
        <f aca="false">1000</f>
        <v>1000</v>
      </c>
      <c r="K125" s="31" t="n">
        <v>1000</v>
      </c>
      <c r="L125" s="59" t="n">
        <f aca="false">I125-J125-K125</f>
        <v>49000</v>
      </c>
      <c r="M125" s="60"/>
      <c r="N125" s="60"/>
      <c r="O125" s="60" t="n">
        <v>1000</v>
      </c>
      <c r="P125" s="60"/>
      <c r="Q125" s="60" t="n">
        <v>1000</v>
      </c>
      <c r="R125" s="60"/>
      <c r="S125" s="60"/>
      <c r="T125" s="60"/>
      <c r="U125" s="60"/>
      <c r="V125" s="60"/>
      <c r="W125" s="60"/>
      <c r="X125" s="60"/>
      <c r="Y125" s="59" t="n">
        <f aca="false">SUM(M125:X125)</f>
        <v>2000</v>
      </c>
      <c r="Z125" s="59" t="n">
        <v>12</v>
      </c>
      <c r="AA125" s="59" t="n">
        <f aca="false">Z125*800</f>
        <v>9600</v>
      </c>
      <c r="AB125" s="59" t="n">
        <f aca="false">L125+AA125-Y125</f>
        <v>56600</v>
      </c>
      <c r="AC125" s="60" t="n">
        <v>800</v>
      </c>
      <c r="AD125" s="61" t="n">
        <v>3000</v>
      </c>
      <c r="AE125" s="62" t="n">
        <f aca="false">AB125+AC125-AD125</f>
        <v>54400</v>
      </c>
      <c r="AF125" s="60" t="n">
        <v>800</v>
      </c>
      <c r="AG125" s="61" t="n">
        <v>3000</v>
      </c>
      <c r="AH125" s="62" t="n">
        <f aca="false">AE125+AF125-AG125</f>
        <v>52200</v>
      </c>
      <c r="AI125" s="60" t="n">
        <v>800</v>
      </c>
      <c r="AJ125" s="61"/>
      <c r="AK125" s="62" t="n">
        <f aca="false">AH125+AI125-AJ125</f>
        <v>53000</v>
      </c>
      <c r="AL125" s="60" t="n">
        <v>800</v>
      </c>
      <c r="AM125" s="61" t="n">
        <v>3000</v>
      </c>
      <c r="AN125" s="62" t="n">
        <f aca="false">AK125+AL125-AM125</f>
        <v>50800</v>
      </c>
    </row>
    <row collapsed="false" customFormat="false" customHeight="false" hidden="false" ht="15" outlineLevel="0" r="126">
      <c r="A126" s="19" t="n">
        <f aca="false">VLOOKUP(B126,справочник!$B$2:$E$322,4,0)</f>
        <v>30</v>
      </c>
      <c r="B126" s="0" t="e">
        <f aca="false">CONCATENATE(C126;D126)</f>
        <v>#VALUE!</v>
      </c>
      <c r="C126" s="24" t="n">
        <v>30</v>
      </c>
      <c r="D126" s="29" t="s">
        <v>37</v>
      </c>
      <c r="E126" s="24" t="s">
        <v>490</v>
      </c>
      <c r="F126" s="30" t="n">
        <v>40906</v>
      </c>
      <c r="G126" s="30" t="n">
        <v>40909</v>
      </c>
      <c r="H126" s="31" t="n">
        <f aca="false">INT(($H$325-G126)/30)</f>
        <v>48</v>
      </c>
      <c r="I126" s="24" t="n">
        <f aca="false">H126*1000</f>
        <v>48000</v>
      </c>
      <c r="J126" s="31" t="n">
        <f aca="false">1000</f>
        <v>1000</v>
      </c>
      <c r="K126" s="31"/>
      <c r="L126" s="59" t="n">
        <f aca="false">I126-J126-K126</f>
        <v>47000</v>
      </c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59" t="n">
        <f aca="false">SUM(M126:X126)</f>
        <v>0</v>
      </c>
      <c r="Z126" s="59" t="n">
        <v>12</v>
      </c>
      <c r="AA126" s="59" t="n">
        <f aca="false">Z126*800</f>
        <v>9600</v>
      </c>
      <c r="AB126" s="59" t="n">
        <f aca="false">L126+AA126-Y126</f>
        <v>56600</v>
      </c>
      <c r="AC126" s="60" t="n">
        <v>800</v>
      </c>
      <c r="AD126" s="61" t="n">
        <v>1000</v>
      </c>
      <c r="AE126" s="62" t="n">
        <f aca="false">AB126+AC126-AD126</f>
        <v>56400</v>
      </c>
      <c r="AF126" s="60" t="n">
        <v>800</v>
      </c>
      <c r="AG126" s="61" t="n">
        <v>3000</v>
      </c>
      <c r="AH126" s="62" t="n">
        <f aca="false">AE126+AF126-AG126</f>
        <v>54200</v>
      </c>
      <c r="AI126" s="60" t="n">
        <v>800</v>
      </c>
      <c r="AJ126" s="61" t="n">
        <v>2000</v>
      </c>
      <c r="AK126" s="62" t="n">
        <f aca="false">AH126+AI126-AJ126</f>
        <v>53000</v>
      </c>
      <c r="AL126" s="60" t="n">
        <v>800</v>
      </c>
      <c r="AM126" s="61"/>
      <c r="AN126" s="62" t="n">
        <f aca="false">AK126+AL126-AM126</f>
        <v>53800</v>
      </c>
    </row>
    <row collapsed="false" customFormat="false" customHeight="false" hidden="false" ht="15" outlineLevel="0" r="127">
      <c r="A127" s="19" t="n">
        <f aca="false">VLOOKUP(B127,справочник!$B$2:$E$322,4,0)</f>
        <v>269</v>
      </c>
      <c r="B127" s="0" t="e">
        <f aca="false">CONCATENATE(C127;D127)</f>
        <v>#VALUE!</v>
      </c>
      <c r="C127" s="24" t="n">
        <v>282</v>
      </c>
      <c r="D127" s="29" t="s">
        <v>106</v>
      </c>
      <c r="E127" s="24" t="s">
        <v>491</v>
      </c>
      <c r="F127" s="30" t="n">
        <v>41254</v>
      </c>
      <c r="G127" s="30" t="n">
        <v>41275</v>
      </c>
      <c r="H127" s="31" t="n">
        <f aca="false">INT(($H$325-G127)/30)</f>
        <v>36</v>
      </c>
      <c r="I127" s="24" t="n">
        <f aca="false">H127*1000</f>
        <v>36000</v>
      </c>
      <c r="J127" s="31" t="n">
        <v>18000</v>
      </c>
      <c r="K127" s="31"/>
      <c r="L127" s="59" t="n">
        <f aca="false">I127-J127-K127</f>
        <v>18000</v>
      </c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18" t="n">
        <v>12000</v>
      </c>
      <c r="X127" s="60"/>
      <c r="Y127" s="59" t="n">
        <f aca="false">SUM(M127:X127)</f>
        <v>12000</v>
      </c>
      <c r="Z127" s="59" t="n">
        <v>12</v>
      </c>
      <c r="AA127" s="59" t="n">
        <f aca="false">Z127*800</f>
        <v>9600</v>
      </c>
      <c r="AB127" s="59" t="n">
        <f aca="false">L127+AA127-Y127</f>
        <v>15600</v>
      </c>
      <c r="AC127" s="60" t="n">
        <v>800</v>
      </c>
      <c r="AD127" s="61"/>
      <c r="AE127" s="62" t="n">
        <f aca="false">AB127+AC127-AD127</f>
        <v>16400</v>
      </c>
      <c r="AF127" s="60" t="n">
        <v>800</v>
      </c>
      <c r="AG127" s="61"/>
      <c r="AH127" s="62" t="n">
        <f aca="false">AE127+AF127-AG127</f>
        <v>17200</v>
      </c>
      <c r="AI127" s="60" t="n">
        <v>800</v>
      </c>
      <c r="AJ127" s="61"/>
      <c r="AK127" s="62" t="n">
        <f aca="false">AH127+AI127-AJ127</f>
        <v>18000</v>
      </c>
      <c r="AL127" s="60" t="n">
        <v>800</v>
      </c>
      <c r="AM127" s="61"/>
      <c r="AN127" s="62" t="n">
        <f aca="false">AK127+AL127-AM127</f>
        <v>18800</v>
      </c>
    </row>
    <row collapsed="false" customFormat="false" customHeight="false" hidden="false" ht="15" outlineLevel="0" r="128">
      <c r="A128" s="19" t="n">
        <f aca="false">VLOOKUP(B128,справочник!$B$2:$E$322,4,0)</f>
        <v>271</v>
      </c>
      <c r="B128" s="0" t="e">
        <f aca="false">CONCATENATE(C128;D128)</f>
        <v>#VALUE!</v>
      </c>
      <c r="C128" s="24" t="n">
        <v>284</v>
      </c>
      <c r="D128" s="29" t="s">
        <v>294</v>
      </c>
      <c r="E128" s="24" t="s">
        <v>492</v>
      </c>
      <c r="F128" s="30" t="n">
        <v>42044</v>
      </c>
      <c r="G128" s="30" t="n">
        <v>42095</v>
      </c>
      <c r="H128" s="31" t="n">
        <f aca="false">INT(($H$325-G128)/30)</f>
        <v>9</v>
      </c>
      <c r="I128" s="24" t="n">
        <f aca="false">H128*1000</f>
        <v>9000</v>
      </c>
      <c r="J128" s="31" t="n">
        <v>4000</v>
      </c>
      <c r="K128" s="31" t="n">
        <v>5000</v>
      </c>
      <c r="L128" s="59" t="n">
        <f aca="false">I128-J128-K128</f>
        <v>0</v>
      </c>
      <c r="M128" s="60"/>
      <c r="N128" s="60"/>
      <c r="O128" s="60"/>
      <c r="P128" s="60"/>
      <c r="Q128" s="60"/>
      <c r="R128" s="60" t="n">
        <v>5000</v>
      </c>
      <c r="S128" s="60"/>
      <c r="T128" s="60"/>
      <c r="U128" s="60"/>
      <c r="V128" s="60"/>
      <c r="W128" s="60"/>
      <c r="X128" s="60" t="n">
        <v>3000</v>
      </c>
      <c r="Y128" s="59" t="n">
        <f aca="false">SUM(M128:X128)</f>
        <v>8000</v>
      </c>
      <c r="Z128" s="59" t="n">
        <v>12</v>
      </c>
      <c r="AA128" s="59" t="n">
        <f aca="false">Z128*800</f>
        <v>9600</v>
      </c>
      <c r="AB128" s="59" t="n">
        <f aca="false">L128+AA128-Y128</f>
        <v>1600</v>
      </c>
      <c r="AC128" s="60" t="n">
        <v>800</v>
      </c>
      <c r="AD128" s="61"/>
      <c r="AE128" s="62" t="n">
        <f aca="false">AB128+AC128-AD128</f>
        <v>2400</v>
      </c>
      <c r="AF128" s="60" t="n">
        <v>800</v>
      </c>
      <c r="AG128" s="61"/>
      <c r="AH128" s="62" t="n">
        <f aca="false">AE128+AF128-AG128</f>
        <v>3200</v>
      </c>
      <c r="AI128" s="60" t="n">
        <v>800</v>
      </c>
      <c r="AJ128" s="61"/>
      <c r="AK128" s="62" t="n">
        <f aca="false">AH128+AI128-AJ128</f>
        <v>4000</v>
      </c>
      <c r="AL128" s="60" t="n">
        <v>800</v>
      </c>
      <c r="AM128" s="61"/>
      <c r="AN128" s="62" t="n">
        <f aca="false">AK128+AL128-AM128</f>
        <v>4800</v>
      </c>
    </row>
    <row collapsed="false" customFormat="false" customHeight="false" hidden="false" ht="15" outlineLevel="0" r="129">
      <c r="A129" s="19" t="n">
        <f aca="false">VLOOKUP(B129,справочник!$B$2:$E$322,4,0)</f>
        <v>265</v>
      </c>
      <c r="B129" s="0" t="e">
        <f aca="false">CONCATENATE(C129;D129)</f>
        <v>#VALUE!</v>
      </c>
      <c r="C129" s="24" t="n">
        <v>278</v>
      </c>
      <c r="D129" s="29" t="s">
        <v>92</v>
      </c>
      <c r="E129" s="24" t="s">
        <v>493</v>
      </c>
      <c r="F129" s="30" t="n">
        <v>40812</v>
      </c>
      <c r="G129" s="30" t="n">
        <v>40787</v>
      </c>
      <c r="H129" s="31" t="n">
        <f aca="false">INT(($H$325-G129)/30)</f>
        <v>52</v>
      </c>
      <c r="I129" s="24" t="n">
        <f aca="false">H129*1000</f>
        <v>52000</v>
      </c>
      <c r="J129" s="31" t="n">
        <f aca="false">2000+27000</f>
        <v>29000</v>
      </c>
      <c r="K129" s="31"/>
      <c r="L129" s="59" t="n">
        <f aca="false">I129-J129-K129</f>
        <v>23000</v>
      </c>
      <c r="M129" s="60"/>
      <c r="N129" s="60"/>
      <c r="O129" s="60" t="n">
        <v>3000</v>
      </c>
      <c r="P129" s="60"/>
      <c r="Q129" s="60"/>
      <c r="R129" s="60"/>
      <c r="S129" s="60" t="n">
        <v>3000</v>
      </c>
      <c r="T129" s="60"/>
      <c r="U129" s="60" t="n">
        <v>3000</v>
      </c>
      <c r="V129" s="60"/>
      <c r="W129" s="18" t="n">
        <v>3000</v>
      </c>
      <c r="X129" s="60"/>
      <c r="Y129" s="59" t="n">
        <f aca="false">SUM(M129:X129)</f>
        <v>12000</v>
      </c>
      <c r="Z129" s="59" t="n">
        <v>12</v>
      </c>
      <c r="AA129" s="59" t="n">
        <f aca="false">Z129*800</f>
        <v>9600</v>
      </c>
      <c r="AB129" s="59" t="n">
        <f aca="false">L129+AA129-Y129</f>
        <v>20600</v>
      </c>
      <c r="AC129" s="60" t="n">
        <v>800</v>
      </c>
      <c r="AD129" s="61"/>
      <c r="AE129" s="62" t="n">
        <f aca="false">AB129+AC129-AD129</f>
        <v>21400</v>
      </c>
      <c r="AF129" s="60" t="n">
        <v>800</v>
      </c>
      <c r="AG129" s="61"/>
      <c r="AH129" s="62" t="n">
        <f aca="false">AE129+AF129-AG129</f>
        <v>22200</v>
      </c>
      <c r="AI129" s="60" t="n">
        <v>800</v>
      </c>
      <c r="AJ129" s="61"/>
      <c r="AK129" s="62" t="n">
        <f aca="false">AH129+AI129-AJ129</f>
        <v>23000</v>
      </c>
      <c r="AL129" s="60" t="n">
        <v>800</v>
      </c>
      <c r="AM129" s="61"/>
      <c r="AN129" s="62" t="n">
        <f aca="false">AK129+AL129-AM129</f>
        <v>23800</v>
      </c>
    </row>
    <row collapsed="false" customFormat="false" customHeight="false" hidden="false" ht="25.5" outlineLevel="0" r="130">
      <c r="A130" s="19" t="n">
        <f aca="false">VLOOKUP(B130,справочник!$B$2:$E$322,4,0)</f>
        <v>173</v>
      </c>
      <c r="B130" s="0" t="e">
        <f aca="false">CONCATENATE(C130;D130)</f>
        <v>#VALUE!</v>
      </c>
      <c r="C130" s="24" t="n">
        <v>181</v>
      </c>
      <c r="D130" s="29" t="s">
        <v>31</v>
      </c>
      <c r="E130" s="24" t="s">
        <v>494</v>
      </c>
      <c r="F130" s="30" t="n">
        <v>40793</v>
      </c>
      <c r="G130" s="30" t="n">
        <v>40787</v>
      </c>
      <c r="H130" s="31" t="n">
        <f aca="false">INT(($H$325-G130)/30)</f>
        <v>52</v>
      </c>
      <c r="I130" s="24" t="n">
        <f aca="false">H130*1000</f>
        <v>52000</v>
      </c>
      <c r="J130" s="31" t="n">
        <v>1000</v>
      </c>
      <c r="K130" s="31"/>
      <c r="L130" s="59" t="n">
        <f aca="false">I130-J130-K130</f>
        <v>51000</v>
      </c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59" t="n">
        <f aca="false">SUM(M130:X130)</f>
        <v>0</v>
      </c>
      <c r="Z130" s="59" t="n">
        <v>12</v>
      </c>
      <c r="AA130" s="59" t="n">
        <f aca="false">Z130*800</f>
        <v>9600</v>
      </c>
      <c r="AB130" s="59" t="n">
        <f aca="false">L130+AA130-Y130</f>
        <v>60600</v>
      </c>
      <c r="AC130" s="60" t="n">
        <v>800</v>
      </c>
      <c r="AD130" s="61"/>
      <c r="AE130" s="62" t="n">
        <f aca="false">AB130+AC130-AD130</f>
        <v>61400</v>
      </c>
      <c r="AF130" s="60" t="n">
        <v>800</v>
      </c>
      <c r="AG130" s="61"/>
      <c r="AH130" s="62" t="n">
        <f aca="false">AE130+AF130-AG130</f>
        <v>62200</v>
      </c>
      <c r="AI130" s="60" t="n">
        <v>800</v>
      </c>
      <c r="AJ130" s="61"/>
      <c r="AK130" s="62" t="n">
        <f aca="false">AH130+AI130-AJ130</f>
        <v>63000</v>
      </c>
      <c r="AL130" s="60" t="n">
        <v>800</v>
      </c>
      <c r="AM130" s="61"/>
      <c r="AN130" s="62" t="n">
        <f aca="false">AK130+AL130-AM130</f>
        <v>63800</v>
      </c>
    </row>
    <row collapsed="false" customFormat="false" customHeight="false" hidden="false" ht="15" outlineLevel="0" r="131">
      <c r="A131" s="19" t="n">
        <f aca="false">VLOOKUP(B131,справочник!$B$2:$E$322,4,0)</f>
        <v>305</v>
      </c>
      <c r="B131" s="0" t="e">
        <f aca="false">CONCATENATE(C131;D131)</f>
        <v>#VALUE!</v>
      </c>
      <c r="C131" s="24" t="n">
        <v>320</v>
      </c>
      <c r="D131" s="29" t="s">
        <v>126</v>
      </c>
      <c r="E131" s="24" t="s">
        <v>495</v>
      </c>
      <c r="F131" s="30" t="n">
        <v>41929</v>
      </c>
      <c r="G131" s="30" t="n">
        <v>41944</v>
      </c>
      <c r="H131" s="31" t="n">
        <f aca="false">INT(($H$325-G131)/30)</f>
        <v>14</v>
      </c>
      <c r="I131" s="24" t="n">
        <f aca="false">H131*1000</f>
        <v>14000</v>
      </c>
      <c r="J131" s="31" t="n">
        <v>1000</v>
      </c>
      <c r="K131" s="31"/>
      <c r="L131" s="59" t="n">
        <f aca="false">I131-J131-K131</f>
        <v>13000</v>
      </c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59" t="n">
        <f aca="false">SUM(M131:X131)</f>
        <v>0</v>
      </c>
      <c r="Z131" s="59" t="n">
        <v>12</v>
      </c>
      <c r="AA131" s="59" t="n">
        <f aca="false">Z131*800</f>
        <v>9600</v>
      </c>
      <c r="AB131" s="59" t="n">
        <f aca="false">L131+AA131-Y131</f>
        <v>22600</v>
      </c>
      <c r="AC131" s="60" t="n">
        <v>800</v>
      </c>
      <c r="AD131" s="61"/>
      <c r="AE131" s="62" t="n">
        <f aca="false">AB131+AC131-AD131</f>
        <v>23400</v>
      </c>
      <c r="AF131" s="60" t="n">
        <v>800</v>
      </c>
      <c r="AG131" s="61"/>
      <c r="AH131" s="62" t="n">
        <f aca="false">AE131+AF131-AG131</f>
        <v>24200</v>
      </c>
      <c r="AI131" s="60" t="n">
        <v>800</v>
      </c>
      <c r="AJ131" s="61"/>
      <c r="AK131" s="62" t="n">
        <f aca="false">AH131+AI131-AJ131</f>
        <v>25000</v>
      </c>
      <c r="AL131" s="60" t="n">
        <v>800</v>
      </c>
      <c r="AM131" s="61"/>
      <c r="AN131" s="62" t="n">
        <f aca="false">AK131+AL131-AM131</f>
        <v>25800</v>
      </c>
    </row>
    <row collapsed="false" customFormat="true" customHeight="false" hidden="false" ht="15" outlineLevel="0" r="132" s="64">
      <c r="A132" s="63" t="n">
        <f aca="false">VLOOKUP(B132,справочник!$B$2:$E$322,4,0)</f>
        <v>69</v>
      </c>
      <c r="B132" s="64" t="e">
        <f aca="false">CONCATENATE(C132;D132)</f>
        <v>#VALUE!</v>
      </c>
      <c r="C132" s="36" t="n">
        <v>75</v>
      </c>
      <c r="D132" s="65" t="s">
        <v>45</v>
      </c>
      <c r="E132" s="36" t="s">
        <v>496</v>
      </c>
      <c r="F132" s="34" t="s">
        <v>497</v>
      </c>
      <c r="G132" s="34" t="n">
        <v>40787</v>
      </c>
      <c r="H132" s="35" t="n">
        <f aca="false">INT(($H$325-G132)/30)</f>
        <v>52</v>
      </c>
      <c r="I132" s="36" t="n">
        <f aca="false">H132*1000</f>
        <v>52000</v>
      </c>
      <c r="J132" s="35" t="n">
        <f aca="false">3000+10000</f>
        <v>13000</v>
      </c>
      <c r="K132" s="35"/>
      <c r="L132" s="66" t="n">
        <f aca="false">I132-J132-K132</f>
        <v>39000</v>
      </c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 t="n">
        <f aca="false">SUM(M132:X132)</f>
        <v>0</v>
      </c>
      <c r="Z132" s="66" t="n">
        <v>12</v>
      </c>
      <c r="AA132" s="66" t="n">
        <f aca="false">Z132*800</f>
        <v>9600</v>
      </c>
      <c r="AB132" s="66" t="n">
        <f aca="false">L132+AA132-Y132</f>
        <v>48600</v>
      </c>
      <c r="AC132" s="66" t="n">
        <v>800</v>
      </c>
      <c r="AD132" s="67"/>
      <c r="AE132" s="68" t="n">
        <f aca="false">SUM(AB132:AB133)+SUM(AC132:AC133)-SUM(AD132:AD133)</f>
        <v>49400</v>
      </c>
      <c r="AF132" s="66" t="n">
        <v>800</v>
      </c>
      <c r="AG132" s="67"/>
      <c r="AH132" s="68" t="n">
        <f aca="false">SUM(AE132:AE133)+SUM(AF132:AF133)-SUM(AG132:AG133)</f>
        <v>50200</v>
      </c>
      <c r="AI132" s="66" t="n">
        <v>800</v>
      </c>
      <c r="AJ132" s="67"/>
      <c r="AK132" s="68" t="n">
        <f aca="false">SUM(AH132:AH133)+SUM(AI132:AI133)-SUM(AJ132:AJ133)</f>
        <v>51000</v>
      </c>
      <c r="AL132" s="66" t="n">
        <v>800</v>
      </c>
      <c r="AM132" s="67"/>
      <c r="AN132" s="68" t="n">
        <f aca="false">SUM(AK132:AK133)+SUM(AL132:AL133)-SUM(AM132:AM133)</f>
        <v>51800</v>
      </c>
    </row>
    <row collapsed="false" customFormat="false" customHeight="false" hidden="false" ht="15" outlineLevel="0" r="133">
      <c r="A133" s="63" t="n">
        <f aca="false">VLOOKUP(B133,справочник!$B$2:$E$322,4,0)</f>
        <v>69</v>
      </c>
      <c r="B133" s="64" t="e">
        <f aca="false">CONCATENATE(C133;D133)</f>
        <v>#VALUE!</v>
      </c>
      <c r="C133" s="36" t="n">
        <v>76</v>
      </c>
      <c r="D133" s="65" t="s">
        <v>45</v>
      </c>
      <c r="E133" s="36" t="s">
        <v>498</v>
      </c>
      <c r="F133" s="36"/>
      <c r="G133" s="36"/>
      <c r="H133" s="35"/>
      <c r="I133" s="36" t="n">
        <f aca="false">H133*1000</f>
        <v>0</v>
      </c>
      <c r="J133" s="35"/>
      <c r="K133" s="35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 t="n">
        <f aca="false">SUM(M133:X133)</f>
        <v>0</v>
      </c>
      <c r="Z133" s="66"/>
      <c r="AA133" s="66" t="n">
        <f aca="false">Z133*800</f>
        <v>0</v>
      </c>
      <c r="AB133" s="66" t="n">
        <f aca="false">L133+AA133-Y133</f>
        <v>0</v>
      </c>
      <c r="AC133" s="66" t="n">
        <v>0</v>
      </c>
      <c r="AD133" s="67"/>
      <c r="AE133" s="68"/>
      <c r="AF133" s="66" t="n">
        <v>0</v>
      </c>
      <c r="AG133" s="67"/>
      <c r="AH133" s="68"/>
      <c r="AI133" s="66" t="n">
        <v>0</v>
      </c>
      <c r="AJ133" s="67"/>
      <c r="AK133" s="68"/>
      <c r="AL133" s="66" t="n">
        <v>0</v>
      </c>
      <c r="AM133" s="67"/>
      <c r="AN133" s="68"/>
    </row>
    <row collapsed="false" customFormat="false" customHeight="false" hidden="false" ht="15" outlineLevel="0" r="134">
      <c r="A134" s="19" t="n">
        <f aca="false">VLOOKUP(B134,справочник!$B$2:$E$322,4,0)</f>
        <v>1</v>
      </c>
      <c r="B134" s="0" t="e">
        <f aca="false">CONCATENATE(C134;D134)</f>
        <v>#VALUE!</v>
      </c>
      <c r="C134" s="24" t="n">
        <v>1</v>
      </c>
      <c r="D134" s="29" t="s">
        <v>230</v>
      </c>
      <c r="E134" s="24" t="s">
        <v>499</v>
      </c>
      <c r="F134" s="30" t="n">
        <v>41409</v>
      </c>
      <c r="G134" s="30" t="n">
        <v>41548</v>
      </c>
      <c r="H134" s="31" t="n">
        <f aca="false">INT(($H$325-G134)/30)</f>
        <v>27</v>
      </c>
      <c r="I134" s="24" t="n">
        <f aca="false">H134*1000</f>
        <v>27000</v>
      </c>
      <c r="J134" s="31" t="n">
        <v>24000</v>
      </c>
      <c r="K134" s="31" t="n">
        <v>5600</v>
      </c>
      <c r="L134" s="59" t="n">
        <f aca="false">I134-J134-K134</f>
        <v>-2600</v>
      </c>
      <c r="M134" s="60"/>
      <c r="N134" s="60" t="n">
        <v>4200</v>
      </c>
      <c r="O134" s="60"/>
      <c r="P134" s="60"/>
      <c r="Q134" s="60"/>
      <c r="R134" s="60"/>
      <c r="S134" s="60"/>
      <c r="T134" s="60"/>
      <c r="U134" s="60"/>
      <c r="V134" s="60"/>
      <c r="W134" s="60"/>
      <c r="X134" s="60" t="n">
        <v>5600</v>
      </c>
      <c r="Y134" s="59" t="n">
        <f aca="false">SUM(M134:X134)</f>
        <v>9800</v>
      </c>
      <c r="Z134" s="59" t="n">
        <v>12</v>
      </c>
      <c r="AA134" s="59" t="n">
        <f aca="false">Z134*800</f>
        <v>9600</v>
      </c>
      <c r="AB134" s="59" t="n">
        <f aca="false">L134+AA134-Y134</f>
        <v>-2800</v>
      </c>
      <c r="AC134" s="60" t="n">
        <v>800</v>
      </c>
      <c r="AD134" s="61"/>
      <c r="AE134" s="62" t="n">
        <f aca="false">AB134+AC134-AD134</f>
        <v>-2000</v>
      </c>
      <c r="AF134" s="60" t="n">
        <v>800</v>
      </c>
      <c r="AG134" s="61"/>
      <c r="AH134" s="62" t="n">
        <f aca="false">AE134+AF134-AG134</f>
        <v>-1200</v>
      </c>
      <c r="AI134" s="60" t="n">
        <v>800</v>
      </c>
      <c r="AJ134" s="61"/>
      <c r="AK134" s="62" t="n">
        <f aca="false">AH134+AI134-AJ134</f>
        <v>-400</v>
      </c>
      <c r="AL134" s="60" t="n">
        <v>800</v>
      </c>
      <c r="AM134" s="61"/>
      <c r="AN134" s="62" t="n">
        <f aca="false">AK134+AL134-AM134</f>
        <v>400</v>
      </c>
    </row>
    <row collapsed="false" customFormat="false" customHeight="false" hidden="false" ht="15" outlineLevel="0" r="135">
      <c r="A135" s="19" t="n">
        <f aca="false">VLOOKUP(B135,справочник!$B$2:$E$322,4,0)</f>
        <v>302</v>
      </c>
      <c r="B135" s="0" t="e">
        <f aca="false">CONCATENATE(C135;D135)</f>
        <v>#VALUE!</v>
      </c>
      <c r="C135" s="24" t="n">
        <v>317</v>
      </c>
      <c r="D135" s="29" t="s">
        <v>127</v>
      </c>
      <c r="E135" s="24" t="s">
        <v>500</v>
      </c>
      <c r="F135" s="30" t="n">
        <v>40997</v>
      </c>
      <c r="G135" s="30" t="n">
        <v>41000</v>
      </c>
      <c r="H135" s="31" t="n">
        <f aca="false">INT(($H$325-G135)/30)</f>
        <v>45</v>
      </c>
      <c r="I135" s="24" t="n">
        <f aca="false">H135*1000</f>
        <v>45000</v>
      </c>
      <c r="J135" s="31" t="n">
        <v>32000</v>
      </c>
      <c r="K135" s="31"/>
      <c r="L135" s="59" t="n">
        <f aca="false">I135-J135-K135</f>
        <v>13000</v>
      </c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59" t="n">
        <f aca="false">SUM(M135:X135)</f>
        <v>0</v>
      </c>
      <c r="Z135" s="59" t="n">
        <v>12</v>
      </c>
      <c r="AA135" s="59" t="n">
        <f aca="false">Z135*800</f>
        <v>9600</v>
      </c>
      <c r="AB135" s="59" t="n">
        <f aca="false">L135+AA135-Y135</f>
        <v>22600</v>
      </c>
      <c r="AC135" s="60" t="n">
        <v>800</v>
      </c>
      <c r="AD135" s="61"/>
      <c r="AE135" s="62" t="n">
        <f aca="false">AB135+AC135-AD135</f>
        <v>23400</v>
      </c>
      <c r="AF135" s="60" t="n">
        <v>800</v>
      </c>
      <c r="AG135" s="61"/>
      <c r="AH135" s="62" t="n">
        <f aca="false">AE135+AF135-AG135</f>
        <v>24200</v>
      </c>
      <c r="AI135" s="60" t="n">
        <v>800</v>
      </c>
      <c r="AJ135" s="61"/>
      <c r="AK135" s="62" t="n">
        <f aca="false">AH135+AI135-AJ135</f>
        <v>25000</v>
      </c>
      <c r="AL135" s="60" t="n">
        <v>800</v>
      </c>
      <c r="AM135" s="61"/>
      <c r="AN135" s="62" t="n">
        <f aca="false">AK135+AL135-AM135</f>
        <v>25800</v>
      </c>
    </row>
    <row collapsed="false" customFormat="false" customHeight="false" hidden="false" ht="15" outlineLevel="0" r="136">
      <c r="A136" s="19" t="n">
        <f aca="false">VLOOKUP(B136,справочник!$B$2:$E$322,4,0)</f>
        <v>123</v>
      </c>
      <c r="B136" s="0" t="e">
        <f aca="false">CONCATENATE(C136;D136)</f>
        <v>#VALUE!</v>
      </c>
      <c r="C136" s="24" t="n">
        <v>128</v>
      </c>
      <c r="D136" s="29" t="s">
        <v>130</v>
      </c>
      <c r="E136" s="24" t="s">
        <v>501</v>
      </c>
      <c r="F136" s="30" t="n">
        <v>40960</v>
      </c>
      <c r="G136" s="30" t="n">
        <v>40940</v>
      </c>
      <c r="H136" s="31" t="n">
        <f aca="false">INT(($H$325-G136)/30)</f>
        <v>47</v>
      </c>
      <c r="I136" s="24" t="n">
        <f aca="false">H136*1000</f>
        <v>47000</v>
      </c>
      <c r="J136" s="31" t="n">
        <v>34000</v>
      </c>
      <c r="K136" s="31"/>
      <c r="L136" s="59" t="n">
        <f aca="false">I136-J136-K136</f>
        <v>13000</v>
      </c>
      <c r="M136" s="60"/>
      <c r="N136" s="60"/>
      <c r="O136" s="60"/>
      <c r="P136" s="60"/>
      <c r="Q136" s="60"/>
      <c r="R136" s="60"/>
      <c r="S136" s="60" t="n">
        <v>20000</v>
      </c>
      <c r="T136" s="60"/>
      <c r="U136" s="60"/>
      <c r="V136" s="60"/>
      <c r="W136" s="60"/>
      <c r="X136" s="60"/>
      <c r="Y136" s="59" t="n">
        <f aca="false">SUM(M136:X136)</f>
        <v>20000</v>
      </c>
      <c r="Z136" s="59" t="n">
        <v>12</v>
      </c>
      <c r="AA136" s="59" t="n">
        <f aca="false">Z136*800</f>
        <v>9600</v>
      </c>
      <c r="AB136" s="59" t="n">
        <f aca="false">L136+AA136-Y136</f>
        <v>2600</v>
      </c>
      <c r="AC136" s="60" t="n">
        <v>800</v>
      </c>
      <c r="AD136" s="83" t="n">
        <v>5000</v>
      </c>
      <c r="AE136" s="62" t="n">
        <f aca="false">AB136+AC136-AD136</f>
        <v>-1600</v>
      </c>
      <c r="AF136" s="60" t="n">
        <v>800</v>
      </c>
      <c r="AG136" s="83"/>
      <c r="AH136" s="62" t="n">
        <f aca="false">AE136+AF136-AG136</f>
        <v>-800</v>
      </c>
      <c r="AI136" s="60" t="n">
        <v>800</v>
      </c>
      <c r="AJ136" s="83"/>
      <c r="AK136" s="62" t="n">
        <f aca="false">AH136+AI136-AJ136</f>
        <v>0</v>
      </c>
      <c r="AL136" s="60" t="n">
        <v>800</v>
      </c>
      <c r="AM136" s="83"/>
      <c r="AN136" s="62" t="n">
        <f aca="false">AK136+AL136-AM136</f>
        <v>800</v>
      </c>
    </row>
    <row collapsed="false" customFormat="false" customHeight="false" hidden="false" ht="25.5" outlineLevel="0" r="137">
      <c r="A137" s="19" t="n">
        <f aca="false">VLOOKUP(B137,справочник!$B$2:$E$322,4,0)</f>
        <v>163</v>
      </c>
      <c r="B137" s="0" t="e">
        <f aca="false">CONCATENATE(C137;D137)</f>
        <v>#VALUE!</v>
      </c>
      <c r="C137" s="24" t="n">
        <v>171</v>
      </c>
      <c r="D137" s="29" t="s">
        <v>160</v>
      </c>
      <c r="E137" s="24"/>
      <c r="F137" s="30" t="n">
        <v>41809</v>
      </c>
      <c r="G137" s="30" t="n">
        <v>41821</v>
      </c>
      <c r="H137" s="31" t="n">
        <f aca="false">INT(($H$325-G137)/30)</f>
        <v>18</v>
      </c>
      <c r="I137" s="24" t="n">
        <f aca="false">H137*1000</f>
        <v>18000</v>
      </c>
      <c r="J137" s="31" t="n">
        <f aca="false">5000+4000</f>
        <v>9000</v>
      </c>
      <c r="K137" s="31"/>
      <c r="L137" s="59" t="n">
        <f aca="false">I137-J137-K137</f>
        <v>9000</v>
      </c>
      <c r="M137" s="60"/>
      <c r="N137" s="60"/>
      <c r="O137" s="60"/>
      <c r="P137" s="60"/>
      <c r="Q137" s="60"/>
      <c r="R137" s="60"/>
      <c r="S137" s="60"/>
      <c r="T137" s="0" t="n">
        <v>6100</v>
      </c>
      <c r="U137" s="60"/>
      <c r="V137" s="60"/>
      <c r="W137" s="60"/>
      <c r="X137" s="60"/>
      <c r="Y137" s="59" t="n">
        <f aca="false">SUM(M137:X137)</f>
        <v>6100</v>
      </c>
      <c r="Z137" s="59" t="n">
        <v>12</v>
      </c>
      <c r="AA137" s="59" t="n">
        <f aca="false">Z137*800</f>
        <v>9600</v>
      </c>
      <c r="AB137" s="59" t="n">
        <f aca="false">L137+AA137-Y137</f>
        <v>12500</v>
      </c>
      <c r="AC137" s="60" t="n">
        <v>800</v>
      </c>
      <c r="AD137" s="83" t="n">
        <v>4000</v>
      </c>
      <c r="AE137" s="62" t="n">
        <f aca="false">AB137+AC137-AD137</f>
        <v>9300</v>
      </c>
      <c r="AF137" s="60" t="n">
        <v>800</v>
      </c>
      <c r="AG137" s="83"/>
      <c r="AH137" s="62" t="n">
        <f aca="false">AE137+AF137-AG137</f>
        <v>10100</v>
      </c>
      <c r="AI137" s="60" t="n">
        <v>800</v>
      </c>
      <c r="AJ137" s="83"/>
      <c r="AK137" s="62" t="n">
        <f aca="false">AH137+AI137-AJ137</f>
        <v>10900</v>
      </c>
      <c r="AL137" s="60" t="n">
        <v>800</v>
      </c>
      <c r="AM137" s="83"/>
      <c r="AN137" s="62" t="n">
        <f aca="false">AK137+AL137-AM137</f>
        <v>11700</v>
      </c>
    </row>
    <row collapsed="false" customFormat="false" customHeight="false" hidden="false" ht="15" outlineLevel="0" r="138">
      <c r="A138" s="19" t="n">
        <f aca="false">VLOOKUP(B138,справочник!$B$2:$E$322,4,0)</f>
        <v>110</v>
      </c>
      <c r="B138" s="0" t="e">
        <f aca="false">CONCATENATE(C138;D138)</f>
        <v>#VALUE!</v>
      </c>
      <c r="C138" s="24" t="n">
        <v>115</v>
      </c>
      <c r="D138" s="29" t="s">
        <v>101</v>
      </c>
      <c r="E138" s="24" t="s">
        <v>502</v>
      </c>
      <c r="F138" s="30" t="n">
        <v>41101</v>
      </c>
      <c r="G138" s="30" t="n">
        <v>41091</v>
      </c>
      <c r="H138" s="31" t="n">
        <f aca="false">INT(($H$325-G138)/30)</f>
        <v>42</v>
      </c>
      <c r="I138" s="24" t="n">
        <f aca="false">H138*1000</f>
        <v>42000</v>
      </c>
      <c r="J138" s="31" t="n">
        <v>23000</v>
      </c>
      <c r="K138" s="31"/>
      <c r="L138" s="59" t="n">
        <f aca="false">I138-J138-K138</f>
        <v>19000</v>
      </c>
      <c r="M138" s="60"/>
      <c r="N138" s="60"/>
      <c r="O138" s="60"/>
      <c r="P138" s="60"/>
      <c r="Q138" s="60"/>
      <c r="R138" s="60"/>
      <c r="S138" s="60" t="n">
        <v>2400</v>
      </c>
      <c r="T138" s="0" t="n">
        <v>3600</v>
      </c>
      <c r="U138" s="60"/>
      <c r="V138" s="60" t="n">
        <v>1600</v>
      </c>
      <c r="W138" s="60"/>
      <c r="X138" s="60" t="n">
        <f aca="false">4000+5000</f>
        <v>9000</v>
      </c>
      <c r="Y138" s="59" t="n">
        <f aca="false">SUM(M138:X138)</f>
        <v>16600</v>
      </c>
      <c r="Z138" s="59" t="n">
        <v>12</v>
      </c>
      <c r="AA138" s="59" t="n">
        <f aca="false">Z138*800</f>
        <v>9600</v>
      </c>
      <c r="AB138" s="59" t="n">
        <f aca="false">L138+AA138-Y138</f>
        <v>12000</v>
      </c>
      <c r="AC138" s="60" t="n">
        <v>800</v>
      </c>
      <c r="AD138" s="83" t="n">
        <v>1800</v>
      </c>
      <c r="AE138" s="62" t="n">
        <f aca="false">AB138+AC138-AD138</f>
        <v>11000</v>
      </c>
      <c r="AF138" s="60" t="n">
        <v>800</v>
      </c>
      <c r="AG138" s="83"/>
      <c r="AH138" s="62" t="n">
        <f aca="false">AE138+AF138-AG138</f>
        <v>11800</v>
      </c>
      <c r="AI138" s="60" t="n">
        <v>800</v>
      </c>
      <c r="AJ138" s="83"/>
      <c r="AK138" s="62" t="n">
        <f aca="false">AH138+AI138-AJ138</f>
        <v>12600</v>
      </c>
      <c r="AL138" s="60" t="n">
        <v>800</v>
      </c>
      <c r="AM138" s="83" t="n">
        <f aca="false">1000+2400</f>
        <v>3400</v>
      </c>
      <c r="AN138" s="62" t="n">
        <f aca="false">AK138+AL138-AM138</f>
        <v>10000</v>
      </c>
    </row>
    <row collapsed="false" customFormat="false" customHeight="false" hidden="false" ht="25.5" outlineLevel="0" r="139">
      <c r="A139" s="19" t="n">
        <f aca="false">VLOOKUP(B139,справочник!$B$2:$E$322,4,0)</f>
        <v>112</v>
      </c>
      <c r="B139" s="0" t="e">
        <f aca="false">CONCATENATE(C139;D139)</f>
        <v>#VALUE!</v>
      </c>
      <c r="C139" s="24" t="n">
        <v>117</v>
      </c>
      <c r="D139" s="29" t="s">
        <v>166</v>
      </c>
      <c r="E139" s="24"/>
      <c r="F139" s="30" t="n">
        <v>41101</v>
      </c>
      <c r="G139" s="30" t="n">
        <v>41091</v>
      </c>
      <c r="H139" s="31" t="n">
        <f aca="false">INT(($H$325-G139)/30)</f>
        <v>42</v>
      </c>
      <c r="I139" s="24" t="n">
        <f aca="false">H139*1000</f>
        <v>42000</v>
      </c>
      <c r="J139" s="31" t="n">
        <f aca="false">25000</f>
        <v>25000</v>
      </c>
      <c r="K139" s="31"/>
      <c r="L139" s="59" t="n">
        <f aca="false">I139-J139-K139</f>
        <v>17000</v>
      </c>
      <c r="M139" s="60"/>
      <c r="N139" s="60" t="n">
        <v>4800</v>
      </c>
      <c r="O139" s="60"/>
      <c r="P139" s="60"/>
      <c r="Q139" s="60"/>
      <c r="R139" s="60"/>
      <c r="S139" s="60" t="n">
        <v>4800</v>
      </c>
      <c r="T139" s="60"/>
      <c r="U139" s="60"/>
      <c r="V139" s="60"/>
      <c r="W139" s="60"/>
      <c r="X139" s="60" t="n">
        <v>4800</v>
      </c>
      <c r="Y139" s="59" t="n">
        <f aca="false">SUM(M139:X139)</f>
        <v>14400</v>
      </c>
      <c r="Z139" s="59" t="n">
        <v>12</v>
      </c>
      <c r="AA139" s="59" t="n">
        <f aca="false">Z139*800</f>
        <v>9600</v>
      </c>
      <c r="AB139" s="59" t="n">
        <f aca="false">L139+AA139-Y139</f>
        <v>12200</v>
      </c>
      <c r="AC139" s="60" t="n">
        <v>800</v>
      </c>
      <c r="AD139" s="83"/>
      <c r="AE139" s="62" t="n">
        <f aca="false">AB139+AC139-AD139</f>
        <v>13000</v>
      </c>
      <c r="AF139" s="60" t="n">
        <v>800</v>
      </c>
      <c r="AG139" s="83"/>
      <c r="AH139" s="62" t="n">
        <f aca="false">AE139+AF139-AG139</f>
        <v>13800</v>
      </c>
      <c r="AI139" s="60" t="n">
        <v>800</v>
      </c>
      <c r="AJ139" s="83"/>
      <c r="AK139" s="62" t="n">
        <f aca="false">AH139+AI139-AJ139</f>
        <v>14600</v>
      </c>
      <c r="AL139" s="60" t="n">
        <v>800</v>
      </c>
      <c r="AM139" s="83"/>
      <c r="AN139" s="62" t="n">
        <f aca="false">AK139+AL139-AM139</f>
        <v>15400</v>
      </c>
    </row>
    <row collapsed="false" customFormat="false" customHeight="false" hidden="false" ht="15" outlineLevel="0" r="140">
      <c r="A140" s="19" t="n">
        <f aca="false">VLOOKUP(B140,справочник!$B$2:$E$322,4,0)</f>
        <v>190</v>
      </c>
      <c r="B140" s="0" t="e">
        <f aca="false">CONCATENATE(C140;D140)</f>
        <v>#VALUE!</v>
      </c>
      <c r="C140" s="24" t="n">
        <v>198</v>
      </c>
      <c r="D140" s="29" t="s">
        <v>117</v>
      </c>
      <c r="E140" s="24" t="s">
        <v>503</v>
      </c>
      <c r="F140" s="30" t="n">
        <v>41407</v>
      </c>
      <c r="G140" s="30" t="n">
        <v>41426</v>
      </c>
      <c r="H140" s="31" t="n">
        <f aca="false">INT(($H$325-G140)/30)</f>
        <v>31</v>
      </c>
      <c r="I140" s="24" t="n">
        <f aca="false">H140*1000</f>
        <v>31000</v>
      </c>
      <c r="J140" s="31" t="n">
        <v>15000</v>
      </c>
      <c r="K140" s="31"/>
      <c r="L140" s="59" t="n">
        <f aca="false">I140-J140-K140</f>
        <v>16000</v>
      </c>
      <c r="M140" s="60"/>
      <c r="N140" s="60"/>
      <c r="O140" s="60"/>
      <c r="P140" s="60"/>
      <c r="Q140" s="60"/>
      <c r="R140" s="60" t="n">
        <v>800</v>
      </c>
      <c r="S140" s="60"/>
      <c r="T140" s="60"/>
      <c r="U140" s="60"/>
      <c r="V140" s="60"/>
      <c r="W140" s="60"/>
      <c r="X140" s="60"/>
      <c r="Y140" s="59" t="n">
        <f aca="false">SUM(M140:X140)</f>
        <v>800</v>
      </c>
      <c r="Z140" s="59" t="n">
        <v>12</v>
      </c>
      <c r="AA140" s="59" t="n">
        <f aca="false">Z140*800</f>
        <v>9600</v>
      </c>
      <c r="AB140" s="59" t="n">
        <f aca="false">L140+AA140-Y140</f>
        <v>24800</v>
      </c>
      <c r="AC140" s="60" t="n">
        <v>800</v>
      </c>
      <c r="AD140" s="83"/>
      <c r="AE140" s="62" t="n">
        <f aca="false">AB140+AC140-AD140</f>
        <v>25600</v>
      </c>
      <c r="AF140" s="60" t="n">
        <v>800</v>
      </c>
      <c r="AG140" s="83"/>
      <c r="AH140" s="62" t="n">
        <f aca="false">AE140+AF140-AG140</f>
        <v>26400</v>
      </c>
      <c r="AI140" s="60" t="n">
        <v>800</v>
      </c>
      <c r="AJ140" s="83"/>
      <c r="AK140" s="62" t="n">
        <f aca="false">AH140+AI140-AJ140</f>
        <v>27200</v>
      </c>
      <c r="AL140" s="60" t="n">
        <v>800</v>
      </c>
      <c r="AM140" s="83"/>
      <c r="AN140" s="62" t="n">
        <f aca="false">AK140+AL140-AM140</f>
        <v>28000</v>
      </c>
    </row>
    <row collapsed="false" customFormat="false" customHeight="false" hidden="false" ht="15" outlineLevel="0" r="141">
      <c r="A141" s="19" t="n">
        <f aca="false">VLOOKUP(B141,справочник!$B$2:$E$322,4,0)</f>
        <v>83</v>
      </c>
      <c r="B141" s="0" t="e">
        <f aca="false">CONCATENATE(C141;D141)</f>
        <v>#VALUE!</v>
      </c>
      <c r="C141" s="24" t="n">
        <v>88</v>
      </c>
      <c r="D141" s="29" t="s">
        <v>231</v>
      </c>
      <c r="E141" s="24" t="s">
        <v>504</v>
      </c>
      <c r="F141" s="30" t="n">
        <v>40675</v>
      </c>
      <c r="G141" s="30" t="n">
        <v>40695</v>
      </c>
      <c r="H141" s="31" t="n">
        <f aca="false">INT(($H$325-G141)/30)</f>
        <v>55</v>
      </c>
      <c r="I141" s="24" t="n">
        <f aca="false">H141*1000</f>
        <v>55000</v>
      </c>
      <c r="J141" s="31" t="n">
        <f aca="false">1000+49000</f>
        <v>50000</v>
      </c>
      <c r="K141" s="31"/>
      <c r="L141" s="59" t="n">
        <f aca="false">I141-J141-K141</f>
        <v>5000</v>
      </c>
      <c r="M141" s="60" t="n">
        <v>2800</v>
      </c>
      <c r="N141" s="60" t="n">
        <v>800</v>
      </c>
      <c r="O141" s="60" t="n">
        <v>800</v>
      </c>
      <c r="P141" s="60" t="n">
        <v>800</v>
      </c>
      <c r="Q141" s="60" t="n">
        <v>800</v>
      </c>
      <c r="R141" s="60" t="n">
        <v>800</v>
      </c>
      <c r="S141" s="60" t="n">
        <v>800</v>
      </c>
      <c r="T141" s="0" t="n">
        <v>800</v>
      </c>
      <c r="U141" s="60"/>
      <c r="V141" s="60" t="n">
        <v>1600</v>
      </c>
      <c r="W141" s="60" t="n">
        <v>800</v>
      </c>
      <c r="X141" s="60" t="n">
        <v>800</v>
      </c>
      <c r="Y141" s="59" t="n">
        <f aca="false">SUM(M141:X141)</f>
        <v>11600</v>
      </c>
      <c r="Z141" s="59" t="n">
        <v>12</v>
      </c>
      <c r="AA141" s="59" t="n">
        <f aca="false">Z141*800</f>
        <v>9600</v>
      </c>
      <c r="AB141" s="59" t="n">
        <f aca="false">L141+AA141-Y141</f>
        <v>3000</v>
      </c>
      <c r="AC141" s="60" t="n">
        <v>800</v>
      </c>
      <c r="AD141" s="84" t="n">
        <v>800</v>
      </c>
      <c r="AE141" s="62" t="n">
        <f aca="false">AB141+AC141-AD141</f>
        <v>3000</v>
      </c>
      <c r="AF141" s="60" t="n">
        <v>800</v>
      </c>
      <c r="AG141" s="84"/>
      <c r="AH141" s="62" t="n">
        <f aca="false">AE141+AF141-AG141</f>
        <v>3800</v>
      </c>
      <c r="AI141" s="60" t="n">
        <v>800</v>
      </c>
      <c r="AJ141" s="84" t="n">
        <v>1600</v>
      </c>
      <c r="AK141" s="62" t="n">
        <f aca="false">AH141+AI141-AJ141</f>
        <v>3000</v>
      </c>
      <c r="AL141" s="60" t="n">
        <v>800</v>
      </c>
      <c r="AM141" s="84" t="n">
        <f aca="false">3000+800</f>
        <v>3800</v>
      </c>
      <c r="AN141" s="62" t="n">
        <f aca="false">AK141+AL141-AM141</f>
        <v>0</v>
      </c>
    </row>
    <row collapsed="false" customFormat="false" customHeight="false" hidden="false" ht="15" outlineLevel="0" r="142">
      <c r="A142" s="19" t="n">
        <f aca="false">VLOOKUP(B142,справочник!$B$2:$E$322,4,0)</f>
        <v>133</v>
      </c>
      <c r="B142" s="0" t="e">
        <f aca="false">CONCATENATE(C142;D142)</f>
        <v>#VALUE!</v>
      </c>
      <c r="C142" s="24" t="n">
        <v>140</v>
      </c>
      <c r="D142" s="29" t="s">
        <v>296</v>
      </c>
      <c r="E142" s="24" t="s">
        <v>505</v>
      </c>
      <c r="F142" s="30" t="n">
        <v>41008</v>
      </c>
      <c r="G142" s="30" t="n">
        <v>41000</v>
      </c>
      <c r="H142" s="31" t="n">
        <f aca="false">INT(($H$325-G142)/30)</f>
        <v>45</v>
      </c>
      <c r="I142" s="24" t="n">
        <f aca="false">H142*1000</f>
        <v>45000</v>
      </c>
      <c r="J142" s="31" t="n">
        <v>41000</v>
      </c>
      <c r="K142" s="31" t="n">
        <v>4000</v>
      </c>
      <c r="L142" s="59" t="n">
        <f aca="false">I142-J142-K142</f>
        <v>0</v>
      </c>
      <c r="M142" s="60"/>
      <c r="N142" s="60" t="n">
        <v>1000</v>
      </c>
      <c r="O142" s="60" t="n">
        <v>1000</v>
      </c>
      <c r="P142" s="60" t="n">
        <v>1000</v>
      </c>
      <c r="Q142" s="60" t="n">
        <v>1000</v>
      </c>
      <c r="R142" s="60" t="n">
        <v>1000</v>
      </c>
      <c r="S142" s="60" t="n">
        <v>1000</v>
      </c>
      <c r="T142" s="0" t="n">
        <v>1000</v>
      </c>
      <c r="U142" s="60" t="n">
        <v>1000</v>
      </c>
      <c r="V142" s="60" t="n">
        <v>1000</v>
      </c>
      <c r="W142" s="60"/>
      <c r="X142" s="60"/>
      <c r="Y142" s="59" t="n">
        <f aca="false">SUM(M142:X142)</f>
        <v>9000</v>
      </c>
      <c r="Z142" s="59" t="n">
        <v>12</v>
      </c>
      <c r="AA142" s="59" t="n">
        <f aca="false">Z142*800</f>
        <v>9600</v>
      </c>
      <c r="AB142" s="59" t="n">
        <f aca="false">L142+AA142-Y142</f>
        <v>600</v>
      </c>
      <c r="AC142" s="60" t="n">
        <v>800</v>
      </c>
      <c r="AD142" s="83" t="n">
        <v>800</v>
      </c>
      <c r="AE142" s="62" t="n">
        <f aca="false">AB142+AC142-AD142</f>
        <v>600</v>
      </c>
      <c r="AF142" s="60" t="n">
        <v>800</v>
      </c>
      <c r="AG142" s="83" t="n">
        <v>800</v>
      </c>
      <c r="AH142" s="62" t="n">
        <f aca="false">AE142+AF142-AG142</f>
        <v>600</v>
      </c>
      <c r="AI142" s="60" t="n">
        <v>800</v>
      </c>
      <c r="AJ142" s="83"/>
      <c r="AK142" s="62" t="n">
        <f aca="false">AH142+AI142-AJ142</f>
        <v>1400</v>
      </c>
      <c r="AL142" s="60" t="n">
        <v>800</v>
      </c>
      <c r="AM142" s="83" t="n">
        <v>1400</v>
      </c>
      <c r="AN142" s="62" t="n">
        <f aca="false">AK142+AL142-AM142</f>
        <v>800</v>
      </c>
    </row>
    <row collapsed="false" customFormat="false" customHeight="false" hidden="false" ht="15" outlineLevel="0" r="143">
      <c r="A143" s="19" t="n">
        <f aca="false">VLOOKUP(B143,справочник!$B$2:$E$322,4,0)</f>
        <v>202</v>
      </c>
      <c r="B143" s="0" t="e">
        <f aca="false">CONCATENATE(C143;D143)</f>
        <v>#VALUE!</v>
      </c>
      <c r="C143" s="24" t="n">
        <v>212</v>
      </c>
      <c r="D143" s="29" t="s">
        <v>77</v>
      </c>
      <c r="E143" s="24" t="s">
        <v>506</v>
      </c>
      <c r="F143" s="30" t="n">
        <v>41100</v>
      </c>
      <c r="G143" s="30" t="n">
        <v>41091</v>
      </c>
      <c r="H143" s="31" t="n">
        <f aca="false">INT(($H$325-G143)/30)</f>
        <v>42</v>
      </c>
      <c r="I143" s="24" t="n">
        <f aca="false">H143*1000</f>
        <v>42000</v>
      </c>
      <c r="J143" s="31" t="n">
        <v>18000</v>
      </c>
      <c r="K143" s="31"/>
      <c r="L143" s="59" t="n">
        <f aca="false">I143-J143-K143</f>
        <v>24000</v>
      </c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59" t="n">
        <f aca="false">SUM(M143:X143)</f>
        <v>0</v>
      </c>
      <c r="Z143" s="59" t="n">
        <v>12</v>
      </c>
      <c r="AA143" s="59" t="n">
        <f aca="false">Z143*800</f>
        <v>9600</v>
      </c>
      <c r="AB143" s="59" t="n">
        <f aca="false">L143+AA143-Y143</f>
        <v>33600</v>
      </c>
      <c r="AC143" s="60" t="n">
        <v>800</v>
      </c>
      <c r="AD143" s="61"/>
      <c r="AE143" s="62" t="n">
        <f aca="false">AB143+AC143-AD143</f>
        <v>34400</v>
      </c>
      <c r="AF143" s="60" t="n">
        <v>800</v>
      </c>
      <c r="AG143" s="61"/>
      <c r="AH143" s="62" t="n">
        <f aca="false">AE143+AF143-AG143</f>
        <v>35200</v>
      </c>
      <c r="AI143" s="60" t="n">
        <v>800</v>
      </c>
      <c r="AJ143" s="61"/>
      <c r="AK143" s="62" t="n">
        <f aca="false">AH143+AI143-AJ143</f>
        <v>36000</v>
      </c>
      <c r="AL143" s="60" t="n">
        <v>800</v>
      </c>
      <c r="AM143" s="61"/>
      <c r="AN143" s="62" t="n">
        <f aca="false">AK143+AL143-AM143</f>
        <v>36800</v>
      </c>
    </row>
    <row collapsed="false" customFormat="false" customHeight="false" hidden="false" ht="15" outlineLevel="0" r="144">
      <c r="A144" s="19" t="n">
        <f aca="false">VLOOKUP(B144,справочник!$B$2:$E$322,4,0)</f>
        <v>192</v>
      </c>
      <c r="B144" s="0" t="e">
        <f aca="false">CONCATENATE(C144;D144)</f>
        <v>#VALUE!</v>
      </c>
      <c r="C144" s="24" t="n">
        <v>200</v>
      </c>
      <c r="D144" s="29" t="s">
        <v>109</v>
      </c>
      <c r="E144" s="24" t="s">
        <v>507</v>
      </c>
      <c r="F144" s="30" t="n">
        <v>41829</v>
      </c>
      <c r="G144" s="30" t="n">
        <v>41852</v>
      </c>
      <c r="H144" s="31" t="n">
        <f aca="false">INT(($H$325-G144)/30)</f>
        <v>17</v>
      </c>
      <c r="I144" s="24" t="n">
        <f aca="false">H144*1000</f>
        <v>17000</v>
      </c>
      <c r="J144" s="31"/>
      <c r="K144" s="31"/>
      <c r="L144" s="59" t="n">
        <f aca="false">I144-J144-K144</f>
        <v>17000</v>
      </c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59" t="n">
        <f aca="false">SUM(M144:X144)</f>
        <v>0</v>
      </c>
      <c r="Z144" s="59" t="n">
        <v>12</v>
      </c>
      <c r="AA144" s="59" t="n">
        <f aca="false">Z144*800</f>
        <v>9600</v>
      </c>
      <c r="AB144" s="59" t="n">
        <f aca="false">L144+AA144-Y144</f>
        <v>26600</v>
      </c>
      <c r="AC144" s="60" t="n">
        <v>800</v>
      </c>
      <c r="AD144" s="61"/>
      <c r="AE144" s="62" t="n">
        <f aca="false">AB144+AC144-AD144</f>
        <v>27400</v>
      </c>
      <c r="AF144" s="60" t="n">
        <v>800</v>
      </c>
      <c r="AG144" s="61"/>
      <c r="AH144" s="62" t="n">
        <f aca="false">AE144+AF144-AG144</f>
        <v>28200</v>
      </c>
      <c r="AI144" s="60" t="n">
        <v>800</v>
      </c>
      <c r="AJ144" s="61"/>
      <c r="AK144" s="62" t="n">
        <f aca="false">AH144+AI144-AJ144</f>
        <v>29000</v>
      </c>
      <c r="AL144" s="60" t="n">
        <v>800</v>
      </c>
      <c r="AM144" s="61"/>
      <c r="AN144" s="62" t="n">
        <f aca="false">AK144+AL144-AM144</f>
        <v>29800</v>
      </c>
    </row>
    <row collapsed="false" customFormat="false" customHeight="false" hidden="false" ht="15" outlineLevel="0" r="145">
      <c r="A145" s="19" t="n">
        <f aca="false">VLOOKUP(B145,справочник!$B$2:$E$322,4,0)</f>
        <v>289</v>
      </c>
      <c r="B145" s="0" t="e">
        <f aca="false">CONCATENATE(C145;D145)</f>
        <v>#VALUE!</v>
      </c>
      <c r="C145" s="24" t="n">
        <v>301</v>
      </c>
      <c r="D145" s="29" t="s">
        <v>158</v>
      </c>
      <c r="E145" s="24" t="s">
        <v>508</v>
      </c>
      <c r="F145" s="30" t="n">
        <v>41976</v>
      </c>
      <c r="G145" s="30" t="n">
        <v>42005</v>
      </c>
      <c r="H145" s="31" t="n">
        <f aca="false">INT(($H$325-G145)/30)</f>
        <v>12</v>
      </c>
      <c r="I145" s="24" t="n">
        <f aca="false">H145*1000</f>
        <v>12000</v>
      </c>
      <c r="J145" s="31" t="n">
        <v>3000</v>
      </c>
      <c r="K145" s="31"/>
      <c r="L145" s="59" t="n">
        <f aca="false">I145-J145-K145</f>
        <v>9000</v>
      </c>
      <c r="M145" s="60"/>
      <c r="N145" s="60"/>
      <c r="O145" s="60"/>
      <c r="P145" s="60"/>
      <c r="Q145" s="60"/>
      <c r="R145" s="60"/>
      <c r="S145" s="60"/>
      <c r="T145" s="60"/>
      <c r="U145" s="60"/>
      <c r="V145" s="60" t="n">
        <v>10000</v>
      </c>
      <c r="W145" s="60"/>
      <c r="X145" s="60"/>
      <c r="Y145" s="59" t="n">
        <f aca="false">SUM(M145:X145)</f>
        <v>10000</v>
      </c>
      <c r="Z145" s="59" t="n">
        <v>12</v>
      </c>
      <c r="AA145" s="59" t="n">
        <f aca="false">Z145*800</f>
        <v>9600</v>
      </c>
      <c r="AB145" s="59" t="n">
        <f aca="false">L145+AA145-Y145</f>
        <v>8600</v>
      </c>
      <c r="AC145" s="60" t="n">
        <v>800</v>
      </c>
      <c r="AD145" s="61"/>
      <c r="AE145" s="62" t="n">
        <f aca="false">AB145+AC145-AD145</f>
        <v>9400</v>
      </c>
      <c r="AF145" s="60" t="n">
        <v>800</v>
      </c>
      <c r="AG145" s="61"/>
      <c r="AH145" s="62" t="n">
        <f aca="false">AE145+AF145-AG145</f>
        <v>10200</v>
      </c>
      <c r="AI145" s="60" t="n">
        <v>800</v>
      </c>
      <c r="AJ145" s="61" t="n">
        <v>5000</v>
      </c>
      <c r="AK145" s="62" t="n">
        <f aca="false">AH145+AI145-AJ145</f>
        <v>6000</v>
      </c>
      <c r="AL145" s="60" t="n">
        <v>800</v>
      </c>
      <c r="AM145" s="61"/>
      <c r="AN145" s="62" t="n">
        <f aca="false">AK145+AL145-AM145</f>
        <v>6800</v>
      </c>
    </row>
    <row collapsed="false" customFormat="false" customHeight="false" hidden="false" ht="15" outlineLevel="0" r="146">
      <c r="A146" s="19" t="n">
        <f aca="false">VLOOKUP(B146,справочник!$B$2:$E$322,4,0)</f>
        <v>143</v>
      </c>
      <c r="B146" s="0" t="e">
        <f aca="false">CONCATENATE(C146;D146)</f>
        <v>#VALUE!</v>
      </c>
      <c r="C146" s="24" t="n">
        <v>151</v>
      </c>
      <c r="D146" s="29" t="s">
        <v>162</v>
      </c>
      <c r="E146" s="24" t="s">
        <v>509</v>
      </c>
      <c r="F146" s="30" t="n">
        <v>40841</v>
      </c>
      <c r="G146" s="30" t="n">
        <v>40848</v>
      </c>
      <c r="H146" s="31" t="n">
        <f aca="false">INT(($H$325-G146)/30)</f>
        <v>50</v>
      </c>
      <c r="I146" s="24" t="n">
        <f aca="false">H146*1000</f>
        <v>50000</v>
      </c>
      <c r="J146" s="31" t="n">
        <v>37000</v>
      </c>
      <c r="K146" s="31"/>
      <c r="L146" s="59" t="n">
        <f aca="false">I146-J146-K146</f>
        <v>13000</v>
      </c>
      <c r="M146" s="60"/>
      <c r="N146" s="60"/>
      <c r="O146" s="60"/>
      <c r="P146" s="60"/>
      <c r="Q146" s="60"/>
      <c r="R146" s="60" t="n">
        <v>4800</v>
      </c>
      <c r="S146" s="60"/>
      <c r="T146" s="60"/>
      <c r="U146" s="60"/>
      <c r="V146" s="60" t="n">
        <v>2900</v>
      </c>
      <c r="W146" s="60"/>
      <c r="X146" s="60" t="n">
        <v>2400</v>
      </c>
      <c r="Y146" s="59" t="n">
        <f aca="false">SUM(M146:X146)</f>
        <v>10100</v>
      </c>
      <c r="Z146" s="59" t="n">
        <v>12</v>
      </c>
      <c r="AA146" s="59" t="n">
        <f aca="false">Z146*800</f>
        <v>9600</v>
      </c>
      <c r="AB146" s="59" t="n">
        <f aca="false">L146+AA146-Y146</f>
        <v>12500</v>
      </c>
      <c r="AC146" s="60" t="n">
        <v>800</v>
      </c>
      <c r="AD146" s="61"/>
      <c r="AE146" s="62" t="n">
        <f aca="false">AB146+AC146-AD146</f>
        <v>13300</v>
      </c>
      <c r="AF146" s="60" t="n">
        <v>800</v>
      </c>
      <c r="AG146" s="61"/>
      <c r="AH146" s="62" t="n">
        <f aca="false">AE146+AF146-AG146</f>
        <v>14100</v>
      </c>
      <c r="AI146" s="60" t="n">
        <v>800</v>
      </c>
      <c r="AJ146" s="61" t="n">
        <v>2400</v>
      </c>
      <c r="AK146" s="62" t="n">
        <f aca="false">AH146+AI146-AJ146</f>
        <v>12500</v>
      </c>
      <c r="AL146" s="60" t="n">
        <v>800</v>
      </c>
      <c r="AM146" s="61"/>
      <c r="AN146" s="62" t="n">
        <f aca="false">AK146+AL146-AM146</f>
        <v>13300</v>
      </c>
    </row>
    <row collapsed="false" customFormat="false" customHeight="false" hidden="false" ht="15" outlineLevel="0" r="147">
      <c r="A147" s="19" t="n">
        <f aca="false">VLOOKUP(B147,справочник!$B$2:$E$322,4,0)</f>
        <v>62</v>
      </c>
      <c r="B147" s="0" t="e">
        <f aca="false">CONCATENATE(C147;D147)</f>
        <v>#VALUE!</v>
      </c>
      <c r="C147" s="24" t="n">
        <v>64</v>
      </c>
      <c r="D147" s="29" t="s">
        <v>253</v>
      </c>
      <c r="E147" s="24" t="s">
        <v>510</v>
      </c>
      <c r="F147" s="30" t="n">
        <v>40816</v>
      </c>
      <c r="G147" s="30" t="n">
        <v>40817</v>
      </c>
      <c r="H147" s="31" t="n">
        <f aca="false">INT(($H$325-G147)/30)</f>
        <v>51</v>
      </c>
      <c r="I147" s="24" t="n">
        <f aca="false">H147*1000</f>
        <v>51000</v>
      </c>
      <c r="J147" s="31" t="n">
        <f aca="false">1000+47000</f>
        <v>48000</v>
      </c>
      <c r="K147" s="31" t="n">
        <v>3000</v>
      </c>
      <c r="L147" s="59" t="n">
        <f aca="false">I147-J147-K147</f>
        <v>0</v>
      </c>
      <c r="M147" s="85"/>
      <c r="N147" s="85"/>
      <c r="O147" s="85" t="n">
        <v>3200</v>
      </c>
      <c r="P147" s="85"/>
      <c r="Q147" s="85"/>
      <c r="R147" s="85"/>
      <c r="S147" s="85"/>
      <c r="T147" s="0" t="n">
        <v>3200</v>
      </c>
      <c r="U147" s="85"/>
      <c r="V147" s="85"/>
      <c r="W147" s="85"/>
      <c r="X147" s="85" t="n">
        <v>3200</v>
      </c>
      <c r="Y147" s="59" t="n">
        <f aca="false">SUM(M147:X147)</f>
        <v>9600</v>
      </c>
      <c r="Z147" s="59" t="n">
        <v>12</v>
      </c>
      <c r="AA147" s="59" t="n">
        <f aca="false">Z147*800</f>
        <v>9600</v>
      </c>
      <c r="AB147" s="59" t="n">
        <f aca="false">L147+AA147-Y147</f>
        <v>0</v>
      </c>
      <c r="AC147" s="60" t="n">
        <v>800</v>
      </c>
      <c r="AD147" s="61"/>
      <c r="AE147" s="62" t="n">
        <f aca="false">AB147+AC147-AD147</f>
        <v>800</v>
      </c>
      <c r="AF147" s="60" t="n">
        <v>800</v>
      </c>
      <c r="AG147" s="61"/>
      <c r="AH147" s="62" t="n">
        <f aca="false">AE147+AF147-AG147</f>
        <v>1600</v>
      </c>
      <c r="AI147" s="60" t="n">
        <v>800</v>
      </c>
      <c r="AJ147" s="61"/>
      <c r="AK147" s="62" t="n">
        <f aca="false">AH147+AI147-AJ147</f>
        <v>2400</v>
      </c>
      <c r="AL147" s="60" t="n">
        <v>800</v>
      </c>
      <c r="AM147" s="61" t="n">
        <v>4000</v>
      </c>
      <c r="AN147" s="62" t="n">
        <f aca="false">AK147+AL147-AM147</f>
        <v>-800</v>
      </c>
    </row>
    <row collapsed="false" customFormat="false" customHeight="false" hidden="false" ht="15" outlineLevel="0" r="148">
      <c r="A148" s="19" t="n">
        <f aca="false">VLOOKUP(B148,справочник!$B$2:$E$322,4,0)</f>
        <v>225</v>
      </c>
      <c r="B148" s="0" t="e">
        <f aca="false">CONCATENATE(C148;D148)</f>
        <v>#VALUE!</v>
      </c>
      <c r="C148" s="24" t="n">
        <v>234</v>
      </c>
      <c r="D148" s="29" t="s">
        <v>114</v>
      </c>
      <c r="E148" s="24" t="s">
        <v>511</v>
      </c>
      <c r="F148" s="30" t="n">
        <v>41871</v>
      </c>
      <c r="G148" s="30" t="n">
        <v>41883</v>
      </c>
      <c r="H148" s="31" t="n">
        <f aca="false">INT(($H$325-G148)/30)</f>
        <v>16</v>
      </c>
      <c r="I148" s="24" t="n">
        <f aca="false">H148*1000</f>
        <v>16000</v>
      </c>
      <c r="J148" s="31"/>
      <c r="K148" s="31"/>
      <c r="L148" s="59" t="n">
        <f aca="false">I148-J148-K148</f>
        <v>16000</v>
      </c>
      <c r="M148" s="85"/>
      <c r="N148" s="85"/>
      <c r="O148" s="85"/>
      <c r="P148" s="85"/>
      <c r="Q148" s="85"/>
      <c r="R148" s="85"/>
      <c r="S148" s="85" t="n">
        <v>16000</v>
      </c>
      <c r="T148" s="85"/>
      <c r="U148" s="85"/>
      <c r="V148" s="85"/>
      <c r="W148" s="85"/>
      <c r="X148" s="85"/>
      <c r="Y148" s="59" t="n">
        <f aca="false">SUM(M148:X148)</f>
        <v>16000</v>
      </c>
      <c r="Z148" s="59" t="n">
        <v>12</v>
      </c>
      <c r="AA148" s="59" t="n">
        <f aca="false">Z148*800</f>
        <v>9600</v>
      </c>
      <c r="AB148" s="59" t="n">
        <f aca="false">L148+AA148-Y148</f>
        <v>9600</v>
      </c>
      <c r="AC148" s="60" t="n">
        <v>800</v>
      </c>
      <c r="AD148" s="61"/>
      <c r="AE148" s="62" t="n">
        <f aca="false">AB148+AC148-AD148</f>
        <v>10400</v>
      </c>
      <c r="AF148" s="60" t="n">
        <v>800</v>
      </c>
      <c r="AG148" s="61"/>
      <c r="AH148" s="62" t="n">
        <f aca="false">AE148+AF148-AG148</f>
        <v>11200</v>
      </c>
      <c r="AI148" s="60" t="n">
        <v>800</v>
      </c>
      <c r="AJ148" s="61" t="n">
        <v>6400</v>
      </c>
      <c r="AK148" s="62" t="n">
        <f aca="false">AH148+AI148-AJ148</f>
        <v>5600</v>
      </c>
      <c r="AL148" s="60" t="n">
        <v>800</v>
      </c>
      <c r="AM148" s="61"/>
      <c r="AN148" s="62" t="n">
        <f aca="false">AK148+AL148-AM148</f>
        <v>6400</v>
      </c>
    </row>
    <row collapsed="false" customFormat="false" customHeight="false" hidden="false" ht="15" outlineLevel="0" r="149">
      <c r="A149" s="19" t="n">
        <f aca="false">VLOOKUP(B149,справочник!$B$2:$E$322,4,0)</f>
        <v>266</v>
      </c>
      <c r="B149" s="0" t="e">
        <f aca="false">CONCATENATE(C149;D149)</f>
        <v>#VALUE!</v>
      </c>
      <c r="C149" s="24" t="n">
        <v>279</v>
      </c>
      <c r="D149" s="29" t="s">
        <v>145</v>
      </c>
      <c r="E149" s="24" t="s">
        <v>512</v>
      </c>
      <c r="F149" s="30" t="n">
        <v>40799</v>
      </c>
      <c r="G149" s="30" t="n">
        <v>40787</v>
      </c>
      <c r="H149" s="31" t="n">
        <f aca="false">INT(($H$325-G149)/30)</f>
        <v>52</v>
      </c>
      <c r="I149" s="24" t="n">
        <f aca="false">H149*1000</f>
        <v>52000</v>
      </c>
      <c r="J149" s="31" t="n">
        <f aca="false">40000+1000</f>
        <v>41000</v>
      </c>
      <c r="K149" s="31"/>
      <c r="L149" s="59" t="n">
        <f aca="false">I149-J149-K149</f>
        <v>11000</v>
      </c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W149" s="85" t="n">
        <v>18000</v>
      </c>
      <c r="X149" s="85"/>
      <c r="Y149" s="59" t="n">
        <f aca="false">SUM(M149:X149)</f>
        <v>18000</v>
      </c>
      <c r="Z149" s="59" t="n">
        <v>12</v>
      </c>
      <c r="AA149" s="59" t="n">
        <f aca="false">Z149*800</f>
        <v>9600</v>
      </c>
      <c r="AB149" s="59" t="n">
        <f aca="false">L149+AA149-Y149</f>
        <v>2600</v>
      </c>
      <c r="AC149" s="60" t="n">
        <v>800</v>
      </c>
      <c r="AD149" s="61"/>
      <c r="AE149" s="62" t="n">
        <f aca="false">AB149+AC149-AD149</f>
        <v>3400</v>
      </c>
      <c r="AF149" s="60" t="n">
        <v>800</v>
      </c>
      <c r="AG149" s="61"/>
      <c r="AH149" s="62" t="n">
        <f aca="false">AE149+AF149-AG149</f>
        <v>4200</v>
      </c>
      <c r="AI149" s="60" t="n">
        <v>800</v>
      </c>
      <c r="AJ149" s="61"/>
      <c r="AK149" s="62" t="n">
        <f aca="false">AH149+AI149-AJ149</f>
        <v>5000</v>
      </c>
      <c r="AL149" s="60" t="n">
        <v>800</v>
      </c>
      <c r="AM149" s="61" t="n">
        <v>5000</v>
      </c>
      <c r="AN149" s="62" t="n">
        <f aca="false">AK149+AL149-AM149</f>
        <v>800</v>
      </c>
    </row>
    <row collapsed="false" customFormat="false" customHeight="false" hidden="false" ht="15" outlineLevel="0" r="150">
      <c r="A150" s="19" t="n">
        <f aca="false">VLOOKUP(B150,справочник!$B$2:$E$322,4,0)</f>
        <v>157</v>
      </c>
      <c r="B150" s="0" t="e">
        <f aca="false">CONCATENATE(C150;D150)</f>
        <v>#VALUE!</v>
      </c>
      <c r="C150" s="24" t="n">
        <v>165</v>
      </c>
      <c r="D150" s="29" t="s">
        <v>80</v>
      </c>
      <c r="E150" s="24" t="s">
        <v>513</v>
      </c>
      <c r="F150" s="30" t="n">
        <v>40885</v>
      </c>
      <c r="G150" s="30" t="n">
        <v>40878</v>
      </c>
      <c r="H150" s="31" t="n">
        <f aca="false">INT(($H$325-G150)/30)</f>
        <v>49</v>
      </c>
      <c r="I150" s="24" t="n">
        <f aca="false">H150*1000</f>
        <v>49000</v>
      </c>
      <c r="J150" s="31" t="n">
        <f aca="false">12000+13000</f>
        <v>25000</v>
      </c>
      <c r="K150" s="31"/>
      <c r="L150" s="59" t="n">
        <f aca="false">I150-J150-K150</f>
        <v>24000</v>
      </c>
      <c r="M150" s="85" t="n">
        <v>1000</v>
      </c>
      <c r="N150" s="85"/>
      <c r="O150" s="85"/>
      <c r="P150" s="85"/>
      <c r="Q150" s="85"/>
      <c r="R150" s="85"/>
      <c r="S150" s="85"/>
      <c r="T150" s="0" t="n">
        <v>12000</v>
      </c>
      <c r="U150" s="85" t="n">
        <v>12000</v>
      </c>
      <c r="V150" s="85"/>
      <c r="W150" s="85"/>
      <c r="X150" s="85"/>
      <c r="Y150" s="59" t="n">
        <f aca="false">SUM(M150:X150)</f>
        <v>25000</v>
      </c>
      <c r="Z150" s="59" t="n">
        <v>12</v>
      </c>
      <c r="AA150" s="59" t="n">
        <f aca="false">Z150*800</f>
        <v>9600</v>
      </c>
      <c r="AB150" s="59" t="n">
        <f aca="false">L150+AA150-Y150</f>
        <v>8600</v>
      </c>
      <c r="AC150" s="60" t="n">
        <v>800</v>
      </c>
      <c r="AD150" s="61"/>
      <c r="AE150" s="62" t="n">
        <f aca="false">AB150+AC150-AD150</f>
        <v>9400</v>
      </c>
      <c r="AF150" s="60" t="n">
        <v>800</v>
      </c>
      <c r="AG150" s="61"/>
      <c r="AH150" s="62" t="n">
        <f aca="false">AE150+AF150-AG150</f>
        <v>10200</v>
      </c>
      <c r="AI150" s="60" t="n">
        <v>800</v>
      </c>
      <c r="AJ150" s="61"/>
      <c r="AK150" s="62" t="n">
        <f aca="false">AH150+AI150-AJ150</f>
        <v>11000</v>
      </c>
      <c r="AL150" s="60" t="n">
        <v>800</v>
      </c>
      <c r="AM150" s="61"/>
      <c r="AN150" s="62" t="n">
        <f aca="false">AK150+AL150-AM150</f>
        <v>11800</v>
      </c>
    </row>
    <row collapsed="false" customFormat="false" customHeight="false" hidden="false" ht="15" outlineLevel="0" r="151">
      <c r="A151" s="19" t="n">
        <f aca="false">VLOOKUP(B151,справочник!$B$2:$E$322,4,0)</f>
        <v>194</v>
      </c>
      <c r="B151" s="0" t="e">
        <f aca="false">CONCATENATE(C151;D151)</f>
        <v>#VALUE!</v>
      </c>
      <c r="C151" s="24" t="n">
        <v>202</v>
      </c>
      <c r="D151" s="29" t="s">
        <v>227</v>
      </c>
      <c r="E151" s="24" t="s">
        <v>514</v>
      </c>
      <c r="F151" s="30" t="n">
        <v>41898</v>
      </c>
      <c r="G151" s="30" t="n">
        <v>41913</v>
      </c>
      <c r="H151" s="31" t="n">
        <f aca="false">INT(($H$325-G151)/30)</f>
        <v>15</v>
      </c>
      <c r="I151" s="24" t="n">
        <f aca="false">H151*1000</f>
        <v>15000</v>
      </c>
      <c r="J151" s="31" t="n">
        <v>11000</v>
      </c>
      <c r="K151" s="31"/>
      <c r="L151" s="59" t="n">
        <f aca="false">I151-J151-K151</f>
        <v>4000</v>
      </c>
      <c r="M151" s="85"/>
      <c r="N151" s="85" t="n">
        <v>5000</v>
      </c>
      <c r="O151" s="85"/>
      <c r="P151" s="85"/>
      <c r="Q151" s="85"/>
      <c r="R151" s="85"/>
      <c r="S151" s="85"/>
      <c r="T151" s="85"/>
      <c r="U151" s="85" t="n">
        <v>9600</v>
      </c>
      <c r="V151" s="85"/>
      <c r="W151" s="85"/>
      <c r="X151" s="85"/>
      <c r="Y151" s="59" t="n">
        <f aca="false">SUM(M151:X151)</f>
        <v>14600</v>
      </c>
      <c r="Z151" s="59" t="n">
        <v>12</v>
      </c>
      <c r="AA151" s="59" t="n">
        <f aca="false">Z151*800</f>
        <v>9600</v>
      </c>
      <c r="AB151" s="59" t="n">
        <f aca="false">L151+AA151-Y151</f>
        <v>-1000</v>
      </c>
      <c r="AC151" s="60" t="n">
        <v>800</v>
      </c>
      <c r="AD151" s="61"/>
      <c r="AE151" s="62" t="n">
        <f aca="false">AB151+AC151-AD151</f>
        <v>-200</v>
      </c>
      <c r="AF151" s="60" t="n">
        <v>800</v>
      </c>
      <c r="AG151" s="61"/>
      <c r="AH151" s="62" t="n">
        <f aca="false">AE151+AF151-AG151</f>
        <v>600</v>
      </c>
      <c r="AI151" s="60" t="n">
        <v>800</v>
      </c>
      <c r="AJ151" s="61"/>
      <c r="AK151" s="62" t="n">
        <f aca="false">AH151+AI151-AJ151</f>
        <v>1400</v>
      </c>
      <c r="AL151" s="60" t="n">
        <v>800</v>
      </c>
      <c r="AM151" s="61"/>
      <c r="AN151" s="62" t="n">
        <f aca="false">AK151+AL151-AM151</f>
        <v>2200</v>
      </c>
    </row>
    <row collapsed="false" customFormat="false" customHeight="false" hidden="false" ht="15" outlineLevel="0" r="152">
      <c r="A152" s="19" t="n">
        <f aca="false">VLOOKUP(B152,справочник!$B$2:$E$322,4,0)</f>
        <v>65</v>
      </c>
      <c r="B152" s="0" t="e">
        <f aca="false">CONCATENATE(C152;D152)</f>
        <v>#VALUE!</v>
      </c>
      <c r="C152" s="24" t="n">
        <v>67</v>
      </c>
      <c r="D152" s="29" t="s">
        <v>98</v>
      </c>
      <c r="E152" s="24" t="s">
        <v>515</v>
      </c>
      <c r="F152" s="30" t="n">
        <v>40872</v>
      </c>
      <c r="G152" s="30" t="n">
        <v>40848</v>
      </c>
      <c r="H152" s="31" t="n">
        <f aca="false">INT(($H$325-G152)/30)</f>
        <v>50</v>
      </c>
      <c r="I152" s="24" t="n">
        <f aca="false">H152*1000</f>
        <v>50000</v>
      </c>
      <c r="J152" s="31" t="n">
        <f aca="false">30000</f>
        <v>30000</v>
      </c>
      <c r="K152" s="31"/>
      <c r="L152" s="59" t="n">
        <f aca="false">I152-J152-K152</f>
        <v>20000</v>
      </c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Y152" s="59" t="n">
        <f aca="false">SUM(M152:X152)</f>
        <v>0</v>
      </c>
      <c r="Z152" s="59" t="n">
        <v>12</v>
      </c>
      <c r="AA152" s="59" t="n">
        <f aca="false">Z152*800</f>
        <v>9600</v>
      </c>
      <c r="AB152" s="59" t="n">
        <f aca="false">L152+AA152-Y152</f>
        <v>29600</v>
      </c>
      <c r="AC152" s="60" t="n">
        <v>800</v>
      </c>
      <c r="AD152" s="61"/>
      <c r="AE152" s="62" t="n">
        <f aca="false">AB152+AC152-AD152</f>
        <v>30400</v>
      </c>
      <c r="AF152" s="60" t="n">
        <v>800</v>
      </c>
      <c r="AG152" s="61"/>
      <c r="AH152" s="62" t="n">
        <f aca="false">AE152+AF152-AG152</f>
        <v>31200</v>
      </c>
      <c r="AI152" s="60" t="n">
        <v>800</v>
      </c>
      <c r="AJ152" s="61"/>
      <c r="AK152" s="62" t="n">
        <f aca="false">AH152+AI152-AJ152</f>
        <v>32000</v>
      </c>
      <c r="AL152" s="60" t="n">
        <v>800</v>
      </c>
      <c r="AM152" s="61"/>
      <c r="AN152" s="62" t="n">
        <f aca="false">AK152+AL152-AM152</f>
        <v>32800</v>
      </c>
    </row>
    <row collapsed="false" customFormat="true" customHeight="false" hidden="false" ht="15" outlineLevel="0" r="153" s="64">
      <c r="A153" s="63" t="n">
        <f aca="false">VLOOKUP(B153,справочник!$B$2:$E$322,4,0)</f>
        <v>216</v>
      </c>
      <c r="B153" s="64" t="e">
        <f aca="false">CONCATENATE(C153;D153)</f>
        <v>#VALUE!</v>
      </c>
      <c r="C153" s="36" t="n">
        <v>225</v>
      </c>
      <c r="D153" s="86" t="s">
        <v>298</v>
      </c>
      <c r="E153" s="36" t="s">
        <v>516</v>
      </c>
      <c r="F153" s="34" t="n">
        <v>41773</v>
      </c>
      <c r="G153" s="34" t="n">
        <v>41760</v>
      </c>
      <c r="H153" s="35" t="n">
        <f aca="false">INT(($H$325-G153)/30)</f>
        <v>20</v>
      </c>
      <c r="I153" s="36" t="n">
        <f aca="false">H153*1000</f>
        <v>20000</v>
      </c>
      <c r="J153" s="35" t="n">
        <v>20000</v>
      </c>
      <c r="K153" s="35"/>
      <c r="L153" s="66" t="n">
        <f aca="false">I153-J153-K153</f>
        <v>0</v>
      </c>
      <c r="M153" s="87"/>
      <c r="N153" s="87" t="n">
        <v>5200</v>
      </c>
      <c r="O153" s="87"/>
      <c r="P153" s="87"/>
      <c r="Q153" s="87"/>
      <c r="R153" s="87"/>
      <c r="S153" s="87"/>
      <c r="T153" s="87"/>
      <c r="U153" s="87"/>
      <c r="V153" s="87"/>
      <c r="W153" s="87" t="n">
        <v>4400</v>
      </c>
      <c r="X153" s="87"/>
      <c r="Y153" s="66" t="n">
        <f aca="false">SUM(M153:X153)</f>
        <v>9600</v>
      </c>
      <c r="Z153" s="66" t="n">
        <v>12</v>
      </c>
      <c r="AA153" s="66" t="n">
        <f aca="false">Z153*800</f>
        <v>9600</v>
      </c>
      <c r="AB153" s="66" t="n">
        <f aca="false">L153+AA153-Y153</f>
        <v>0</v>
      </c>
      <c r="AC153" s="66" t="n">
        <v>0</v>
      </c>
      <c r="AD153" s="67"/>
      <c r="AE153" s="68" t="n">
        <f aca="false">SUM(AB153:AB154)+SUM(AC153:AC154)-SUM(AD153:AD154)</f>
        <v>800</v>
      </c>
      <c r="AF153" s="66" t="n">
        <v>0</v>
      </c>
      <c r="AG153" s="67"/>
      <c r="AH153" s="68" t="n">
        <f aca="false">SUM(AE153:AE154)+SUM(AF153:AF154)-SUM(AG153:AG154)</f>
        <v>1600</v>
      </c>
      <c r="AI153" s="66" t="n">
        <v>0</v>
      </c>
      <c r="AJ153" s="67"/>
      <c r="AK153" s="68" t="n">
        <f aca="false">SUM(AH153:AH154)+SUM(AI153:AI154)-SUM(AJ153:AJ154)</f>
        <v>2400</v>
      </c>
      <c r="AL153" s="66" t="n">
        <v>0</v>
      </c>
      <c r="AM153" s="67"/>
      <c r="AN153" s="68" t="n">
        <f aca="false">SUM(AK153:AK154)+SUM(AL153:AL154)-SUM(AM153:AM154)</f>
        <v>-800</v>
      </c>
    </row>
    <row collapsed="false" customFormat="false" customHeight="false" hidden="false" ht="15" outlineLevel="0" r="154">
      <c r="A154" s="63" t="n">
        <f aca="false">VLOOKUP(B154,справочник!$B$2:$E$322,4,0)</f>
        <v>216</v>
      </c>
      <c r="B154" s="64" t="e">
        <f aca="false">CONCATENATE(C154;D154)</f>
        <v>#VALUE!</v>
      </c>
      <c r="C154" s="36" t="n">
        <v>226</v>
      </c>
      <c r="D154" s="86" t="s">
        <v>298</v>
      </c>
      <c r="E154" s="36" t="s">
        <v>517</v>
      </c>
      <c r="F154" s="34" t="n">
        <v>41773</v>
      </c>
      <c r="G154" s="34" t="n">
        <v>41760</v>
      </c>
      <c r="H154" s="35" t="n">
        <f aca="false">INT(($H$325-G154)/30)</f>
        <v>20</v>
      </c>
      <c r="I154" s="36" t="n">
        <f aca="false">H154*1000</f>
        <v>20000</v>
      </c>
      <c r="J154" s="35" t="n">
        <v>20000</v>
      </c>
      <c r="K154" s="35"/>
      <c r="L154" s="66" t="n">
        <f aca="false">I154-J154-K154</f>
        <v>0</v>
      </c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66" t="n">
        <f aca="false">SUM(M154:X154)</f>
        <v>0</v>
      </c>
      <c r="Z154" s="66" t="n">
        <v>0</v>
      </c>
      <c r="AA154" s="66" t="n">
        <f aca="false">Z154*800</f>
        <v>0</v>
      </c>
      <c r="AB154" s="66" t="n">
        <f aca="false">L154+AA154-Y154</f>
        <v>0</v>
      </c>
      <c r="AC154" s="66" t="n">
        <v>800</v>
      </c>
      <c r="AD154" s="67"/>
      <c r="AE154" s="68"/>
      <c r="AF154" s="66" t="n">
        <v>800</v>
      </c>
      <c r="AG154" s="67"/>
      <c r="AH154" s="68"/>
      <c r="AI154" s="66" t="n">
        <v>800</v>
      </c>
      <c r="AJ154" s="67"/>
      <c r="AK154" s="68"/>
      <c r="AL154" s="66" t="n">
        <v>800</v>
      </c>
      <c r="AM154" s="67" t="n">
        <v>4000</v>
      </c>
      <c r="AN154" s="68"/>
    </row>
    <row collapsed="false" customFormat="false" customHeight="false" hidden="false" ht="15" outlineLevel="0" r="155">
      <c r="A155" s="19" t="n">
        <f aca="false">VLOOKUP(B155,справочник!$B$2:$E$322,4,0)</f>
        <v>56</v>
      </c>
      <c r="B155" s="0" t="e">
        <f aca="false">CONCATENATE(C155;D155)</f>
        <v>#VALUE!</v>
      </c>
      <c r="C155" s="24" t="n">
        <v>58</v>
      </c>
      <c r="D155" s="29" t="s">
        <v>27</v>
      </c>
      <c r="E155" s="24" t="s">
        <v>518</v>
      </c>
      <c r="F155" s="30" t="n">
        <v>40715</v>
      </c>
      <c r="G155" s="30" t="n">
        <v>40725</v>
      </c>
      <c r="H155" s="31" t="n">
        <f aca="false">INT(($H$325-G155)/30)</f>
        <v>54</v>
      </c>
      <c r="I155" s="24" t="n">
        <f aca="false">H155*1000</f>
        <v>54000</v>
      </c>
      <c r="J155" s="31" t="n">
        <v>1000</v>
      </c>
      <c r="K155" s="31"/>
      <c r="L155" s="59" t="n">
        <f aca="false">I155-J155-K155</f>
        <v>53000</v>
      </c>
      <c r="M155" s="85"/>
      <c r="N155" s="85"/>
      <c r="O155" s="85"/>
      <c r="P155" s="85"/>
      <c r="Q155" s="85"/>
      <c r="R155" s="85"/>
      <c r="S155" s="85"/>
      <c r="T155" s="85"/>
      <c r="U155" s="85"/>
      <c r="V155" s="85"/>
      <c r="W155" s="85"/>
      <c r="X155" s="85"/>
      <c r="Y155" s="59" t="n">
        <f aca="false">SUM(M155:X155)</f>
        <v>0</v>
      </c>
      <c r="Z155" s="59" t="n">
        <v>12</v>
      </c>
      <c r="AA155" s="59" t="n">
        <f aca="false">Z155*800</f>
        <v>9600</v>
      </c>
      <c r="AB155" s="59" t="n">
        <f aca="false">L155+AA155-Y155</f>
        <v>62600</v>
      </c>
      <c r="AC155" s="60" t="n">
        <v>800</v>
      </c>
      <c r="AD155" s="61"/>
      <c r="AE155" s="62" t="n">
        <f aca="false">AB155+AC155-AD155</f>
        <v>63400</v>
      </c>
      <c r="AF155" s="60" t="n">
        <v>800</v>
      </c>
      <c r="AG155" s="61"/>
      <c r="AH155" s="62" t="n">
        <f aca="false">AE155+AF155-AG155</f>
        <v>64200</v>
      </c>
      <c r="AI155" s="60" t="n">
        <v>800</v>
      </c>
      <c r="AJ155" s="61"/>
      <c r="AK155" s="62" t="n">
        <f aca="false">AH155+AI155-AJ155</f>
        <v>65000</v>
      </c>
      <c r="AL155" s="60" t="n">
        <v>800</v>
      </c>
      <c r="AM155" s="61"/>
      <c r="AN155" s="62" t="n">
        <f aca="false">AK155+AL155-AM155</f>
        <v>65800</v>
      </c>
    </row>
    <row collapsed="false" customFormat="false" customHeight="false" hidden="false" ht="15" outlineLevel="0" r="156">
      <c r="A156" s="19" t="n">
        <f aca="false">VLOOKUP(B156,справочник!$B$2:$E$322,4,0)</f>
        <v>150</v>
      </c>
      <c r="B156" s="0" t="e">
        <f aca="false">CONCATENATE(C156;D156)</f>
        <v>#VALUE!</v>
      </c>
      <c r="C156" s="24" t="n">
        <v>158</v>
      </c>
      <c r="D156" s="29" t="s">
        <v>59</v>
      </c>
      <c r="E156" s="24" t="s">
        <v>519</v>
      </c>
      <c r="F156" s="30" t="n">
        <v>40770</v>
      </c>
      <c r="G156" s="30" t="n">
        <v>40787</v>
      </c>
      <c r="H156" s="31" t="n">
        <f aca="false">INT(($H$325-G156)/30)</f>
        <v>52</v>
      </c>
      <c r="I156" s="24" t="n">
        <f aca="false">H156*1000</f>
        <v>52000</v>
      </c>
      <c r="J156" s="31" t="n">
        <f aca="false">21000+1000</f>
        <v>22000</v>
      </c>
      <c r="K156" s="31"/>
      <c r="L156" s="59" t="n">
        <f aca="false">I156-J156-K156</f>
        <v>30000</v>
      </c>
      <c r="M156" s="85"/>
      <c r="N156" s="85"/>
      <c r="O156" s="85"/>
      <c r="P156" s="85"/>
      <c r="Q156" s="85"/>
      <c r="R156" s="85"/>
      <c r="S156" s="85"/>
      <c r="T156" s="0" t="n">
        <v>4800</v>
      </c>
      <c r="U156" s="85" t="n">
        <v>6000</v>
      </c>
      <c r="V156" s="85"/>
      <c r="W156" s="85"/>
      <c r="X156" s="85" t="n">
        <v>4800</v>
      </c>
      <c r="Y156" s="59" t="n">
        <f aca="false">SUM(M156:X156)</f>
        <v>15600</v>
      </c>
      <c r="Z156" s="59" t="n">
        <v>12</v>
      </c>
      <c r="AA156" s="59" t="n">
        <f aca="false">Z156*800</f>
        <v>9600</v>
      </c>
      <c r="AB156" s="59" t="n">
        <f aca="false">L156+AA156-Y156</f>
        <v>24000</v>
      </c>
      <c r="AC156" s="60" t="n">
        <v>800</v>
      </c>
      <c r="AD156" s="61"/>
      <c r="AE156" s="62" t="n">
        <f aca="false">AB156+AC156-AD156</f>
        <v>24800</v>
      </c>
      <c r="AF156" s="60" t="n">
        <v>800</v>
      </c>
      <c r="AG156" s="61"/>
      <c r="AH156" s="62" t="n">
        <f aca="false">AE156+AF156-AG156</f>
        <v>25600</v>
      </c>
      <c r="AI156" s="60" t="n">
        <v>800</v>
      </c>
      <c r="AJ156" s="61"/>
      <c r="AK156" s="62" t="n">
        <f aca="false">AH156+AI156-AJ156</f>
        <v>26400</v>
      </c>
      <c r="AL156" s="60" t="n">
        <v>800</v>
      </c>
      <c r="AM156" s="61"/>
      <c r="AN156" s="62" t="n">
        <f aca="false">AK156+AL156-AM156</f>
        <v>27200</v>
      </c>
    </row>
    <row collapsed="false" customFormat="false" customHeight="false" hidden="false" ht="15" outlineLevel="0" r="157">
      <c r="A157" s="19" t="n">
        <f aca="false">VLOOKUP(B157,справочник!$B$2:$E$322,4,0)</f>
        <v>243</v>
      </c>
      <c r="B157" s="0" t="e">
        <f aca="false">CONCATENATE(C157;D157)</f>
        <v>#VALUE!</v>
      </c>
      <c r="C157" s="24" t="n">
        <v>254</v>
      </c>
      <c r="D157" s="29" t="s">
        <v>70</v>
      </c>
      <c r="E157" s="24" t="s">
        <v>520</v>
      </c>
      <c r="F157" s="30" t="n">
        <v>40791</v>
      </c>
      <c r="G157" s="30" t="n">
        <v>40787</v>
      </c>
      <c r="H157" s="31" t="n">
        <f aca="false">INT(($H$325-G157)/30)</f>
        <v>52</v>
      </c>
      <c r="I157" s="24" t="n">
        <f aca="false">H157*1000</f>
        <v>52000</v>
      </c>
      <c r="J157" s="31" t="n">
        <f aca="false">1000</f>
        <v>1000</v>
      </c>
      <c r="K157" s="31" t="n">
        <v>45000</v>
      </c>
      <c r="L157" s="59" t="n">
        <f aca="false">I157-J157-K157</f>
        <v>6000</v>
      </c>
      <c r="M157" s="85" t="n">
        <v>5000</v>
      </c>
      <c r="N157" s="85" t="n">
        <v>4800</v>
      </c>
      <c r="O157" s="85"/>
      <c r="P157" s="85"/>
      <c r="Q157" s="85"/>
      <c r="R157" s="85" t="n">
        <v>4800</v>
      </c>
      <c r="S157" s="85"/>
      <c r="T157" s="85"/>
      <c r="U157" s="85"/>
      <c r="V157" s="85"/>
      <c r="W157" s="85"/>
      <c r="X157" s="85"/>
      <c r="Y157" s="59" t="n">
        <f aca="false">SUM(M157:X157)</f>
        <v>14600</v>
      </c>
      <c r="Z157" s="59" t="n">
        <v>12</v>
      </c>
      <c r="AA157" s="59" t="n">
        <f aca="false">Z157*800</f>
        <v>9600</v>
      </c>
      <c r="AB157" s="59" t="n">
        <f aca="false">L157+AA157-Y157</f>
        <v>1000</v>
      </c>
      <c r="AC157" s="60" t="n">
        <v>800</v>
      </c>
      <c r="AD157" s="61" t="n">
        <v>1600</v>
      </c>
      <c r="AE157" s="62" t="n">
        <f aca="false">AB157+AC157-AD157</f>
        <v>200</v>
      </c>
      <c r="AF157" s="60" t="n">
        <v>800</v>
      </c>
      <c r="AG157" s="61"/>
      <c r="AH157" s="62" t="n">
        <f aca="false">AE157+AF157-AG157</f>
        <v>1000</v>
      </c>
      <c r="AI157" s="60" t="n">
        <v>800</v>
      </c>
      <c r="AJ157" s="61" t="n">
        <v>800</v>
      </c>
      <c r="AK157" s="62" t="n">
        <f aca="false">AH157+AI157-AJ157</f>
        <v>1000</v>
      </c>
      <c r="AL157" s="60" t="n">
        <v>800</v>
      </c>
      <c r="AM157" s="61"/>
      <c r="AN157" s="62" t="n">
        <f aca="false">AK157+AL157-AM157</f>
        <v>1800</v>
      </c>
    </row>
    <row collapsed="false" customFormat="false" customHeight="false" hidden="false" ht="15" outlineLevel="0" r="158">
      <c r="A158" s="19" t="n">
        <f aca="false">VLOOKUP(B158,справочник!$B$2:$E$322,4,0)</f>
        <v>220</v>
      </c>
      <c r="B158" s="0" t="e">
        <f aca="false">CONCATENATE(C158;D158)</f>
        <v>#VALUE!</v>
      </c>
      <c r="C158" s="24" t="n">
        <v>229</v>
      </c>
      <c r="D158" s="29" t="s">
        <v>108</v>
      </c>
      <c r="E158" s="24" t="s">
        <v>521</v>
      </c>
      <c r="F158" s="30" t="n">
        <v>41800</v>
      </c>
      <c r="G158" s="30" t="n">
        <v>41821</v>
      </c>
      <c r="H158" s="31" t="n">
        <f aca="false">INT(($H$325-G158)/30)</f>
        <v>18</v>
      </c>
      <c r="I158" s="24" t="n">
        <f aca="false">H158*1000</f>
        <v>18000</v>
      </c>
      <c r="J158" s="31" t="n">
        <f aca="false">1000</f>
        <v>1000</v>
      </c>
      <c r="K158" s="31"/>
      <c r="L158" s="59" t="n">
        <f aca="false">I158-J158-K158</f>
        <v>17000</v>
      </c>
      <c r="M158" s="85"/>
      <c r="N158" s="85"/>
      <c r="O158" s="85"/>
      <c r="P158" s="85"/>
      <c r="Q158" s="85"/>
      <c r="R158" s="85"/>
      <c r="S158" s="85"/>
      <c r="T158" s="85"/>
      <c r="U158" s="85"/>
      <c r="V158" s="85"/>
      <c r="W158" s="85"/>
      <c r="X158" s="85"/>
      <c r="Y158" s="59" t="n">
        <f aca="false">SUM(M158:X158)</f>
        <v>0</v>
      </c>
      <c r="Z158" s="59" t="n">
        <v>12</v>
      </c>
      <c r="AA158" s="59" t="n">
        <f aca="false">Z158*800</f>
        <v>9600</v>
      </c>
      <c r="AB158" s="59" t="n">
        <f aca="false">L158+AA158-Y158</f>
        <v>26600</v>
      </c>
      <c r="AC158" s="60" t="n">
        <v>800</v>
      </c>
      <c r="AD158" s="61"/>
      <c r="AE158" s="62" t="n">
        <f aca="false">AB158+AC158-AD158</f>
        <v>27400</v>
      </c>
      <c r="AF158" s="60" t="n">
        <v>800</v>
      </c>
      <c r="AG158" s="61"/>
      <c r="AH158" s="62" t="n">
        <f aca="false">AE158+AF158-AG158</f>
        <v>28200</v>
      </c>
      <c r="AI158" s="60" t="n">
        <v>800</v>
      </c>
      <c r="AJ158" s="61"/>
      <c r="AK158" s="62" t="n">
        <f aca="false">AH158+AI158-AJ158</f>
        <v>29000</v>
      </c>
      <c r="AL158" s="60" t="n">
        <v>800</v>
      </c>
      <c r="AM158" s="61"/>
      <c r="AN158" s="62" t="n">
        <f aca="false">AK158+AL158-AM158</f>
        <v>29800</v>
      </c>
    </row>
    <row collapsed="false" customFormat="false" customHeight="false" hidden="false" ht="15" outlineLevel="0" r="159">
      <c r="A159" s="19" t="n">
        <f aca="false">VLOOKUP(B159,справочник!$B$2:$E$322,4,0)</f>
        <v>3</v>
      </c>
      <c r="B159" s="0" t="e">
        <f aca="false">CONCATENATE(C159;D159)</f>
        <v>#VALUE!</v>
      </c>
      <c r="C159" s="24" t="n">
        <v>3</v>
      </c>
      <c r="D159" s="29" t="s">
        <v>90</v>
      </c>
      <c r="E159" s="24" t="s">
        <v>522</v>
      </c>
      <c r="F159" s="30" t="n">
        <v>41954</v>
      </c>
      <c r="G159" s="30" t="n">
        <v>41609</v>
      </c>
      <c r="H159" s="31" t="n">
        <f aca="false">INT(($H$325-G159)/30)</f>
        <v>25</v>
      </c>
      <c r="I159" s="24" t="n">
        <f aca="false">H159*1000</f>
        <v>25000</v>
      </c>
      <c r="J159" s="31" t="n">
        <f aca="false">4000</f>
        <v>4000</v>
      </c>
      <c r="K159" s="31"/>
      <c r="L159" s="59" t="n">
        <f aca="false">I159-J159-K159</f>
        <v>21000</v>
      </c>
      <c r="M159" s="85"/>
      <c r="N159" s="85"/>
      <c r="O159" s="85"/>
      <c r="P159" s="85"/>
      <c r="Q159" s="85"/>
      <c r="R159" s="85"/>
      <c r="S159" s="85"/>
      <c r="T159" s="85"/>
      <c r="U159" s="85" t="n">
        <v>15000</v>
      </c>
      <c r="V159" s="85"/>
      <c r="W159" s="85"/>
      <c r="X159" s="85"/>
      <c r="Y159" s="59" t="n">
        <f aca="false">SUM(M159:X159)</f>
        <v>15000</v>
      </c>
      <c r="Z159" s="59" t="n">
        <v>12</v>
      </c>
      <c r="AA159" s="59" t="n">
        <f aca="false">Z159*800</f>
        <v>9600</v>
      </c>
      <c r="AB159" s="59" t="n">
        <f aca="false">L159+AA159-Y159</f>
        <v>15600</v>
      </c>
      <c r="AC159" s="60" t="n">
        <v>800</v>
      </c>
      <c r="AD159" s="61"/>
      <c r="AE159" s="62" t="n">
        <f aca="false">AB159+AC159-AD159</f>
        <v>16400</v>
      </c>
      <c r="AF159" s="60" t="n">
        <v>800</v>
      </c>
      <c r="AG159" s="61"/>
      <c r="AH159" s="62" t="n">
        <f aca="false">AE159+AF159-AG159</f>
        <v>17200</v>
      </c>
      <c r="AI159" s="60" t="n">
        <v>800</v>
      </c>
      <c r="AJ159" s="61"/>
      <c r="AK159" s="62" t="n">
        <f aca="false">AH159+AI159-AJ159</f>
        <v>18000</v>
      </c>
      <c r="AL159" s="60" t="n">
        <v>800</v>
      </c>
      <c r="AM159" s="61"/>
      <c r="AN159" s="62" t="n">
        <f aca="false">AK159+AL159-AM159</f>
        <v>18800</v>
      </c>
    </row>
    <row collapsed="false" customFormat="false" customHeight="false" hidden="false" ht="15" outlineLevel="0" r="160">
      <c r="A160" s="19" t="n">
        <f aca="false">VLOOKUP(B160,справочник!$B$2:$E$322,4,0)</f>
        <v>158</v>
      </c>
      <c r="B160" s="0" t="e">
        <f aca="false">CONCATENATE(C160;D160)</f>
        <v>#VALUE!</v>
      </c>
      <c r="C160" s="24" t="n">
        <v>166</v>
      </c>
      <c r="D160" s="29" t="s">
        <v>84</v>
      </c>
      <c r="E160" s="24" t="s">
        <v>523</v>
      </c>
      <c r="F160" s="30" t="n">
        <v>41660</v>
      </c>
      <c r="G160" s="30" t="n">
        <v>41671</v>
      </c>
      <c r="H160" s="31" t="n">
        <f aca="false">INT(($H$325-G160)/30)</f>
        <v>23</v>
      </c>
      <c r="I160" s="24" t="n">
        <f aca="false">H160*1000</f>
        <v>23000</v>
      </c>
      <c r="J160" s="31" t="n">
        <f aca="false">1000</f>
        <v>1000</v>
      </c>
      <c r="K160" s="31"/>
      <c r="L160" s="59" t="n">
        <f aca="false">I160-J160-K160</f>
        <v>22000</v>
      </c>
      <c r="M160" s="85"/>
      <c r="N160" s="85"/>
      <c r="O160" s="85"/>
      <c r="P160" s="85"/>
      <c r="Q160" s="85"/>
      <c r="R160" s="85"/>
      <c r="S160" s="85"/>
      <c r="T160" s="85"/>
      <c r="U160" s="85"/>
      <c r="V160" s="85"/>
      <c r="W160" s="85"/>
      <c r="X160" s="85"/>
      <c r="Y160" s="59" t="n">
        <f aca="false">SUM(M160:X160)</f>
        <v>0</v>
      </c>
      <c r="Z160" s="59" t="n">
        <v>12</v>
      </c>
      <c r="AA160" s="59" t="n">
        <f aca="false">Z160*800</f>
        <v>9600</v>
      </c>
      <c r="AB160" s="59" t="n">
        <f aca="false">L160+AA160-Y160</f>
        <v>31600</v>
      </c>
      <c r="AC160" s="60" t="n">
        <v>800</v>
      </c>
      <c r="AD160" s="61"/>
      <c r="AE160" s="62" t="n">
        <f aca="false">AB160+AC160-AD160</f>
        <v>32400</v>
      </c>
      <c r="AF160" s="60" t="n">
        <v>800</v>
      </c>
      <c r="AG160" s="61"/>
      <c r="AH160" s="62" t="n">
        <f aca="false">AE160+AF160-AG160</f>
        <v>33200</v>
      </c>
      <c r="AI160" s="60" t="n">
        <v>800</v>
      </c>
      <c r="AJ160" s="61"/>
      <c r="AK160" s="62" t="n">
        <f aca="false">AH160+AI160-AJ160</f>
        <v>34000</v>
      </c>
      <c r="AL160" s="60" t="n">
        <v>800</v>
      </c>
      <c r="AM160" s="61"/>
      <c r="AN160" s="62" t="n">
        <f aca="false">AK160+AL160-AM160</f>
        <v>34800</v>
      </c>
    </row>
    <row collapsed="false" customFormat="true" customHeight="false" hidden="false" ht="15" outlineLevel="0" r="161" s="64">
      <c r="A161" s="63" t="n">
        <f aca="false">VLOOKUP(B161,справочник!$B$2:$E$322,4,0)</f>
        <v>139</v>
      </c>
      <c r="B161" s="64" t="e">
        <f aca="false">CONCATENATE(C161;D161)</f>
        <v>#VALUE!</v>
      </c>
      <c r="C161" s="36" t="n">
        <v>149</v>
      </c>
      <c r="D161" s="65" t="s">
        <v>51</v>
      </c>
      <c r="E161" s="36" t="s">
        <v>524</v>
      </c>
      <c r="F161" s="34" t="n">
        <v>40715</v>
      </c>
      <c r="G161" s="34" t="n">
        <v>40725</v>
      </c>
      <c r="H161" s="35" t="n">
        <f aca="false">INT(($H$325-G161)/30)</f>
        <v>54</v>
      </c>
      <c r="I161" s="36" t="n">
        <f aca="false">H161*1000</f>
        <v>54000</v>
      </c>
      <c r="J161" s="35" t="n">
        <v>54000</v>
      </c>
      <c r="K161" s="35"/>
      <c r="L161" s="66" t="n">
        <f aca="false">I161-J161-K161</f>
        <v>0</v>
      </c>
      <c r="M161" s="87"/>
      <c r="N161" s="87"/>
      <c r="O161" s="87"/>
      <c r="P161" s="87"/>
      <c r="Q161" s="87" t="n">
        <v>4800</v>
      </c>
      <c r="R161" s="87"/>
      <c r="S161" s="87"/>
      <c r="T161" s="64" t="n">
        <v>4800</v>
      </c>
      <c r="U161" s="87"/>
      <c r="V161" s="87"/>
      <c r="W161" s="87"/>
      <c r="X161" s="87"/>
      <c r="Y161" s="66" t="n">
        <f aca="false">SUM(M161:X161)</f>
        <v>9600</v>
      </c>
      <c r="Z161" s="66" t="n">
        <v>12</v>
      </c>
      <c r="AA161" s="66" t="n">
        <f aca="false">Z161*800</f>
        <v>9600</v>
      </c>
      <c r="AB161" s="66" t="n">
        <f aca="false">L161+AA161-Y161</f>
        <v>0</v>
      </c>
      <c r="AC161" s="66" t="n">
        <v>0</v>
      </c>
      <c r="AD161" s="67"/>
      <c r="AE161" s="68" t="n">
        <f aca="false">AB163+AC163-AD163</f>
        <v>39800</v>
      </c>
      <c r="AF161" s="66" t="n">
        <v>0</v>
      </c>
      <c r="AG161" s="67"/>
      <c r="AH161" s="68" t="n">
        <f aca="false">AE161+AF163-AG163</f>
        <v>35800</v>
      </c>
      <c r="AI161" s="66" t="n">
        <v>0</v>
      </c>
      <c r="AJ161" s="67"/>
      <c r="AK161" s="68" t="n">
        <f aca="false">AH161+AI163-AJ163</f>
        <v>31800</v>
      </c>
      <c r="AL161" s="66" t="n">
        <v>0</v>
      </c>
      <c r="AM161" s="67"/>
      <c r="AN161" s="68" t="n">
        <f aca="false">AK161+AL163-AM163</f>
        <v>19600</v>
      </c>
    </row>
    <row collapsed="false" customFormat="false" customHeight="false" hidden="false" ht="15" outlineLevel="0" r="162">
      <c r="A162" s="63" t="n">
        <f aca="false">VLOOKUP(B162,справочник!$B$2:$E$322,4,0)</f>
        <v>139</v>
      </c>
      <c r="B162" s="64" t="e">
        <f aca="false">CONCATENATE(C162;D162)</f>
        <v>#VALUE!</v>
      </c>
      <c r="C162" s="36" t="n">
        <v>147</v>
      </c>
      <c r="D162" s="65" t="s">
        <v>51</v>
      </c>
      <c r="E162" s="36" t="s">
        <v>525</v>
      </c>
      <c r="F162" s="34" t="n">
        <v>40715</v>
      </c>
      <c r="G162" s="34" t="n">
        <v>40725</v>
      </c>
      <c r="H162" s="35" t="n">
        <f aca="false">INT(($H$325-G162)/30)</f>
        <v>54</v>
      </c>
      <c r="I162" s="36" t="n">
        <f aca="false">H162*1000</f>
        <v>54000</v>
      </c>
      <c r="J162" s="35" t="n">
        <v>54000</v>
      </c>
      <c r="K162" s="35"/>
      <c r="L162" s="66" t="n">
        <f aca="false">I162-J162-K162</f>
        <v>0</v>
      </c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66" t="n">
        <f aca="false">SUM(M162:X162)</f>
        <v>0</v>
      </c>
      <c r="Z162" s="66" t="n">
        <v>0</v>
      </c>
      <c r="AA162" s="66" t="n">
        <f aca="false">Z162*800</f>
        <v>0</v>
      </c>
      <c r="AB162" s="66" t="n">
        <f aca="false">L162+AA162-Y162</f>
        <v>0</v>
      </c>
      <c r="AC162" s="66" t="n">
        <v>0</v>
      </c>
      <c r="AD162" s="67"/>
      <c r="AE162" s="68"/>
      <c r="AF162" s="66" t="n">
        <v>0</v>
      </c>
      <c r="AG162" s="67"/>
      <c r="AH162" s="68"/>
      <c r="AI162" s="66" t="n">
        <v>0</v>
      </c>
      <c r="AJ162" s="67"/>
      <c r="AK162" s="68"/>
      <c r="AL162" s="66" t="n">
        <v>0</v>
      </c>
      <c r="AM162" s="67"/>
      <c r="AN162" s="68"/>
    </row>
    <row collapsed="false" customFormat="false" customHeight="false" hidden="false" ht="15" outlineLevel="0" r="163">
      <c r="A163" s="63" t="n">
        <f aca="false">VLOOKUP(B163,справочник!$B$2:$E$322,4,0)</f>
        <v>139</v>
      </c>
      <c r="B163" s="64" t="e">
        <f aca="false">CONCATENATE(C163;D163)</f>
        <v>#VALUE!</v>
      </c>
      <c r="C163" s="36" t="n">
        <v>148</v>
      </c>
      <c r="D163" s="65" t="s">
        <v>51</v>
      </c>
      <c r="E163" s="36" t="s">
        <v>526</v>
      </c>
      <c r="F163" s="34" t="n">
        <v>40715</v>
      </c>
      <c r="G163" s="34" t="n">
        <v>40725</v>
      </c>
      <c r="H163" s="35" t="n">
        <f aca="false">INT(($H$325-G163)/30)</f>
        <v>54</v>
      </c>
      <c r="I163" s="36" t="n">
        <f aca="false">H163*1000</f>
        <v>54000</v>
      </c>
      <c r="J163" s="35" t="n">
        <f aca="false">11000+4000</f>
        <v>15000</v>
      </c>
      <c r="K163" s="35"/>
      <c r="L163" s="66" t="n">
        <f aca="false">I163-J163-K163</f>
        <v>39000</v>
      </c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66" t="n">
        <f aca="false">SUM(M163:X163)</f>
        <v>0</v>
      </c>
      <c r="Z163" s="66" t="n">
        <v>0</v>
      </c>
      <c r="AA163" s="66" t="n">
        <f aca="false">Z163*800</f>
        <v>0</v>
      </c>
      <c r="AB163" s="66" t="n">
        <f aca="false">L163+AA163-Y163</f>
        <v>39000</v>
      </c>
      <c r="AC163" s="66" t="n">
        <v>800</v>
      </c>
      <c r="AD163" s="67"/>
      <c r="AE163" s="68"/>
      <c r="AF163" s="66" t="n">
        <v>800</v>
      </c>
      <c r="AG163" s="67" t="n">
        <v>4800</v>
      </c>
      <c r="AH163" s="68"/>
      <c r="AI163" s="66" t="n">
        <v>800</v>
      </c>
      <c r="AJ163" s="67" t="n">
        <v>4800</v>
      </c>
      <c r="AK163" s="68"/>
      <c r="AL163" s="66" t="n">
        <v>800</v>
      </c>
      <c r="AM163" s="67" t="n">
        <v>13000</v>
      </c>
      <c r="AN163" s="68"/>
    </row>
    <row collapsed="false" customFormat="false" customHeight="false" hidden="false" ht="15" outlineLevel="0" r="164">
      <c r="A164" s="63" t="n">
        <f aca="false">VLOOKUP(B164,справочник!$B$2:$E$322,4,0)</f>
        <v>261</v>
      </c>
      <c r="B164" s="64" t="e">
        <f aca="false">CONCATENATE(C164;D164)</f>
        <v>#VALUE!</v>
      </c>
      <c r="C164" s="36" t="n">
        <v>274</v>
      </c>
      <c r="D164" s="65" t="s">
        <v>72</v>
      </c>
      <c r="E164" s="36" t="s">
        <v>527</v>
      </c>
      <c r="F164" s="34" t="n">
        <v>41373</v>
      </c>
      <c r="G164" s="34" t="n">
        <v>41395</v>
      </c>
      <c r="H164" s="35" t="n">
        <f aca="false">INT(($H$325-G164)/30)</f>
        <v>32</v>
      </c>
      <c r="I164" s="36" t="n">
        <f aca="false">H164*1000</f>
        <v>32000</v>
      </c>
      <c r="J164" s="35" t="n">
        <v>19000</v>
      </c>
      <c r="K164" s="35"/>
      <c r="L164" s="66" t="n">
        <f aca="false">I164-J164-K164</f>
        <v>13000</v>
      </c>
      <c r="M164" s="87" t="n">
        <v>2400</v>
      </c>
      <c r="N164" s="87"/>
      <c r="O164" s="87"/>
      <c r="P164" s="87" t="n">
        <v>2400</v>
      </c>
      <c r="Q164" s="87"/>
      <c r="R164" s="87"/>
      <c r="S164" s="87" t="n">
        <v>3200</v>
      </c>
      <c r="T164" s="87"/>
      <c r="U164" s="87"/>
      <c r="V164" s="87"/>
      <c r="W164" s="87"/>
      <c r="X164" s="87" t="n">
        <v>4000</v>
      </c>
      <c r="Y164" s="66" t="n">
        <f aca="false">SUM(M164:X164)</f>
        <v>12000</v>
      </c>
      <c r="Z164" s="66" t="n">
        <v>12</v>
      </c>
      <c r="AA164" s="66" t="n">
        <f aca="false">Z164*800</f>
        <v>9600</v>
      </c>
      <c r="AB164" s="66" t="n">
        <f aca="false">L164+AA164-Y164</f>
        <v>10600</v>
      </c>
      <c r="AC164" s="66" t="n">
        <v>800</v>
      </c>
      <c r="AD164" s="67"/>
      <c r="AE164" s="68" t="n">
        <f aca="false">SUM(AB164:AB165)+SUM(AC164:AC165)</f>
        <v>28400</v>
      </c>
      <c r="AF164" s="66" t="n">
        <v>800</v>
      </c>
      <c r="AG164" s="67"/>
      <c r="AH164" s="68" t="n">
        <f aca="false">SUM(AE164:AE165)+SUM(AF164:AF165)</f>
        <v>29200</v>
      </c>
      <c r="AI164" s="66" t="n">
        <v>800</v>
      </c>
      <c r="AJ164" s="67"/>
      <c r="AK164" s="68" t="n">
        <f aca="false">SUM(AH164:AH165)+SUM(AI164:AI165)</f>
        <v>30000</v>
      </c>
      <c r="AL164" s="66" t="n">
        <v>800</v>
      </c>
      <c r="AM164" s="67"/>
      <c r="AN164" s="68" t="n">
        <f aca="false">SUM(AK164:AK165)+SUM(AL164:AL165)</f>
        <v>30800</v>
      </c>
    </row>
    <row collapsed="false" customFormat="false" customHeight="false" hidden="false" ht="15" outlineLevel="0" r="165">
      <c r="A165" s="63" t="n">
        <f aca="false">VLOOKUP(B165,справочник!$B$2:$E$322,4,0)</f>
        <v>261</v>
      </c>
      <c r="B165" s="64" t="e">
        <f aca="false">CONCATENATE(C165;D165)</f>
        <v>#VALUE!</v>
      </c>
      <c r="C165" s="36" t="n">
        <v>275</v>
      </c>
      <c r="D165" s="65" t="s">
        <v>72</v>
      </c>
      <c r="E165" s="36"/>
      <c r="F165" s="34" t="n">
        <v>41016</v>
      </c>
      <c r="G165" s="34" t="n">
        <v>41000</v>
      </c>
      <c r="H165" s="35" t="n">
        <f aca="false">INT(($H$325-G165)/30)</f>
        <v>45</v>
      </c>
      <c r="I165" s="36" t="n">
        <f aca="false">H165*1000</f>
        <v>45000</v>
      </c>
      <c r="J165" s="35" t="n">
        <f aca="false">9000+19000</f>
        <v>28000</v>
      </c>
      <c r="K165" s="35"/>
      <c r="L165" s="66" t="n">
        <f aca="false">I165-J165-K165</f>
        <v>17000</v>
      </c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66" t="n">
        <f aca="false">SUM(M165:X165)</f>
        <v>0</v>
      </c>
      <c r="Z165" s="66" t="n">
        <v>0</v>
      </c>
      <c r="AA165" s="66" t="n">
        <f aca="false">Z165*800</f>
        <v>0</v>
      </c>
      <c r="AB165" s="66" t="n">
        <f aca="false">L165+AA165-Y165</f>
        <v>17000</v>
      </c>
      <c r="AC165" s="66" t="n">
        <v>0</v>
      </c>
      <c r="AD165" s="67"/>
      <c r="AE165" s="68"/>
      <c r="AF165" s="66" t="n">
        <v>0</v>
      </c>
      <c r="AG165" s="67"/>
      <c r="AH165" s="68"/>
      <c r="AI165" s="66" t="n">
        <v>0</v>
      </c>
      <c r="AJ165" s="67"/>
      <c r="AK165" s="68"/>
      <c r="AL165" s="66" t="n">
        <v>0</v>
      </c>
      <c r="AM165" s="67"/>
      <c r="AN165" s="68"/>
    </row>
    <row collapsed="false" customFormat="false" customHeight="false" hidden="false" ht="15" outlineLevel="0" r="166">
      <c r="A166" s="19" t="n">
        <f aca="false">VLOOKUP(B166,справочник!$B$2:$E$322,4,0)</f>
        <v>288</v>
      </c>
      <c r="B166" s="0" t="e">
        <f aca="false">CONCATENATE(C166;D166)</f>
        <v>#VALUE!</v>
      </c>
      <c r="C166" s="24" t="n">
        <v>300</v>
      </c>
      <c r="D166" s="29" t="s">
        <v>66</v>
      </c>
      <c r="E166" s="24" t="s">
        <v>528</v>
      </c>
      <c r="F166" s="30" t="n">
        <v>41513</v>
      </c>
      <c r="G166" s="30" t="n">
        <v>41518</v>
      </c>
      <c r="H166" s="31" t="n">
        <f aca="false">INT(($H$325-G166)/30)</f>
        <v>28</v>
      </c>
      <c r="I166" s="24" t="n">
        <f aca="false">H166*1000</f>
        <v>28000</v>
      </c>
      <c r="J166" s="31"/>
      <c r="K166" s="31"/>
      <c r="L166" s="59" t="n">
        <f aca="false">I166-J166-K166</f>
        <v>28000</v>
      </c>
      <c r="M166" s="85"/>
      <c r="N166" s="85"/>
      <c r="O166" s="85"/>
      <c r="P166" s="85"/>
      <c r="Q166" s="85"/>
      <c r="R166" s="85"/>
      <c r="S166" s="85"/>
      <c r="T166" s="85"/>
      <c r="U166" s="85"/>
      <c r="V166" s="85"/>
      <c r="W166" s="85"/>
      <c r="X166" s="85"/>
      <c r="Y166" s="59" t="n">
        <f aca="false">SUM(M166:X166)</f>
        <v>0</v>
      </c>
      <c r="Z166" s="59" t="n">
        <v>12</v>
      </c>
      <c r="AA166" s="59" t="n">
        <f aca="false">Z166*800</f>
        <v>9600</v>
      </c>
      <c r="AB166" s="59" t="n">
        <f aca="false">L166+AA166-Y166</f>
        <v>37600</v>
      </c>
      <c r="AC166" s="60" t="n">
        <v>800</v>
      </c>
      <c r="AD166" s="61"/>
      <c r="AE166" s="62" t="n">
        <f aca="false">AB166+AC166-AD166</f>
        <v>38400</v>
      </c>
      <c r="AF166" s="60" t="n">
        <v>800</v>
      </c>
      <c r="AG166" s="61"/>
      <c r="AH166" s="62" t="n">
        <f aca="false">AE166+AF166-AG166</f>
        <v>39200</v>
      </c>
      <c r="AI166" s="60" t="n">
        <v>800</v>
      </c>
      <c r="AJ166" s="61"/>
      <c r="AK166" s="62" t="n">
        <f aca="false">AH166+AI166-AJ166</f>
        <v>40000</v>
      </c>
      <c r="AL166" s="60" t="n">
        <v>800</v>
      </c>
      <c r="AM166" s="61"/>
      <c r="AN166" s="62" t="n">
        <f aca="false">AK166+AL166-AM166</f>
        <v>40800</v>
      </c>
    </row>
    <row collapsed="false" customFormat="false" customHeight="false" hidden="false" ht="15" outlineLevel="0" r="167">
      <c r="A167" s="19" t="n">
        <f aca="false">VLOOKUP(B167,справочник!$B$2:$E$322,4,0)</f>
        <v>166</v>
      </c>
      <c r="B167" s="0" t="e">
        <f aca="false">CONCATENATE(C167;D167)</f>
        <v>#VALUE!</v>
      </c>
      <c r="C167" s="24" t="n">
        <v>174</v>
      </c>
      <c r="D167" s="29" t="s">
        <v>138</v>
      </c>
      <c r="E167" s="24" t="s">
        <v>529</v>
      </c>
      <c r="F167" s="30" t="n">
        <v>41829</v>
      </c>
      <c r="G167" s="30" t="n">
        <v>41852</v>
      </c>
      <c r="H167" s="31" t="n">
        <f aca="false">INT(($H$325-G167)/30)</f>
        <v>17</v>
      </c>
      <c r="I167" s="24" t="n">
        <f aca="false">H167*1000</f>
        <v>17000</v>
      </c>
      <c r="J167" s="31" t="n">
        <v>5000</v>
      </c>
      <c r="K167" s="31"/>
      <c r="L167" s="59" t="n">
        <f aca="false">I167-J167-K167</f>
        <v>12000</v>
      </c>
      <c r="M167" s="85"/>
      <c r="N167" s="85"/>
      <c r="O167" s="85"/>
      <c r="P167" s="85"/>
      <c r="Q167" s="85"/>
      <c r="R167" s="85"/>
      <c r="S167" s="85" t="n">
        <v>6800</v>
      </c>
      <c r="T167" s="0" t="n">
        <v>5000</v>
      </c>
      <c r="U167" s="85" t="n">
        <v>2400</v>
      </c>
      <c r="V167" s="85"/>
      <c r="W167" s="85"/>
      <c r="X167" s="85"/>
      <c r="Y167" s="59" t="n">
        <f aca="false">SUM(M167:X167)</f>
        <v>14200</v>
      </c>
      <c r="Z167" s="59" t="n">
        <v>12</v>
      </c>
      <c r="AA167" s="59" t="n">
        <f aca="false">Z167*800</f>
        <v>9600</v>
      </c>
      <c r="AB167" s="59" t="n">
        <f aca="false">L167+AA167-Y167</f>
        <v>7400</v>
      </c>
      <c r="AC167" s="60" t="n">
        <v>800</v>
      </c>
      <c r="AD167" s="61"/>
      <c r="AE167" s="62" t="n">
        <f aca="false">AB167+AC167-AD167</f>
        <v>8200</v>
      </c>
      <c r="AF167" s="60" t="n">
        <v>800</v>
      </c>
      <c r="AG167" s="61" t="n">
        <v>4000</v>
      </c>
      <c r="AH167" s="62" t="n">
        <f aca="false">AE167+AF167-AG167</f>
        <v>5000</v>
      </c>
      <c r="AI167" s="60" t="n">
        <v>800</v>
      </c>
      <c r="AJ167" s="61"/>
      <c r="AK167" s="62" t="n">
        <f aca="false">AH167+AI167-AJ167</f>
        <v>5800</v>
      </c>
      <c r="AL167" s="60" t="n">
        <v>800</v>
      </c>
      <c r="AM167" s="61"/>
      <c r="AN167" s="62" t="n">
        <f aca="false">AK167+AL167-AM167</f>
        <v>6600</v>
      </c>
    </row>
    <row collapsed="false" customFormat="false" customHeight="false" hidden="false" ht="15" outlineLevel="0" r="168">
      <c r="A168" s="19" t="n">
        <f aca="false">VLOOKUP(B168,справочник!$B$2:$E$322,4,0)</f>
        <v>118</v>
      </c>
      <c r="B168" s="0" t="e">
        <f aca="false">CONCATENATE(C168;D168)</f>
        <v>#VALUE!</v>
      </c>
      <c r="C168" s="24" t="n">
        <v>123</v>
      </c>
      <c r="D168" s="29" t="s">
        <v>167</v>
      </c>
      <c r="E168" s="24" t="s">
        <v>530</v>
      </c>
      <c r="F168" s="30" t="n">
        <v>41435</v>
      </c>
      <c r="G168" s="30" t="n">
        <v>41456</v>
      </c>
      <c r="H168" s="31" t="n">
        <f aca="false">INT(($H$325-G168)/30)</f>
        <v>30</v>
      </c>
      <c r="I168" s="24" t="n">
        <f aca="false">H168*1000</f>
        <v>30000</v>
      </c>
      <c r="J168" s="31" t="n">
        <v>23000</v>
      </c>
      <c r="K168" s="31"/>
      <c r="L168" s="59" t="n">
        <f aca="false">I168-J168-K168</f>
        <v>7000</v>
      </c>
      <c r="M168" s="85"/>
      <c r="N168" s="85"/>
      <c r="O168" s="85"/>
      <c r="P168" s="85"/>
      <c r="Q168" s="85"/>
      <c r="R168" s="85"/>
      <c r="S168" s="85" t="n">
        <v>12000</v>
      </c>
      <c r="T168" s="85"/>
      <c r="U168" s="85"/>
      <c r="V168" s="85"/>
      <c r="W168" s="85"/>
      <c r="X168" s="85"/>
      <c r="Y168" s="59" t="n">
        <f aca="false">SUM(M168:X168)</f>
        <v>12000</v>
      </c>
      <c r="Z168" s="59" t="n">
        <v>12</v>
      </c>
      <c r="AA168" s="59" t="n">
        <f aca="false">Z168*800</f>
        <v>9600</v>
      </c>
      <c r="AB168" s="59" t="n">
        <f aca="false">L168+AA168-Y168</f>
        <v>4600</v>
      </c>
      <c r="AC168" s="60" t="n">
        <v>800</v>
      </c>
      <c r="AD168" s="61"/>
      <c r="AE168" s="62" t="n">
        <f aca="false">AB168+AC168-AD168</f>
        <v>5400</v>
      </c>
      <c r="AF168" s="60" t="n">
        <v>800</v>
      </c>
      <c r="AG168" s="61"/>
      <c r="AH168" s="62" t="n">
        <f aca="false">AE168+AF168-AG168</f>
        <v>6200</v>
      </c>
      <c r="AI168" s="60" t="n">
        <v>800</v>
      </c>
      <c r="AJ168" s="61"/>
      <c r="AK168" s="62" t="n">
        <f aca="false">AH168+AI168-AJ168</f>
        <v>7000</v>
      </c>
      <c r="AL168" s="60" t="n">
        <v>800</v>
      </c>
      <c r="AM168" s="61"/>
      <c r="AN168" s="62" t="n">
        <f aca="false">AK168+AL168-AM168</f>
        <v>7800</v>
      </c>
    </row>
    <row collapsed="false" customFormat="true" customHeight="false" hidden="false" ht="15" outlineLevel="0" r="169" s="64">
      <c r="A169" s="63" t="n">
        <f aca="false">VLOOKUP(B169,справочник!$B$2:$E$322,4,0)</f>
        <v>199</v>
      </c>
      <c r="B169" s="64" t="e">
        <f aca="false">CONCATENATE(C169;D169)</f>
        <v>#VALUE!</v>
      </c>
      <c r="C169" s="36" t="n">
        <v>207</v>
      </c>
      <c r="D169" s="65" t="s">
        <v>25</v>
      </c>
      <c r="E169" s="36" t="s">
        <v>531</v>
      </c>
      <c r="F169" s="34" t="n">
        <v>41036</v>
      </c>
      <c r="G169" s="34" t="n">
        <v>41030</v>
      </c>
      <c r="H169" s="35" t="n">
        <f aca="false">INT(($H$325-G169)/30)</f>
        <v>44</v>
      </c>
      <c r="I169" s="36" t="n">
        <f aca="false">H169*1000</f>
        <v>44000</v>
      </c>
      <c r="J169" s="35" t="n">
        <v>1000</v>
      </c>
      <c r="K169" s="35"/>
      <c r="L169" s="66" t="n">
        <f aca="false">I169-J169-K169</f>
        <v>43000</v>
      </c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66" t="n">
        <f aca="false">SUM(M169:X169)</f>
        <v>0</v>
      </c>
      <c r="Z169" s="66" t="n">
        <v>12</v>
      </c>
      <c r="AA169" s="66" t="n">
        <f aca="false">Z169*800</f>
        <v>9600</v>
      </c>
      <c r="AB169" s="66" t="n">
        <f aca="false">L169+AA169-Y169</f>
        <v>52600</v>
      </c>
      <c r="AC169" s="66" t="n">
        <v>800</v>
      </c>
      <c r="AD169" s="67"/>
      <c r="AE169" s="68" t="n">
        <f aca="false">SUM(AB169:AB170)+SUM(AC169:AC170)</f>
        <v>96400</v>
      </c>
      <c r="AF169" s="66" t="n">
        <v>800</v>
      </c>
      <c r="AG169" s="67"/>
      <c r="AH169" s="68" t="n">
        <f aca="false">SUM(AE169:AE170)+SUM(AF169:AF170)</f>
        <v>97200</v>
      </c>
      <c r="AI169" s="66" t="n">
        <v>800</v>
      </c>
      <c r="AJ169" s="67"/>
      <c r="AK169" s="68" t="n">
        <f aca="false">SUM(AH169:AH170)+SUM(AI169:AI170)</f>
        <v>98000</v>
      </c>
      <c r="AL169" s="66" t="n">
        <v>800</v>
      </c>
      <c r="AM169" s="67"/>
      <c r="AN169" s="68" t="n">
        <f aca="false">SUM(AK169:AK170)+SUM(AL169:AL170)</f>
        <v>98800</v>
      </c>
    </row>
    <row collapsed="false" customFormat="false" customHeight="false" hidden="false" ht="15" outlineLevel="0" r="170">
      <c r="A170" s="63" t="n">
        <f aca="false">VLOOKUP(B170,справочник!$B$2:$E$322,4,0)</f>
        <v>199</v>
      </c>
      <c r="B170" s="64" t="e">
        <f aca="false">CONCATENATE(C170;D170)</f>
        <v>#VALUE!</v>
      </c>
      <c r="C170" s="36" t="n">
        <v>208</v>
      </c>
      <c r="D170" s="65" t="s">
        <v>25</v>
      </c>
      <c r="E170" s="36" t="s">
        <v>505</v>
      </c>
      <c r="F170" s="34" t="n">
        <v>41036</v>
      </c>
      <c r="G170" s="34" t="n">
        <v>41030</v>
      </c>
      <c r="H170" s="35" t="n">
        <f aca="false">INT(($H$325-G170)/30)</f>
        <v>44</v>
      </c>
      <c r="I170" s="36" t="n">
        <f aca="false">H170*1000</f>
        <v>44000</v>
      </c>
      <c r="J170" s="35" t="n">
        <v>1000</v>
      </c>
      <c r="K170" s="35"/>
      <c r="L170" s="66" t="n">
        <f aca="false">I170-J170-K170</f>
        <v>43000</v>
      </c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66" t="n">
        <f aca="false">SUM(M170:X170)</f>
        <v>0</v>
      </c>
      <c r="Z170" s="66" t="n">
        <v>0</v>
      </c>
      <c r="AA170" s="66" t="n">
        <f aca="false">Z170*800</f>
        <v>0</v>
      </c>
      <c r="AB170" s="66" t="n">
        <f aca="false">L170+AA170-Y170</f>
        <v>43000</v>
      </c>
      <c r="AC170" s="66" t="n">
        <v>0</v>
      </c>
      <c r="AD170" s="67"/>
      <c r="AE170" s="68"/>
      <c r="AF170" s="66" t="n">
        <v>0</v>
      </c>
      <c r="AG170" s="67"/>
      <c r="AH170" s="68"/>
      <c r="AI170" s="66" t="n">
        <v>0</v>
      </c>
      <c r="AJ170" s="67"/>
      <c r="AK170" s="68"/>
      <c r="AL170" s="66" t="n">
        <v>0</v>
      </c>
      <c r="AM170" s="67"/>
      <c r="AN170" s="68"/>
    </row>
    <row collapsed="false" customFormat="false" customHeight="false" hidden="false" ht="15" outlineLevel="0" r="171">
      <c r="A171" s="19" t="n">
        <f aca="false">VLOOKUP(B171,справочник!$B$2:$E$322,4,0)</f>
        <v>164</v>
      </c>
      <c r="B171" s="0" t="e">
        <f aca="false">CONCATENATE(C171;D171)</f>
        <v>#VALUE!</v>
      </c>
      <c r="C171" s="24" t="n">
        <v>172</v>
      </c>
      <c r="D171" s="29" t="s">
        <v>73</v>
      </c>
      <c r="E171" s="24" t="s">
        <v>532</v>
      </c>
      <c r="F171" s="30" t="n">
        <v>41576</v>
      </c>
      <c r="G171" s="30" t="n">
        <v>41579</v>
      </c>
      <c r="H171" s="31" t="n">
        <f aca="false">INT(($H$325-G171)/30)</f>
        <v>26</v>
      </c>
      <c r="I171" s="24" t="n">
        <f aca="false">H171*1000</f>
        <v>26000</v>
      </c>
      <c r="J171" s="31" t="n">
        <v>1000</v>
      </c>
      <c r="K171" s="31"/>
      <c r="L171" s="59" t="n">
        <f aca="false">I171-J171-K171</f>
        <v>25000</v>
      </c>
      <c r="M171" s="85"/>
      <c r="N171" s="85"/>
      <c r="O171" s="85"/>
      <c r="P171" s="85"/>
      <c r="Q171" s="85"/>
      <c r="R171" s="85"/>
      <c r="S171" s="85"/>
      <c r="T171" s="85"/>
      <c r="U171" s="85"/>
      <c r="V171" s="85"/>
      <c r="W171" s="85" t="n">
        <v>10600</v>
      </c>
      <c r="X171" s="85"/>
      <c r="Y171" s="59" t="n">
        <f aca="false">SUM(M171:X171)</f>
        <v>10600</v>
      </c>
      <c r="Z171" s="59" t="n">
        <v>12</v>
      </c>
      <c r="AA171" s="59" t="n">
        <f aca="false">Z171*800</f>
        <v>9600</v>
      </c>
      <c r="AB171" s="59" t="n">
        <f aca="false">L171+AA171-Y171</f>
        <v>24000</v>
      </c>
      <c r="AC171" s="60" t="n">
        <v>800</v>
      </c>
      <c r="AD171" s="61"/>
      <c r="AE171" s="62" t="n">
        <f aca="false">AB171+AC171-AD171</f>
        <v>24800</v>
      </c>
      <c r="AF171" s="60" t="n">
        <v>800</v>
      </c>
      <c r="AG171" s="61"/>
      <c r="AH171" s="62" t="n">
        <f aca="false">AE171+AF171-AG171</f>
        <v>25600</v>
      </c>
      <c r="AI171" s="60" t="n">
        <v>800</v>
      </c>
      <c r="AJ171" s="61"/>
      <c r="AK171" s="62" t="n">
        <f aca="false">AH171+AI171-AJ171</f>
        <v>26400</v>
      </c>
      <c r="AL171" s="60" t="n">
        <v>800</v>
      </c>
      <c r="AM171" s="61"/>
      <c r="AN171" s="62" t="n">
        <f aca="false">AK171+AL171-AM171</f>
        <v>27200</v>
      </c>
    </row>
    <row collapsed="false" customFormat="false" customHeight="false" hidden="false" ht="15" outlineLevel="0" r="172">
      <c r="A172" s="19" t="n">
        <f aca="false">VLOOKUP(B172,справочник!$B$2:$E$322,4,0)</f>
        <v>34</v>
      </c>
      <c r="B172" s="0" t="e">
        <f aca="false">CONCATENATE(C172;D172)</f>
        <v>#VALUE!</v>
      </c>
      <c r="C172" s="24" t="n">
        <v>34</v>
      </c>
      <c r="D172" s="29" t="s">
        <v>249</v>
      </c>
      <c r="E172" s="24" t="s">
        <v>533</v>
      </c>
      <c r="F172" s="30" t="n">
        <v>40781</v>
      </c>
      <c r="G172" s="30" t="n">
        <v>40787</v>
      </c>
      <c r="H172" s="31" t="n">
        <f aca="false">INT(($H$325-G172)/30)</f>
        <v>52</v>
      </c>
      <c r="I172" s="24" t="n">
        <f aca="false">H172*1000</f>
        <v>52000</v>
      </c>
      <c r="J172" s="31" t="n">
        <v>55000</v>
      </c>
      <c r="K172" s="31"/>
      <c r="L172" s="59" t="n">
        <f aca="false">I172-J172-K172</f>
        <v>-3000</v>
      </c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85"/>
      <c r="X172" s="85"/>
      <c r="Y172" s="59" t="n">
        <f aca="false">SUM(M172:X172)</f>
        <v>0</v>
      </c>
      <c r="Z172" s="59" t="n">
        <v>12</v>
      </c>
      <c r="AA172" s="59" t="n">
        <f aca="false">Z172*800</f>
        <v>9600</v>
      </c>
      <c r="AB172" s="59" t="n">
        <f aca="false">L172+AA172-Y172</f>
        <v>6600</v>
      </c>
      <c r="AC172" s="60" t="n">
        <v>800</v>
      </c>
      <c r="AD172" s="61"/>
      <c r="AE172" s="62" t="n">
        <f aca="false">AB172+AC172-AD172</f>
        <v>7400</v>
      </c>
      <c r="AF172" s="60" t="n">
        <v>800</v>
      </c>
      <c r="AG172" s="61"/>
      <c r="AH172" s="62" t="n">
        <f aca="false">AE172+AF172-AG172</f>
        <v>8200</v>
      </c>
      <c r="AI172" s="60" t="n">
        <v>800</v>
      </c>
      <c r="AJ172" s="61"/>
      <c r="AK172" s="62" t="n">
        <f aca="false">AH172+AI172-AJ172</f>
        <v>9000</v>
      </c>
      <c r="AL172" s="60" t="n">
        <v>800</v>
      </c>
      <c r="AM172" s="61"/>
      <c r="AN172" s="62" t="n">
        <f aca="false">AK172+AL172-AM172</f>
        <v>9800</v>
      </c>
    </row>
    <row collapsed="false" customFormat="false" customHeight="false" hidden="false" ht="15" outlineLevel="0" r="173">
      <c r="A173" s="19" t="n">
        <f aca="false">VLOOKUP(B173,справочник!$B$2:$E$322,4,0)</f>
        <v>13</v>
      </c>
      <c r="B173" s="0" t="e">
        <f aca="false">CONCATENATE(C173;D173)</f>
        <v>#VALUE!</v>
      </c>
      <c r="C173" s="24" t="n">
        <v>13</v>
      </c>
      <c r="D173" s="29" t="s">
        <v>116</v>
      </c>
      <c r="E173" s="24" t="s">
        <v>534</v>
      </c>
      <c r="F173" s="30" t="n">
        <v>41464</v>
      </c>
      <c r="G173" s="30" t="n">
        <v>41487</v>
      </c>
      <c r="H173" s="31" t="n">
        <f aca="false">INT(($H$325-G173)/30)</f>
        <v>29</v>
      </c>
      <c r="I173" s="24" t="n">
        <f aca="false">H173*1000</f>
        <v>29000</v>
      </c>
      <c r="J173" s="31" t="n">
        <v>13000</v>
      </c>
      <c r="K173" s="31"/>
      <c r="L173" s="59" t="n">
        <f aca="false">I173-J173-K173</f>
        <v>16000</v>
      </c>
      <c r="M173" s="85"/>
      <c r="N173" s="85"/>
      <c r="O173" s="85"/>
      <c r="P173" s="85"/>
      <c r="Q173" s="85"/>
      <c r="R173" s="85"/>
      <c r="S173" s="85" t="n">
        <v>20000</v>
      </c>
      <c r="T173" s="85"/>
      <c r="U173" s="85"/>
      <c r="V173" s="85"/>
      <c r="W173" s="85"/>
      <c r="X173" s="85"/>
      <c r="Y173" s="59" t="n">
        <f aca="false">SUM(M173:X173)</f>
        <v>20000</v>
      </c>
      <c r="Z173" s="59" t="n">
        <v>12</v>
      </c>
      <c r="AA173" s="59" t="n">
        <f aca="false">Z173*800</f>
        <v>9600</v>
      </c>
      <c r="AB173" s="59" t="n">
        <f aca="false">L173+AA173-Y173</f>
        <v>5600</v>
      </c>
      <c r="AC173" s="60" t="n">
        <v>800</v>
      </c>
      <c r="AD173" s="61"/>
      <c r="AE173" s="62" t="n">
        <f aca="false">AB173+AC173-AD173</f>
        <v>6400</v>
      </c>
      <c r="AF173" s="60" t="n">
        <v>800</v>
      </c>
      <c r="AG173" s="61"/>
      <c r="AH173" s="62" t="n">
        <f aca="false">AE173+AF173-AG173</f>
        <v>7200</v>
      </c>
      <c r="AI173" s="60" t="n">
        <v>800</v>
      </c>
      <c r="AJ173" s="61"/>
      <c r="AK173" s="62" t="n">
        <f aca="false">AH173+AI173-AJ173</f>
        <v>8000</v>
      </c>
      <c r="AL173" s="60" t="n">
        <v>800</v>
      </c>
      <c r="AM173" s="61"/>
      <c r="AN173" s="62" t="n">
        <f aca="false">AK173+AL173-AM173</f>
        <v>8800</v>
      </c>
    </row>
    <row collapsed="false" customFormat="false" customHeight="false" hidden="false" ht="15" outlineLevel="0" r="174">
      <c r="A174" s="19" t="n">
        <f aca="false">VLOOKUP(B174,справочник!$B$2:$E$322,4,0)</f>
        <v>273</v>
      </c>
      <c r="B174" s="0" t="e">
        <f aca="false">CONCATENATE(C174;D174)</f>
        <v>#VALUE!</v>
      </c>
      <c r="C174" s="24" t="n">
        <v>286</v>
      </c>
      <c r="D174" s="43" t="s">
        <v>257</v>
      </c>
      <c r="E174" s="24" t="s">
        <v>535</v>
      </c>
      <c r="F174" s="30" t="n">
        <v>41992</v>
      </c>
      <c r="G174" s="30" t="n">
        <v>42005</v>
      </c>
      <c r="H174" s="31" t="n">
        <f aca="false">INT(($H$325-G174)/30)</f>
        <v>12</v>
      </c>
      <c r="I174" s="24" t="n">
        <f aca="false">H174*1000</f>
        <v>12000</v>
      </c>
      <c r="J174" s="31" t="n">
        <v>8000</v>
      </c>
      <c r="K174" s="31"/>
      <c r="L174" s="59" t="n">
        <f aca="false">I174-J174-K174</f>
        <v>4000</v>
      </c>
      <c r="M174" s="85"/>
      <c r="N174" s="85"/>
      <c r="O174" s="85"/>
      <c r="P174" s="85"/>
      <c r="Q174" s="85"/>
      <c r="R174" s="85" t="n">
        <v>8000</v>
      </c>
      <c r="S174" s="85"/>
      <c r="T174" s="85"/>
      <c r="U174" s="85" t="n">
        <v>1600</v>
      </c>
      <c r="V174" s="85"/>
      <c r="W174" s="85"/>
      <c r="X174" s="85" t="n">
        <f aca="false">800+800+1600</f>
        <v>3200</v>
      </c>
      <c r="Y174" s="59" t="n">
        <f aca="false">SUM(M174:X174)</f>
        <v>12800</v>
      </c>
      <c r="Z174" s="59" t="n">
        <v>12</v>
      </c>
      <c r="AA174" s="59" t="n">
        <f aca="false">Z174*800</f>
        <v>9600</v>
      </c>
      <c r="AB174" s="59" t="n">
        <f aca="false">L174+AA174-Y174</f>
        <v>800</v>
      </c>
      <c r="AC174" s="60" t="n">
        <v>800</v>
      </c>
      <c r="AD174" s="83"/>
      <c r="AE174" s="62" t="n">
        <f aca="false">AB174+AC174-AD174</f>
        <v>1600</v>
      </c>
      <c r="AF174" s="60" t="n">
        <v>800</v>
      </c>
      <c r="AG174" s="83"/>
      <c r="AH174" s="62" t="n">
        <f aca="false">AE174+AF174-AG174</f>
        <v>2400</v>
      </c>
      <c r="AI174" s="60" t="n">
        <v>800</v>
      </c>
      <c r="AJ174" s="83" t="n">
        <f aca="false">1600+800</f>
        <v>2400</v>
      </c>
      <c r="AK174" s="62" t="n">
        <f aca="false">AH174+AI174-AJ174</f>
        <v>800</v>
      </c>
      <c r="AL174" s="60" t="n">
        <v>800</v>
      </c>
      <c r="AM174" s="83"/>
      <c r="AN174" s="62" t="n">
        <f aca="false">AK174+AL174-AM174</f>
        <v>1600</v>
      </c>
    </row>
    <row collapsed="false" customFormat="false" customHeight="false" hidden="false" ht="15" outlineLevel="0" r="175">
      <c r="A175" s="19" t="n">
        <f aca="false">VLOOKUP(B175,справочник!$B$2:$E$322,4,0)</f>
        <v>87</v>
      </c>
      <c r="B175" s="0" t="e">
        <f aca="false">CONCATENATE(C175;D175)</f>
        <v>#VALUE!</v>
      </c>
      <c r="C175" s="24" t="n">
        <v>92</v>
      </c>
      <c r="D175" s="29" t="s">
        <v>188</v>
      </c>
      <c r="E175" s="24" t="s">
        <v>536</v>
      </c>
      <c r="F175" s="30" t="n">
        <v>41144</v>
      </c>
      <c r="G175" s="30" t="n">
        <v>41153</v>
      </c>
      <c r="H175" s="31" t="n">
        <f aca="false">INT(($H$325-G175)/30)</f>
        <v>40</v>
      </c>
      <c r="I175" s="24" t="n">
        <f aca="false">H175*1000</f>
        <v>40000</v>
      </c>
      <c r="J175" s="31" t="n">
        <v>37000</v>
      </c>
      <c r="K175" s="31"/>
      <c r="L175" s="59" t="n">
        <f aca="false">I175-J175-K175</f>
        <v>3000</v>
      </c>
      <c r="M175" s="85"/>
      <c r="N175" s="85"/>
      <c r="O175" s="85"/>
      <c r="P175" s="85"/>
      <c r="Q175" s="85"/>
      <c r="R175" s="85"/>
      <c r="S175" s="85"/>
      <c r="T175" s="85"/>
      <c r="U175" s="85"/>
      <c r="V175" s="85"/>
      <c r="W175" s="85"/>
      <c r="X175" s="85"/>
      <c r="Y175" s="59" t="n">
        <f aca="false">SUM(M175:X175)</f>
        <v>0</v>
      </c>
      <c r="Z175" s="59" t="n">
        <v>12</v>
      </c>
      <c r="AA175" s="59" t="n">
        <f aca="false">Z175*800</f>
        <v>9600</v>
      </c>
      <c r="AB175" s="59" t="n">
        <f aca="false">L175+AA175-Y175</f>
        <v>12600</v>
      </c>
      <c r="AC175" s="60" t="n">
        <v>800</v>
      </c>
      <c r="AD175" s="83" t="n">
        <v>1600</v>
      </c>
      <c r="AE175" s="62" t="n">
        <f aca="false">AB175+AC175-AD175</f>
        <v>11800</v>
      </c>
      <c r="AF175" s="60" t="n">
        <v>800</v>
      </c>
      <c r="AG175" s="83"/>
      <c r="AH175" s="62" t="n">
        <f aca="false">AE175+AF175-AG175</f>
        <v>12600</v>
      </c>
      <c r="AI175" s="60" t="n">
        <v>800</v>
      </c>
      <c r="AJ175" s="83"/>
      <c r="AK175" s="62" t="n">
        <f aca="false">AH175+AI175-AJ175</f>
        <v>13400</v>
      </c>
      <c r="AL175" s="60" t="n">
        <v>800</v>
      </c>
      <c r="AM175" s="83"/>
      <c r="AN175" s="62" t="n">
        <f aca="false">AK175+AL175-AM175</f>
        <v>14200</v>
      </c>
    </row>
    <row collapsed="false" customFormat="false" customHeight="false" hidden="false" ht="15" outlineLevel="0" r="176">
      <c r="A176" s="19" t="n">
        <f aca="false">VLOOKUP(B176,справочник!$B$2:$E$322,4,0)</f>
        <v>154</v>
      </c>
      <c r="B176" s="0" t="e">
        <f aca="false">CONCATENATE(C176;D176)</f>
        <v>#VALUE!</v>
      </c>
      <c r="C176" s="24" t="n">
        <v>162</v>
      </c>
      <c r="D176" s="29" t="s">
        <v>224</v>
      </c>
      <c r="E176" s="24" t="s">
        <v>519</v>
      </c>
      <c r="F176" s="30" t="n">
        <v>40720</v>
      </c>
      <c r="G176" s="30" t="n">
        <v>40725</v>
      </c>
      <c r="H176" s="31" t="n">
        <f aca="false">INT(($H$325-G176)/30)</f>
        <v>54</v>
      </c>
      <c r="I176" s="24" t="n">
        <f aca="false">H176*1000</f>
        <v>54000</v>
      </c>
      <c r="J176" s="31" t="n">
        <v>50000</v>
      </c>
      <c r="K176" s="31"/>
      <c r="L176" s="59" t="n">
        <f aca="false">I176-J176-K176</f>
        <v>4000</v>
      </c>
      <c r="M176" s="85"/>
      <c r="N176" s="85"/>
      <c r="O176" s="85"/>
      <c r="P176" s="85" t="n">
        <v>2400</v>
      </c>
      <c r="Q176" s="85" t="n">
        <v>800</v>
      </c>
      <c r="R176" s="85" t="n">
        <v>1600</v>
      </c>
      <c r="S176" s="85" t="n">
        <v>800</v>
      </c>
      <c r="T176" s="0" t="n">
        <v>800</v>
      </c>
      <c r="U176" s="85" t="n">
        <v>800</v>
      </c>
      <c r="V176" s="85" t="n">
        <v>800</v>
      </c>
      <c r="W176" s="18" t="n">
        <v>800</v>
      </c>
      <c r="X176" s="85" t="n">
        <v>800</v>
      </c>
      <c r="Y176" s="59" t="n">
        <f aca="false">SUM(M176:X176)</f>
        <v>9600</v>
      </c>
      <c r="Z176" s="59" t="n">
        <v>12</v>
      </c>
      <c r="AA176" s="59" t="n">
        <f aca="false">Z176*800</f>
        <v>9600</v>
      </c>
      <c r="AB176" s="59" t="n">
        <f aca="false">L176+AA176-Y176</f>
        <v>4000</v>
      </c>
      <c r="AC176" s="60" t="n">
        <v>800</v>
      </c>
      <c r="AD176" s="84" t="n">
        <v>800</v>
      </c>
      <c r="AE176" s="62" t="n">
        <f aca="false">AB176+AC176-AD176</f>
        <v>4000</v>
      </c>
      <c r="AF176" s="60" t="n">
        <v>800</v>
      </c>
      <c r="AG176" s="84"/>
      <c r="AH176" s="62" t="n">
        <f aca="false">AE176+AF176-AG176</f>
        <v>4800</v>
      </c>
      <c r="AI176" s="60" t="n">
        <v>800</v>
      </c>
      <c r="AJ176" s="84"/>
      <c r="AK176" s="62" t="n">
        <f aca="false">AH176+AI176-AJ176</f>
        <v>5600</v>
      </c>
      <c r="AL176" s="60" t="n">
        <v>800</v>
      </c>
      <c r="AM176" s="84" t="n">
        <v>800</v>
      </c>
      <c r="AN176" s="62" t="n">
        <f aca="false">AK176+AL176-AM176</f>
        <v>5600</v>
      </c>
    </row>
    <row collapsed="false" customFormat="false" customHeight="false" hidden="false" ht="15" outlineLevel="0" r="177">
      <c r="A177" s="19" t="n">
        <f aca="false">VLOOKUP(B177,справочник!$B$2:$E$322,4,0)</f>
        <v>270</v>
      </c>
      <c r="B177" s="0" t="e">
        <f aca="false">CONCATENATE(C177;D177)</f>
        <v>#VALUE!</v>
      </c>
      <c r="C177" s="24" t="n">
        <v>283</v>
      </c>
      <c r="D177" s="29" t="s">
        <v>151</v>
      </c>
      <c r="E177" s="24" t="s">
        <v>537</v>
      </c>
      <c r="F177" s="30" t="n">
        <v>41422</v>
      </c>
      <c r="G177" s="30" t="n">
        <v>41456</v>
      </c>
      <c r="H177" s="31" t="n">
        <f aca="false">INT(($H$325-G177)/30)</f>
        <v>30</v>
      </c>
      <c r="I177" s="24" t="n">
        <f aca="false">H177*1000</f>
        <v>30000</v>
      </c>
      <c r="J177" s="31" t="n">
        <v>20000</v>
      </c>
      <c r="K177" s="31"/>
      <c r="L177" s="59" t="n">
        <f aca="false">I177-J177-K177</f>
        <v>10000</v>
      </c>
      <c r="M177" s="85"/>
      <c r="N177" s="85"/>
      <c r="O177" s="85"/>
      <c r="P177" s="85"/>
      <c r="Q177" s="85"/>
      <c r="R177" s="85"/>
      <c r="S177" s="85"/>
      <c r="T177" s="0" t="n">
        <v>14800</v>
      </c>
      <c r="U177" s="85"/>
      <c r="V177" s="85"/>
      <c r="W177" s="85"/>
      <c r="X177" s="85"/>
      <c r="Y177" s="59" t="n">
        <f aca="false">SUM(M177:X177)</f>
        <v>14800</v>
      </c>
      <c r="Z177" s="59" t="n">
        <v>12</v>
      </c>
      <c r="AA177" s="59" t="n">
        <f aca="false">Z177*800</f>
        <v>9600</v>
      </c>
      <c r="AB177" s="59" t="n">
        <f aca="false">L177+AA177-Y177</f>
        <v>4800</v>
      </c>
      <c r="AC177" s="60" t="n">
        <v>800</v>
      </c>
      <c r="AD177" s="83"/>
      <c r="AE177" s="62" t="n">
        <f aca="false">AB177+AC177-AD177</f>
        <v>5600</v>
      </c>
      <c r="AF177" s="60" t="n">
        <v>800</v>
      </c>
      <c r="AG177" s="83"/>
      <c r="AH177" s="62" t="n">
        <f aca="false">AE177+AF177-AG177</f>
        <v>6400</v>
      </c>
      <c r="AI177" s="60" t="n">
        <v>800</v>
      </c>
      <c r="AJ177" s="83"/>
      <c r="AK177" s="62" t="n">
        <f aca="false">AH177+AI177-AJ177</f>
        <v>7200</v>
      </c>
      <c r="AL177" s="60" t="n">
        <v>800</v>
      </c>
      <c r="AM177" s="83"/>
      <c r="AN177" s="62" t="n">
        <f aca="false">AK177+AL177-AM177</f>
        <v>8000</v>
      </c>
    </row>
    <row collapsed="false" customFormat="false" customHeight="false" hidden="false" ht="15" outlineLevel="0" r="178">
      <c r="A178" s="19" t="n">
        <f aca="false">VLOOKUP(B178,справочник!$B$2:$E$322,4,0)</f>
        <v>9</v>
      </c>
      <c r="B178" s="0" t="e">
        <f aca="false">CONCATENATE(C178;D178)</f>
        <v>#VALUE!</v>
      </c>
      <c r="C178" s="24" t="n">
        <v>9</v>
      </c>
      <c r="D178" s="29" t="s">
        <v>132</v>
      </c>
      <c r="E178" s="24" t="s">
        <v>538</v>
      </c>
      <c r="F178" s="30" t="n">
        <v>41114</v>
      </c>
      <c r="G178" s="30" t="n">
        <v>41122</v>
      </c>
      <c r="H178" s="31" t="n">
        <f aca="false">INT(($H$325-G178)/30)</f>
        <v>41</v>
      </c>
      <c r="I178" s="24" t="n">
        <f aca="false">H178*1000</f>
        <v>41000</v>
      </c>
      <c r="J178" s="31" t="n">
        <v>18000</v>
      </c>
      <c r="K178" s="31"/>
      <c r="L178" s="59" t="n">
        <f aca="false">I178-J178-K178</f>
        <v>23000</v>
      </c>
      <c r="M178" s="85"/>
      <c r="N178" s="85"/>
      <c r="O178" s="85"/>
      <c r="P178" s="85"/>
      <c r="Q178" s="85" t="n">
        <v>9000</v>
      </c>
      <c r="R178" s="85" t="n">
        <v>1600</v>
      </c>
      <c r="S178" s="85" t="n">
        <v>1000</v>
      </c>
      <c r="T178" s="85" t="n">
        <v>11000</v>
      </c>
      <c r="U178" s="85"/>
      <c r="V178" s="85" t="n">
        <v>7000</v>
      </c>
      <c r="W178" s="85"/>
      <c r="X178" s="85" t="n">
        <v>3000</v>
      </c>
      <c r="Y178" s="59" t="n">
        <f aca="false">SUM(M178:X178)</f>
        <v>32600</v>
      </c>
      <c r="Z178" s="59" t="n">
        <v>12</v>
      </c>
      <c r="AA178" s="59" t="n">
        <f aca="false">Z178*800</f>
        <v>9600</v>
      </c>
      <c r="AB178" s="59" t="n">
        <f aca="false">L178+AA178-Y178</f>
        <v>0</v>
      </c>
      <c r="AC178" s="60" t="n">
        <v>800</v>
      </c>
      <c r="AD178" s="83" t="n">
        <v>4800</v>
      </c>
      <c r="AE178" s="62" t="n">
        <f aca="false">AB178+AC178-AD178</f>
        <v>-4000</v>
      </c>
      <c r="AF178" s="60" t="n">
        <v>800</v>
      </c>
      <c r="AG178" s="83"/>
      <c r="AH178" s="62" t="n">
        <f aca="false">AE178+AF178-AG178</f>
        <v>-3200</v>
      </c>
      <c r="AI178" s="60" t="n">
        <v>800</v>
      </c>
      <c r="AJ178" s="83"/>
      <c r="AK178" s="62" t="n">
        <f aca="false">AH178+AI178-AJ178</f>
        <v>-2400</v>
      </c>
      <c r="AL178" s="60" t="n">
        <v>800</v>
      </c>
      <c r="AM178" s="83"/>
      <c r="AN178" s="62" t="n">
        <f aca="false">AK178+AL178-AM178</f>
        <v>-1600</v>
      </c>
    </row>
    <row collapsed="false" customFormat="false" customHeight="false" hidden="false" ht="15" outlineLevel="0" r="179">
      <c r="A179" s="19" t="n">
        <f aca="false">VLOOKUP(B179,справочник!$B$2:$E$322,4,0)</f>
        <v>129</v>
      </c>
      <c r="B179" s="0" t="e">
        <f aca="false">CONCATENATE(C179;D179)</f>
        <v>#VALUE!</v>
      </c>
      <c r="C179" s="24" t="n">
        <v>136</v>
      </c>
      <c r="D179" s="29" t="s">
        <v>266</v>
      </c>
      <c r="E179" s="24" t="s">
        <v>539</v>
      </c>
      <c r="F179" s="30" t="n">
        <v>41352</v>
      </c>
      <c r="G179" s="30" t="n">
        <v>41365</v>
      </c>
      <c r="H179" s="31" t="n">
        <f aca="false">INT(($H$325-G179)/30)</f>
        <v>33</v>
      </c>
      <c r="I179" s="24" t="n">
        <f aca="false">H179*1000</f>
        <v>33000</v>
      </c>
      <c r="J179" s="31" t="n">
        <v>31000</v>
      </c>
      <c r="K179" s="31"/>
      <c r="L179" s="59" t="n">
        <f aca="false">I179-J179-K179</f>
        <v>2000</v>
      </c>
      <c r="M179" s="85"/>
      <c r="N179" s="85" t="n">
        <v>3000</v>
      </c>
      <c r="O179" s="85"/>
      <c r="P179" s="85" t="n">
        <v>3000</v>
      </c>
      <c r="Q179" s="85"/>
      <c r="R179" s="85"/>
      <c r="S179" s="85" t="n">
        <v>3000</v>
      </c>
      <c r="T179" s="85"/>
      <c r="U179" s="85"/>
      <c r="V179" s="85"/>
      <c r="W179" s="85"/>
      <c r="X179" s="85"/>
      <c r="Y179" s="59" t="n">
        <f aca="false">SUM(M179:X179)</f>
        <v>9000</v>
      </c>
      <c r="Z179" s="59" t="n">
        <v>12</v>
      </c>
      <c r="AA179" s="59" t="n">
        <f aca="false">Z179*800</f>
        <v>9600</v>
      </c>
      <c r="AB179" s="59" t="n">
        <f aca="false">L179+AA179-Y179</f>
        <v>2600</v>
      </c>
      <c r="AC179" s="60" t="n">
        <v>800</v>
      </c>
      <c r="AD179" s="61"/>
      <c r="AE179" s="62" t="n">
        <f aca="false">AB179+AC179-AD179</f>
        <v>3400</v>
      </c>
      <c r="AF179" s="60" t="n">
        <v>800</v>
      </c>
      <c r="AG179" s="61" t="n">
        <v>3000</v>
      </c>
      <c r="AH179" s="62" t="n">
        <f aca="false">AE179+AF179-AG179</f>
        <v>1200</v>
      </c>
      <c r="AI179" s="60" t="n">
        <v>800</v>
      </c>
      <c r="AJ179" s="61"/>
      <c r="AK179" s="62" t="n">
        <f aca="false">AH179+AI179-AJ179</f>
        <v>2000</v>
      </c>
      <c r="AL179" s="60" t="n">
        <v>800</v>
      </c>
      <c r="AM179" s="61"/>
      <c r="AN179" s="62" t="n">
        <f aca="false">AK179+AL179-AM179</f>
        <v>2800</v>
      </c>
    </row>
    <row collapsed="false" customFormat="false" customHeight="false" hidden="false" ht="25.5" outlineLevel="0" r="180">
      <c r="A180" s="19" t="n">
        <f aca="false">VLOOKUP(B180,справочник!$B$2:$E$322,4,0)</f>
        <v>42</v>
      </c>
      <c r="B180" s="0" t="e">
        <f aca="false">CONCATENATE(C180;D180)</f>
        <v>#VALUE!</v>
      </c>
      <c r="C180" s="24" t="n">
        <v>42</v>
      </c>
      <c r="D180" s="29" t="s">
        <v>299</v>
      </c>
      <c r="E180" s="24" t="s">
        <v>540</v>
      </c>
      <c r="F180" s="30" t="n">
        <v>40785</v>
      </c>
      <c r="G180" s="30" t="n">
        <v>40787</v>
      </c>
      <c r="H180" s="31" t="n">
        <f aca="false">INT(($H$325-G180)/30)</f>
        <v>52</v>
      </c>
      <c r="I180" s="24" t="n">
        <f aca="false">H180*1000</f>
        <v>52000</v>
      </c>
      <c r="J180" s="31" t="n">
        <f aca="false">19500+500+4500+23500</f>
        <v>48000</v>
      </c>
      <c r="K180" s="31"/>
      <c r="L180" s="59" t="n">
        <f aca="false">I180-J180-K180</f>
        <v>4000</v>
      </c>
      <c r="M180" s="85" t="n">
        <v>5000</v>
      </c>
      <c r="N180" s="85" t="n">
        <v>1400</v>
      </c>
      <c r="O180" s="85"/>
      <c r="P180" s="85" t="n">
        <v>1600</v>
      </c>
      <c r="Q180" s="85"/>
      <c r="R180" s="85" t="n">
        <v>1600</v>
      </c>
      <c r="S180" s="85"/>
      <c r="T180" s="85"/>
      <c r="U180" s="85"/>
      <c r="V180" s="85" t="n">
        <v>2400</v>
      </c>
      <c r="W180" s="85"/>
      <c r="X180" s="85" t="n">
        <v>1600</v>
      </c>
      <c r="Y180" s="59" t="n">
        <f aca="false">SUM(M180:X180)</f>
        <v>13600</v>
      </c>
      <c r="Z180" s="59" t="n">
        <v>12</v>
      </c>
      <c r="AA180" s="59" t="n">
        <f aca="false">Z180*800</f>
        <v>9600</v>
      </c>
      <c r="AB180" s="59" t="n">
        <f aca="false">L180+AA180-Y180</f>
        <v>0</v>
      </c>
      <c r="AC180" s="60" t="n">
        <v>800</v>
      </c>
      <c r="AD180" s="61"/>
      <c r="AE180" s="62" t="n">
        <f aca="false">AB180+AC180-AD180</f>
        <v>800</v>
      </c>
      <c r="AF180" s="60" t="n">
        <v>800</v>
      </c>
      <c r="AG180" s="61" t="n">
        <v>800</v>
      </c>
      <c r="AH180" s="62" t="n">
        <f aca="false">AE180+AF180-AG180</f>
        <v>800</v>
      </c>
      <c r="AI180" s="60" t="n">
        <v>800</v>
      </c>
      <c r="AJ180" s="61" t="n">
        <v>800</v>
      </c>
      <c r="AK180" s="62" t="n">
        <f aca="false">AH180+AI180-AJ180</f>
        <v>800</v>
      </c>
      <c r="AL180" s="60" t="n">
        <v>800</v>
      </c>
      <c r="AM180" s="61"/>
      <c r="AN180" s="62" t="n">
        <f aca="false">AK180+AL180-AM180</f>
        <v>1600</v>
      </c>
    </row>
    <row collapsed="false" customFormat="true" customHeight="false" hidden="false" ht="15" outlineLevel="0" r="181" s="64">
      <c r="A181" s="63" t="n">
        <f aca="false">VLOOKUP(B181,справочник!$B$2:$E$322,4,0)</f>
        <v>96</v>
      </c>
      <c r="B181" s="64" t="e">
        <f aca="false">CONCATENATE(C181;D181)</f>
        <v>#VALUE!</v>
      </c>
      <c r="C181" s="36" t="n">
        <v>101</v>
      </c>
      <c r="D181" s="65" t="s">
        <v>131</v>
      </c>
      <c r="E181" s="36" t="s">
        <v>541</v>
      </c>
      <c r="F181" s="34" t="n">
        <v>40708</v>
      </c>
      <c r="G181" s="34" t="n">
        <v>40725</v>
      </c>
      <c r="H181" s="35" t="n">
        <v>32</v>
      </c>
      <c r="I181" s="36" t="n">
        <f aca="false">H181*1000</f>
        <v>32000</v>
      </c>
      <c r="J181" s="35" t="n">
        <v>41012</v>
      </c>
      <c r="K181" s="35"/>
      <c r="L181" s="66" t="n">
        <f aca="false">I181-J181-K181</f>
        <v>-9012</v>
      </c>
      <c r="M181" s="87" t="n">
        <v>9000</v>
      </c>
      <c r="N181" s="87"/>
      <c r="O181" s="87"/>
      <c r="P181" s="87" t="n">
        <v>2000</v>
      </c>
      <c r="Q181" s="87"/>
      <c r="R181" s="87" t="n">
        <v>2000</v>
      </c>
      <c r="S181" s="87"/>
      <c r="T181" s="64" t="n">
        <v>2000</v>
      </c>
      <c r="U181" s="87"/>
      <c r="V181" s="87" t="n">
        <v>2000</v>
      </c>
      <c r="W181" s="87"/>
      <c r="X181" s="87" t="n">
        <v>2000</v>
      </c>
      <c r="Y181" s="66" t="n">
        <f aca="false">SUM(M181:X181)</f>
        <v>19000</v>
      </c>
      <c r="Z181" s="66" t="n">
        <v>12</v>
      </c>
      <c r="AA181" s="66" t="n">
        <f aca="false">Z181*800</f>
        <v>9600</v>
      </c>
      <c r="AB181" s="66" t="n">
        <f aca="false">L181+AA181-Y181</f>
        <v>-18412</v>
      </c>
      <c r="AC181" s="66" t="n">
        <v>800</v>
      </c>
      <c r="AD181" s="67"/>
      <c r="AE181" s="68" t="n">
        <f aca="false">SUM(AB181:AB182)+SUM(AC181:AC182)-SUM(AD181:AD182)</f>
        <v>-7612</v>
      </c>
      <c r="AF181" s="66" t="n">
        <v>800</v>
      </c>
      <c r="AG181" s="67" t="n">
        <v>2000</v>
      </c>
      <c r="AH181" s="68" t="n">
        <f aca="false">SUM(AE181:AE182)+SUM(AF181:AF182)-SUM(AG181:AG182)</f>
        <v>-8812</v>
      </c>
      <c r="AI181" s="66" t="n">
        <v>800</v>
      </c>
      <c r="AJ181" s="67"/>
      <c r="AK181" s="68" t="n">
        <f aca="false">SUM(AH181:AH182)+SUM(AI181:AI182)-SUM(AJ181:AJ182)</f>
        <v>-8012</v>
      </c>
      <c r="AL181" s="66" t="n">
        <v>800</v>
      </c>
      <c r="AM181" s="67"/>
      <c r="AN181" s="68" t="n">
        <f aca="false">SUM(AK181:AK182)+SUM(AL181:AL182)-SUM(AM181:AM182)</f>
        <v>-7212</v>
      </c>
    </row>
    <row collapsed="false" customFormat="false" customHeight="false" hidden="false" ht="15" outlineLevel="0" r="182">
      <c r="A182" s="63" t="n">
        <f aca="false">VLOOKUP(B182,справочник!$B$2:$E$322,4,0)</f>
        <v>96</v>
      </c>
      <c r="B182" s="64" t="e">
        <f aca="false">CONCATENATE(C182;D182)</f>
        <v>#VALUE!</v>
      </c>
      <c r="C182" s="36" t="n">
        <v>102</v>
      </c>
      <c r="D182" s="65" t="s">
        <v>131</v>
      </c>
      <c r="E182" s="36"/>
      <c r="F182" s="34" t="n">
        <v>40708</v>
      </c>
      <c r="G182" s="34" t="n">
        <v>40725</v>
      </c>
      <c r="H182" s="35" t="n">
        <v>51</v>
      </c>
      <c r="I182" s="36" t="n">
        <f aca="false">H182*1000</f>
        <v>51000</v>
      </c>
      <c r="J182" s="35" t="n">
        <v>41000</v>
      </c>
      <c r="K182" s="35"/>
      <c r="L182" s="66" t="n">
        <f aca="false">I182-J182-K182</f>
        <v>10000</v>
      </c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66" t="n">
        <f aca="false">SUM(M182:X182)</f>
        <v>0</v>
      </c>
      <c r="Z182" s="66" t="n">
        <v>0</v>
      </c>
      <c r="AA182" s="66" t="n">
        <f aca="false">Z182*800</f>
        <v>0</v>
      </c>
      <c r="AB182" s="66" t="n">
        <f aca="false">L182+AA182-Y182</f>
        <v>10000</v>
      </c>
      <c r="AC182" s="66" t="n">
        <v>0</v>
      </c>
      <c r="AD182" s="67"/>
      <c r="AE182" s="68"/>
      <c r="AF182" s="66" t="n">
        <v>0</v>
      </c>
      <c r="AG182" s="67"/>
      <c r="AH182" s="68"/>
      <c r="AI182" s="66" t="n">
        <v>0</v>
      </c>
      <c r="AJ182" s="67"/>
      <c r="AK182" s="68"/>
      <c r="AL182" s="66" t="n">
        <v>0</v>
      </c>
      <c r="AM182" s="67"/>
      <c r="AN182" s="68"/>
    </row>
    <row collapsed="false" customFormat="false" customHeight="false" hidden="false" ht="15" outlineLevel="0" r="183">
      <c r="A183" s="19" t="n">
        <f aca="false">VLOOKUP(B183,справочник!$B$2:$E$322,4,0)</f>
        <v>292</v>
      </c>
      <c r="B183" s="0" t="e">
        <f aca="false">CONCATENATE(C183;D183)</f>
        <v>#VALUE!</v>
      </c>
      <c r="C183" s="24" t="n">
        <v>305</v>
      </c>
      <c r="D183" s="29" t="s">
        <v>144</v>
      </c>
      <c r="E183" s="24" t="s">
        <v>542</v>
      </c>
      <c r="F183" s="30" t="n">
        <v>42018</v>
      </c>
      <c r="G183" s="30" t="n">
        <v>42036</v>
      </c>
      <c r="H183" s="31" t="n">
        <f aca="false">INT(($H$325-G183)/30)</f>
        <v>11</v>
      </c>
      <c r="I183" s="24" t="n">
        <f aca="false">H183*1000</f>
        <v>11000</v>
      </c>
      <c r="J183" s="31"/>
      <c r="K183" s="31"/>
      <c r="L183" s="59" t="n">
        <f aca="false">I183-J183-K183</f>
        <v>11000</v>
      </c>
      <c r="M183" s="85"/>
      <c r="N183" s="85"/>
      <c r="O183" s="85"/>
      <c r="P183" s="85"/>
      <c r="Q183" s="85"/>
      <c r="R183" s="85"/>
      <c r="S183" s="85"/>
      <c r="T183" s="85"/>
      <c r="U183" s="85"/>
      <c r="V183" s="85"/>
      <c r="W183" s="85"/>
      <c r="X183" s="85"/>
      <c r="Y183" s="59" t="n">
        <f aca="false">SUM(M183:X183)</f>
        <v>0</v>
      </c>
      <c r="Z183" s="59" t="n">
        <v>12</v>
      </c>
      <c r="AA183" s="59" t="n">
        <f aca="false">Z183*800</f>
        <v>9600</v>
      </c>
      <c r="AB183" s="59" t="n">
        <f aca="false">L183+AA183-Y183</f>
        <v>20600</v>
      </c>
      <c r="AC183" s="60" t="n">
        <v>800</v>
      </c>
      <c r="AD183" s="61"/>
      <c r="AE183" s="62" t="n">
        <f aca="false">AB183+AC183-AD183</f>
        <v>21400</v>
      </c>
      <c r="AF183" s="60" t="n">
        <v>800</v>
      </c>
      <c r="AG183" s="61"/>
      <c r="AH183" s="62" t="n">
        <f aca="false">AE183+AF183-AG183</f>
        <v>22200</v>
      </c>
      <c r="AI183" s="60" t="n">
        <v>800</v>
      </c>
      <c r="AJ183" s="61"/>
      <c r="AK183" s="62" t="n">
        <f aca="false">AH183+AI183-AJ183</f>
        <v>23000</v>
      </c>
      <c r="AL183" s="60" t="n">
        <v>800</v>
      </c>
      <c r="AM183" s="61"/>
      <c r="AN183" s="62" t="n">
        <f aca="false">AK183+AL183-AM183</f>
        <v>23800</v>
      </c>
    </row>
    <row collapsed="false" customFormat="false" customHeight="false" hidden="false" ht="15" outlineLevel="0" r="184">
      <c r="A184" s="19" t="n">
        <f aca="false">VLOOKUP(B184,справочник!$B$2:$E$322,4,0)</f>
        <v>209</v>
      </c>
      <c r="B184" s="0" t="e">
        <f aca="false">CONCATENATE(C184;D184)</f>
        <v>#VALUE!</v>
      </c>
      <c r="C184" s="24" t="n">
        <v>219</v>
      </c>
      <c r="D184" s="29" t="s">
        <v>118</v>
      </c>
      <c r="E184" s="24"/>
      <c r="F184" s="30" t="n">
        <v>41248</v>
      </c>
      <c r="G184" s="30" t="n">
        <v>41334</v>
      </c>
      <c r="H184" s="31" t="n">
        <v>20</v>
      </c>
      <c r="I184" s="24" t="n">
        <f aca="false">H184*1000</f>
        <v>20000</v>
      </c>
      <c r="J184" s="31"/>
      <c r="K184" s="31"/>
      <c r="L184" s="59" t="n">
        <f aca="false">I184-J184-K184</f>
        <v>20000</v>
      </c>
      <c r="M184" s="85"/>
      <c r="N184" s="85"/>
      <c r="O184" s="85"/>
      <c r="P184" s="85"/>
      <c r="Q184" s="85" t="n">
        <v>2000</v>
      </c>
      <c r="R184" s="85" t="n">
        <v>3000</v>
      </c>
      <c r="S184" s="85"/>
      <c r="T184" s="0" t="n">
        <v>3000</v>
      </c>
      <c r="U184" s="85"/>
      <c r="V184" s="85" t="n">
        <v>3000</v>
      </c>
      <c r="W184" s="85" t="n">
        <v>2000</v>
      </c>
      <c r="X184" s="85"/>
      <c r="Y184" s="59" t="n">
        <f aca="false">SUM(M184:X184)</f>
        <v>13000</v>
      </c>
      <c r="Z184" s="59" t="n">
        <v>12</v>
      </c>
      <c r="AA184" s="59" t="n">
        <f aca="false">Z184*800</f>
        <v>9600</v>
      </c>
      <c r="AB184" s="59" t="n">
        <f aca="false">L184+AA184-Y184</f>
        <v>16600</v>
      </c>
      <c r="AC184" s="60" t="n">
        <v>800</v>
      </c>
      <c r="AD184" s="61"/>
      <c r="AE184" s="62" t="n">
        <f aca="false">AB184+AC184-AD184</f>
        <v>17400</v>
      </c>
      <c r="AF184" s="60" t="n">
        <v>800</v>
      </c>
      <c r="AG184" s="61"/>
      <c r="AH184" s="62" t="n">
        <f aca="false">AE184+AF184-AG184</f>
        <v>18200</v>
      </c>
      <c r="AI184" s="60" t="n">
        <v>800</v>
      </c>
      <c r="AJ184" s="61"/>
      <c r="AK184" s="62" t="n">
        <f aca="false">AH184+AI184-AJ184</f>
        <v>19000</v>
      </c>
      <c r="AL184" s="60" t="n">
        <v>800</v>
      </c>
      <c r="AM184" s="61"/>
      <c r="AN184" s="62" t="n">
        <f aca="false">AK184+AL184-AM184</f>
        <v>19800</v>
      </c>
    </row>
    <row collapsed="false" customFormat="false" customHeight="false" hidden="false" ht="15" outlineLevel="0" r="185">
      <c r="A185" s="19" t="n">
        <f aca="false">VLOOKUP(B185,справочник!$B$2:$E$322,4,0)</f>
        <v>257</v>
      </c>
      <c r="B185" s="0" t="e">
        <f aca="false">CONCATENATE(C185;D185)</f>
        <v>#VALUE!</v>
      </c>
      <c r="C185" s="24" t="n">
        <v>270</v>
      </c>
      <c r="D185" s="29" t="s">
        <v>69</v>
      </c>
      <c r="E185" s="24" t="s">
        <v>543</v>
      </c>
      <c r="F185" s="30" t="n">
        <v>41526</v>
      </c>
      <c r="G185" s="30" t="n">
        <v>41548</v>
      </c>
      <c r="H185" s="31" t="n">
        <f aca="false">INT(($H$325-G185)/30)</f>
        <v>27</v>
      </c>
      <c r="I185" s="24" t="n">
        <f aca="false">H185*1000</f>
        <v>27000</v>
      </c>
      <c r="J185" s="31" t="n">
        <v>1000</v>
      </c>
      <c r="K185" s="31"/>
      <c r="L185" s="59" t="n">
        <f aca="false">I185-J185-K185</f>
        <v>26000</v>
      </c>
      <c r="M185" s="85"/>
      <c r="N185" s="85"/>
      <c r="O185" s="85"/>
      <c r="P185" s="85"/>
      <c r="Q185" s="85"/>
      <c r="R185" s="85"/>
      <c r="S185" s="85"/>
      <c r="T185" s="85"/>
      <c r="U185" s="85"/>
      <c r="V185" s="85"/>
      <c r="W185" s="85"/>
      <c r="X185" s="85"/>
      <c r="Y185" s="59" t="n">
        <f aca="false">SUM(M185:X185)</f>
        <v>0</v>
      </c>
      <c r="Z185" s="59" t="n">
        <v>12</v>
      </c>
      <c r="AA185" s="59" t="n">
        <f aca="false">Z185*800</f>
        <v>9600</v>
      </c>
      <c r="AB185" s="59" t="n">
        <f aca="false">L185+AA185-Y185</f>
        <v>35600</v>
      </c>
      <c r="AC185" s="60" t="n">
        <v>800</v>
      </c>
      <c r="AD185" s="61"/>
      <c r="AE185" s="62" t="n">
        <f aca="false">AB185+AC185-AD185</f>
        <v>36400</v>
      </c>
      <c r="AF185" s="60" t="n">
        <v>800</v>
      </c>
      <c r="AG185" s="61"/>
      <c r="AH185" s="62" t="n">
        <f aca="false">AE185+AF185-AG185</f>
        <v>37200</v>
      </c>
      <c r="AI185" s="60" t="n">
        <v>800</v>
      </c>
      <c r="AJ185" s="61"/>
      <c r="AK185" s="62" t="n">
        <f aca="false">AH185+AI185-AJ185</f>
        <v>38000</v>
      </c>
      <c r="AL185" s="60" t="n">
        <v>800</v>
      </c>
      <c r="AM185" s="61"/>
      <c r="AN185" s="62" t="n">
        <f aca="false">AK185+AL185-AM185</f>
        <v>38800</v>
      </c>
    </row>
    <row collapsed="false" customFormat="false" customHeight="false" hidden="false" ht="15" outlineLevel="0" r="186">
      <c r="A186" s="19" t="n">
        <f aca="false">VLOOKUP(B186,справочник!$B$2:$E$322,4,0)</f>
        <v>212</v>
      </c>
      <c r="B186" s="0" t="e">
        <f aca="false">CONCATENATE(C186;D186)</f>
        <v>#VALUE!</v>
      </c>
      <c r="C186" s="24" t="n">
        <v>221</v>
      </c>
      <c r="D186" s="29" t="s">
        <v>209</v>
      </c>
      <c r="E186" s="24" t="s">
        <v>544</v>
      </c>
      <c r="F186" s="30" t="n">
        <v>41552</v>
      </c>
      <c r="G186" s="30" t="n">
        <v>41579</v>
      </c>
      <c r="H186" s="31" t="n">
        <f aca="false">INT(($H$325-G186)/30)</f>
        <v>26</v>
      </c>
      <c r="I186" s="24" t="n">
        <f aca="false">H186*1000</f>
        <v>26000</v>
      </c>
      <c r="J186" s="31" t="n">
        <v>23000</v>
      </c>
      <c r="K186" s="31"/>
      <c r="L186" s="59" t="n">
        <f aca="false">I186-J186-K186</f>
        <v>3000</v>
      </c>
      <c r="M186" s="85" t="n">
        <v>600</v>
      </c>
      <c r="N186" s="85"/>
      <c r="O186" s="85" t="n">
        <v>1600</v>
      </c>
      <c r="P186" s="85" t="n">
        <v>800</v>
      </c>
      <c r="Q186" s="85"/>
      <c r="R186" s="85"/>
      <c r="S186" s="85" t="n">
        <v>800</v>
      </c>
      <c r="T186" s="0" t="n">
        <v>800</v>
      </c>
      <c r="U186" s="85"/>
      <c r="V186" s="85" t="n">
        <v>1600</v>
      </c>
      <c r="W186" s="85"/>
      <c r="X186" s="85" t="n">
        <v>1600</v>
      </c>
      <c r="Y186" s="59" t="n">
        <f aca="false">SUM(M186:X186)</f>
        <v>7800</v>
      </c>
      <c r="Z186" s="59" t="n">
        <v>12</v>
      </c>
      <c r="AA186" s="59" t="n">
        <f aca="false">Z186*800</f>
        <v>9600</v>
      </c>
      <c r="AB186" s="59" t="n">
        <f aca="false">L186+AA186-Y186</f>
        <v>4800</v>
      </c>
      <c r="AC186" s="60" t="n">
        <v>800</v>
      </c>
      <c r="AD186" s="61"/>
      <c r="AE186" s="62" t="n">
        <f aca="false">AB186+AC186-AD186</f>
        <v>5600</v>
      </c>
      <c r="AF186" s="60" t="n">
        <v>800</v>
      </c>
      <c r="AG186" s="61"/>
      <c r="AH186" s="62" t="n">
        <f aca="false">AE186+AF186-AG186</f>
        <v>6400</v>
      </c>
      <c r="AI186" s="60" t="n">
        <v>800</v>
      </c>
      <c r="AJ186" s="61" t="n">
        <v>1600</v>
      </c>
      <c r="AK186" s="62" t="n">
        <f aca="false">AH186+AI186-AJ186</f>
        <v>5600</v>
      </c>
      <c r="AL186" s="60" t="n">
        <v>800</v>
      </c>
      <c r="AM186" s="61" t="n">
        <v>800</v>
      </c>
      <c r="AN186" s="62" t="n">
        <f aca="false">AK186+AL186-AM186</f>
        <v>5600</v>
      </c>
    </row>
    <row collapsed="false" customFormat="false" customHeight="false" hidden="false" ht="15" outlineLevel="0" r="187">
      <c r="A187" s="19" t="e">
        <f aca="false">VLOOKUP(B187,справочник!$B$2:$E$322,4,0)</f>
        <v>#VALUE!</v>
      </c>
      <c r="B187" s="0" t="e">
        <f aca="false">CONCATENATE(C187;D187)</f>
        <v>#VALUE!</v>
      </c>
      <c r="C187" s="24" t="n">
        <v>59</v>
      </c>
      <c r="D187" s="29" t="s">
        <v>324</v>
      </c>
      <c r="E187" s="24"/>
      <c r="F187" s="30"/>
      <c r="G187" s="30"/>
      <c r="H187" s="31"/>
      <c r="I187" s="24"/>
      <c r="J187" s="31"/>
      <c r="K187" s="31"/>
      <c r="L187" s="59"/>
      <c r="M187" s="85"/>
      <c r="N187" s="85"/>
      <c r="O187" s="85"/>
      <c r="P187" s="85" t="n">
        <v>3200</v>
      </c>
      <c r="Q187" s="85"/>
      <c r="R187" s="85"/>
      <c r="S187" s="85"/>
      <c r="U187" s="85"/>
      <c r="V187" s="85"/>
      <c r="W187" s="18" t="n">
        <v>6400</v>
      </c>
      <c r="X187" s="85"/>
      <c r="Y187" s="59" t="n">
        <f aca="false">SUM(M187:X187)</f>
        <v>9600</v>
      </c>
      <c r="Z187" s="59" t="n">
        <v>12</v>
      </c>
      <c r="AA187" s="59" t="n">
        <f aca="false">Z187*800</f>
        <v>9600</v>
      </c>
      <c r="AB187" s="59" t="n">
        <f aca="false">L187+AA187-Y187</f>
        <v>0</v>
      </c>
      <c r="AC187" s="60" t="n">
        <v>800</v>
      </c>
      <c r="AD187" s="61"/>
      <c r="AE187" s="62" t="n">
        <f aca="false">AB187+AC187-AD187</f>
        <v>800</v>
      </c>
      <c r="AF187" s="60" t="n">
        <v>800</v>
      </c>
      <c r="AG187" s="61"/>
      <c r="AH187" s="62" t="n">
        <f aca="false">AE187+AF187-AG187</f>
        <v>1600</v>
      </c>
      <c r="AI187" s="60" t="n">
        <v>800</v>
      </c>
      <c r="AJ187" s="61" t="n">
        <v>3200</v>
      </c>
      <c r="AK187" s="62" t="n">
        <f aca="false">AH187+AI187-AJ187</f>
        <v>-800</v>
      </c>
      <c r="AL187" s="60" t="n">
        <v>800</v>
      </c>
      <c r="AM187" s="61"/>
      <c r="AN187" s="62" t="n">
        <f aca="false">AK187+AL187-AM187</f>
        <v>0</v>
      </c>
    </row>
    <row collapsed="false" customFormat="false" customHeight="false" hidden="false" ht="25.5" outlineLevel="0" r="188">
      <c r="A188" s="19" t="n">
        <f aca="false">VLOOKUP(B188,справочник!$B$2:$E$322,4,0)</f>
        <v>186</v>
      </c>
      <c r="B188" s="0" t="e">
        <f aca="false">CONCATENATE(C188;D188)</f>
        <v>#VALUE!</v>
      </c>
      <c r="C188" s="24" t="n">
        <v>194</v>
      </c>
      <c r="D188" s="29" t="s">
        <v>228</v>
      </c>
      <c r="E188" s="24" t="s">
        <v>545</v>
      </c>
      <c r="F188" s="30" t="n">
        <v>41872</v>
      </c>
      <c r="G188" s="30" t="n">
        <v>41883</v>
      </c>
      <c r="H188" s="31" t="n">
        <f aca="false">INT(($H$325-G188)/30)</f>
        <v>16</v>
      </c>
      <c r="I188" s="24" t="n">
        <f aca="false">H188*1000</f>
        <v>16000</v>
      </c>
      <c r="J188" s="31" t="n">
        <v>12000</v>
      </c>
      <c r="K188" s="31"/>
      <c r="L188" s="59" t="n">
        <f aca="false">I188-J188-K188</f>
        <v>4000</v>
      </c>
      <c r="M188" s="85"/>
      <c r="N188" s="85"/>
      <c r="O188" s="85"/>
      <c r="P188" s="85" t="n">
        <v>5000</v>
      </c>
      <c r="Q188" s="85"/>
      <c r="R188" s="85"/>
      <c r="S188" s="85"/>
      <c r="T188" s="85"/>
      <c r="U188" s="85"/>
      <c r="V188" s="85"/>
      <c r="W188" s="85"/>
      <c r="X188" s="85"/>
      <c r="Y188" s="59" t="n">
        <f aca="false">SUM(M188:X188)</f>
        <v>5000</v>
      </c>
      <c r="Z188" s="59" t="n">
        <v>12</v>
      </c>
      <c r="AA188" s="59" t="n">
        <f aca="false">Z188*800</f>
        <v>9600</v>
      </c>
      <c r="AB188" s="59" t="n">
        <f aca="false">L188+AA188-Y188</f>
        <v>8600</v>
      </c>
      <c r="AC188" s="60" t="n">
        <v>800</v>
      </c>
      <c r="AD188" s="61"/>
      <c r="AE188" s="62" t="n">
        <f aca="false">AB188+AC188-AD188</f>
        <v>9400</v>
      </c>
      <c r="AF188" s="60" t="n">
        <v>800</v>
      </c>
      <c r="AG188" s="61"/>
      <c r="AH188" s="62" t="n">
        <f aca="false">AE188+AF188-AG188</f>
        <v>10200</v>
      </c>
      <c r="AI188" s="60" t="n">
        <v>800</v>
      </c>
      <c r="AJ188" s="61"/>
      <c r="AK188" s="62" t="n">
        <f aca="false">AH188+AI188-AJ188</f>
        <v>11000</v>
      </c>
      <c r="AL188" s="60" t="n">
        <v>800</v>
      </c>
      <c r="AM188" s="61"/>
      <c r="AN188" s="62" t="n">
        <f aca="false">AK188+AL188-AM188</f>
        <v>11800</v>
      </c>
    </row>
    <row collapsed="false" customFormat="false" customHeight="false" hidden="false" ht="15" outlineLevel="0" r="189">
      <c r="A189" s="19" t="n">
        <f aca="false">VLOOKUP(B189,справочник!$B$2:$E$322,4,0)</f>
        <v>187</v>
      </c>
      <c r="B189" s="0" t="e">
        <f aca="false">CONCATENATE(C189;D189)</f>
        <v>#VALUE!</v>
      </c>
      <c r="C189" s="24" t="n">
        <v>195</v>
      </c>
      <c r="D189" s="29" t="s">
        <v>83</v>
      </c>
      <c r="E189" s="24" t="s">
        <v>546</v>
      </c>
      <c r="F189" s="30" t="n">
        <v>41542</v>
      </c>
      <c r="G189" s="30" t="n">
        <v>41548</v>
      </c>
      <c r="H189" s="31" t="n">
        <f aca="false">INT(($H$325-G189)/30)</f>
        <v>27</v>
      </c>
      <c r="I189" s="24" t="n">
        <f aca="false">H189*1000</f>
        <v>27000</v>
      </c>
      <c r="J189" s="31"/>
      <c r="K189" s="31"/>
      <c r="L189" s="59" t="n">
        <f aca="false">I189-J189-K189</f>
        <v>27000</v>
      </c>
      <c r="M189" s="85"/>
      <c r="N189" s="85"/>
      <c r="O189" s="85"/>
      <c r="P189" s="85" t="n">
        <v>5000</v>
      </c>
      <c r="Q189" s="85"/>
      <c r="R189" s="85"/>
      <c r="S189" s="85"/>
      <c r="T189" s="0" t="n">
        <v>5000</v>
      </c>
      <c r="U189" s="85"/>
      <c r="V189" s="85"/>
      <c r="W189" s="85"/>
      <c r="X189" s="85"/>
      <c r="Y189" s="59" t="n">
        <f aca="false">SUM(M189:X189)</f>
        <v>10000</v>
      </c>
      <c r="Z189" s="59" t="n">
        <v>12</v>
      </c>
      <c r="AA189" s="59" t="n">
        <f aca="false">Z189*800</f>
        <v>9600</v>
      </c>
      <c r="AB189" s="59" t="n">
        <f aca="false">L189+AA189-Y189</f>
        <v>26600</v>
      </c>
      <c r="AC189" s="60" t="n">
        <v>800</v>
      </c>
      <c r="AD189" s="61"/>
      <c r="AE189" s="62" t="n">
        <f aca="false">AB189+AC189-AD189</f>
        <v>27400</v>
      </c>
      <c r="AF189" s="60" t="n">
        <v>800</v>
      </c>
      <c r="AG189" s="61"/>
      <c r="AH189" s="62" t="n">
        <f aca="false">AE189+AF189-AG189</f>
        <v>28200</v>
      </c>
      <c r="AI189" s="60" t="n">
        <v>800</v>
      </c>
      <c r="AJ189" s="61"/>
      <c r="AK189" s="62" t="n">
        <f aca="false">AH189+AI189-AJ189</f>
        <v>29000</v>
      </c>
      <c r="AL189" s="60" t="n">
        <v>800</v>
      </c>
      <c r="AM189" s="61"/>
      <c r="AN189" s="62" t="n">
        <f aca="false">AK189+AL189-AM189</f>
        <v>29800</v>
      </c>
    </row>
    <row collapsed="false" customFormat="false" customHeight="false" hidden="false" ht="15" outlineLevel="0" r="190">
      <c r="A190" s="19" t="n">
        <f aca="false">VLOOKUP(B190,справочник!$B$2:$E$322,4,0)</f>
        <v>211</v>
      </c>
      <c r="B190" s="0" t="e">
        <f aca="false">CONCATENATE(C190;D190)</f>
        <v>#VALUE!</v>
      </c>
      <c r="C190" s="24" t="n">
        <v>220</v>
      </c>
      <c r="D190" s="29" t="s">
        <v>236</v>
      </c>
      <c r="E190" s="24" t="s">
        <v>547</v>
      </c>
      <c r="F190" s="30" t="n">
        <v>41417</v>
      </c>
      <c r="G190" s="30" t="n">
        <v>41426</v>
      </c>
      <c r="H190" s="31" t="n">
        <f aca="false">INT(($H$325-G190)/30)</f>
        <v>31</v>
      </c>
      <c r="I190" s="24" t="n">
        <f aca="false">H190*1000</f>
        <v>31000</v>
      </c>
      <c r="J190" s="31" t="n">
        <v>26000</v>
      </c>
      <c r="K190" s="31" t="n">
        <v>7000</v>
      </c>
      <c r="L190" s="59" t="n">
        <f aca="false">I190-J190-K190</f>
        <v>-2000</v>
      </c>
      <c r="M190" s="85"/>
      <c r="N190" s="85"/>
      <c r="O190" s="85"/>
      <c r="P190" s="85"/>
      <c r="Q190" s="85"/>
      <c r="R190" s="85"/>
      <c r="S190" s="85"/>
      <c r="T190" s="85"/>
      <c r="U190" s="85"/>
      <c r="V190" s="85" t="n">
        <v>9600</v>
      </c>
      <c r="W190" s="85"/>
      <c r="X190" s="85"/>
      <c r="Y190" s="59" t="n">
        <f aca="false">SUM(M190:X190)</f>
        <v>9600</v>
      </c>
      <c r="Z190" s="59" t="n">
        <v>12</v>
      </c>
      <c r="AA190" s="59" t="n">
        <f aca="false">Z190*800</f>
        <v>9600</v>
      </c>
      <c r="AB190" s="59" t="n">
        <f aca="false">L190+AA190-Y190</f>
        <v>-2000</v>
      </c>
      <c r="AC190" s="60" t="n">
        <v>800</v>
      </c>
      <c r="AD190" s="61"/>
      <c r="AE190" s="62" t="n">
        <f aca="false">AB190+AC190-AD190</f>
        <v>-1200</v>
      </c>
      <c r="AF190" s="60" t="n">
        <v>800</v>
      </c>
      <c r="AG190" s="61"/>
      <c r="AH190" s="62" t="n">
        <f aca="false">AE190+AF190-AG190</f>
        <v>-400</v>
      </c>
      <c r="AI190" s="60" t="n">
        <v>800</v>
      </c>
      <c r="AJ190" s="61"/>
      <c r="AK190" s="62" t="n">
        <f aca="false">AH190+AI190-AJ190</f>
        <v>400</v>
      </c>
      <c r="AL190" s="60" t="n">
        <v>800</v>
      </c>
      <c r="AM190" s="61"/>
      <c r="AN190" s="62" t="n">
        <f aca="false">AK190+AL190-AM190</f>
        <v>1200</v>
      </c>
    </row>
    <row collapsed="false" customFormat="false" customHeight="true" hidden="false" ht="25.5" outlineLevel="0" r="191">
      <c r="A191" s="19" t="n">
        <f aca="false">VLOOKUP(B191,справочник!$B$2:$E$322,4,0)</f>
        <v>242</v>
      </c>
      <c r="B191" s="0" t="e">
        <f aca="false">CONCATENATE(C191;D191)</f>
        <v>#VALUE!</v>
      </c>
      <c r="C191" s="24" t="n">
        <v>253</v>
      </c>
      <c r="D191" s="29" t="s">
        <v>63</v>
      </c>
      <c r="E191" s="24" t="s">
        <v>548</v>
      </c>
      <c r="F191" s="30" t="n">
        <v>41352</v>
      </c>
      <c r="G191" s="30" t="n">
        <v>41365</v>
      </c>
      <c r="H191" s="31" t="n">
        <f aca="false">INT(($H$325-G191)/30)</f>
        <v>33</v>
      </c>
      <c r="I191" s="24" t="n">
        <f aca="false">H191*1000</f>
        <v>33000</v>
      </c>
      <c r="J191" s="31" t="n">
        <v>4000</v>
      </c>
      <c r="K191" s="31"/>
      <c r="L191" s="59" t="n">
        <f aca="false">I191-J191-K191</f>
        <v>29000</v>
      </c>
      <c r="M191" s="85"/>
      <c r="N191" s="85"/>
      <c r="O191" s="85"/>
      <c r="P191" s="85"/>
      <c r="Q191" s="85"/>
      <c r="R191" s="85"/>
      <c r="S191" s="85"/>
      <c r="T191" s="85"/>
      <c r="U191" s="85"/>
      <c r="V191" s="85"/>
      <c r="W191" s="85"/>
      <c r="X191" s="85"/>
      <c r="Y191" s="59" t="n">
        <f aca="false">SUM(M191:X191)</f>
        <v>0</v>
      </c>
      <c r="Z191" s="59" t="n">
        <v>12</v>
      </c>
      <c r="AA191" s="59" t="n">
        <f aca="false">Z191*800</f>
        <v>9600</v>
      </c>
      <c r="AB191" s="59" t="n">
        <f aca="false">L191+AA191-Y191</f>
        <v>38600</v>
      </c>
      <c r="AC191" s="60" t="n">
        <v>800</v>
      </c>
      <c r="AD191" s="61"/>
      <c r="AE191" s="62" t="n">
        <f aca="false">AB191+AC191-AD191</f>
        <v>39400</v>
      </c>
      <c r="AF191" s="60" t="n">
        <v>800</v>
      </c>
      <c r="AG191" s="61"/>
      <c r="AH191" s="62" t="n">
        <f aca="false">AE191+AF191-AG191</f>
        <v>40200</v>
      </c>
      <c r="AI191" s="60" t="n">
        <v>800</v>
      </c>
      <c r="AJ191" s="61"/>
      <c r="AK191" s="62" t="n">
        <f aca="false">AH191+AI191-AJ191</f>
        <v>41000</v>
      </c>
      <c r="AL191" s="60" t="n">
        <v>800</v>
      </c>
      <c r="AM191" s="61"/>
      <c r="AN191" s="62" t="n">
        <f aca="false">AK191+AL191-AM191</f>
        <v>41800</v>
      </c>
    </row>
    <row collapsed="false" customFormat="false" customHeight="false" hidden="false" ht="15" outlineLevel="0" r="192">
      <c r="A192" s="19" t="n">
        <f aca="false">VLOOKUP(B192,справочник!$B$2:$E$322,4,0)</f>
        <v>218</v>
      </c>
      <c r="B192" s="0" t="e">
        <f aca="false">CONCATENATE(C192;D192)</f>
        <v>#VALUE!</v>
      </c>
      <c r="C192" s="44" t="n">
        <v>227</v>
      </c>
      <c r="D192" s="29" t="s">
        <v>164</v>
      </c>
      <c r="E192" s="24" t="s">
        <v>549</v>
      </c>
      <c r="F192" s="30" t="n">
        <v>40793</v>
      </c>
      <c r="G192" s="30" t="n">
        <v>40787</v>
      </c>
      <c r="H192" s="31" t="n">
        <f aca="false">INT(($H$325-G192)/30)</f>
        <v>52</v>
      </c>
      <c r="I192" s="24" t="n">
        <f aca="false">H192*1000</f>
        <v>52000</v>
      </c>
      <c r="J192" s="31" t="n">
        <v>33000</v>
      </c>
      <c r="K192" s="31" t="n">
        <v>5000</v>
      </c>
      <c r="L192" s="59" t="n">
        <f aca="false">I192-J192-K192</f>
        <v>14000</v>
      </c>
      <c r="M192" s="85"/>
      <c r="N192" s="85"/>
      <c r="O192" s="85" t="n">
        <v>1000</v>
      </c>
      <c r="P192" s="85"/>
      <c r="Q192" s="85"/>
      <c r="R192" s="85" t="n">
        <v>5000</v>
      </c>
      <c r="S192" s="88" t="n">
        <v>12000</v>
      </c>
      <c r="T192" s="85"/>
      <c r="U192" s="85" t="n">
        <v>3200</v>
      </c>
      <c r="V192" s="85"/>
      <c r="W192" s="85"/>
      <c r="X192" s="85" t="n">
        <v>2400</v>
      </c>
      <c r="Y192" s="59" t="n">
        <f aca="false">SUM(M192:X192)</f>
        <v>23600</v>
      </c>
      <c r="Z192" s="59" t="n">
        <v>12</v>
      </c>
      <c r="AA192" s="59" t="n">
        <f aca="false">Z192*800</f>
        <v>9600</v>
      </c>
      <c r="AB192" s="59" t="n">
        <f aca="false">L192+AA192-Y192</f>
        <v>0</v>
      </c>
      <c r="AC192" s="60" t="n">
        <v>800</v>
      </c>
      <c r="AD192" s="61"/>
      <c r="AE192" s="62" t="n">
        <f aca="false">AB192+AC192-AD192</f>
        <v>800</v>
      </c>
      <c r="AF192" s="60" t="n">
        <v>800</v>
      </c>
      <c r="AG192" s="61" t="n">
        <v>800</v>
      </c>
      <c r="AH192" s="62" t="n">
        <f aca="false">AE192+AF192-AG192</f>
        <v>800</v>
      </c>
      <c r="AI192" s="60" t="n">
        <v>800</v>
      </c>
      <c r="AJ192" s="61" t="n">
        <v>800</v>
      </c>
      <c r="AK192" s="62" t="n">
        <f aca="false">AH192+AI192-AJ192</f>
        <v>800</v>
      </c>
      <c r="AL192" s="60" t="n">
        <v>800</v>
      </c>
      <c r="AM192" s="61"/>
      <c r="AN192" s="62" t="n">
        <f aca="false">AK192+AL192-AM192</f>
        <v>1600</v>
      </c>
    </row>
    <row collapsed="false" customFormat="false" customHeight="false" hidden="false" ht="15" outlineLevel="0" r="193">
      <c r="A193" s="19" t="n">
        <f aca="false">VLOOKUP(B193,справочник!$B$2:$E$322,4,0)</f>
        <v>120</v>
      </c>
      <c r="B193" s="0" t="e">
        <f aca="false">CONCATENATE(C193;D193)</f>
        <v>#VALUE!</v>
      </c>
      <c r="C193" s="24" t="n">
        <v>125</v>
      </c>
      <c r="D193" s="29" t="s">
        <v>284</v>
      </c>
      <c r="E193" s="24" t="s">
        <v>550</v>
      </c>
      <c r="F193" s="30" t="n">
        <v>41417</v>
      </c>
      <c r="G193" s="30" t="n">
        <v>41426</v>
      </c>
      <c r="H193" s="31" t="n">
        <f aca="false">INT(($H$325-G193)/30)</f>
        <v>31</v>
      </c>
      <c r="I193" s="24" t="n">
        <f aca="false">H193*1000</f>
        <v>31000</v>
      </c>
      <c r="J193" s="31" t="n">
        <v>21000</v>
      </c>
      <c r="K193" s="31"/>
      <c r="L193" s="59" t="n">
        <f aca="false">I193-J193-K193</f>
        <v>10000</v>
      </c>
      <c r="M193" s="85" t="n">
        <v>5000</v>
      </c>
      <c r="N193" s="85" t="n">
        <v>6600</v>
      </c>
      <c r="O193" s="85" t="n">
        <v>2000</v>
      </c>
      <c r="P193" s="85"/>
      <c r="Q193" s="85"/>
      <c r="R193" s="85" t="n">
        <v>1200</v>
      </c>
      <c r="S193" s="85"/>
      <c r="T193" s="85"/>
      <c r="U193" s="85"/>
      <c r="V193" s="85" t="n">
        <v>3200</v>
      </c>
      <c r="W193" s="85"/>
      <c r="X193" s="85" t="n">
        <v>1600</v>
      </c>
      <c r="Y193" s="59" t="n">
        <f aca="false">SUM(M193:X193)</f>
        <v>19600</v>
      </c>
      <c r="Z193" s="59" t="n">
        <v>12</v>
      </c>
      <c r="AA193" s="59" t="n">
        <f aca="false">Z193*800</f>
        <v>9600</v>
      </c>
      <c r="AB193" s="59" t="n">
        <f aca="false">L193+AA193-Y193</f>
        <v>0</v>
      </c>
      <c r="AC193" s="60" t="n">
        <v>800</v>
      </c>
      <c r="AD193" s="61"/>
      <c r="AE193" s="62" t="n">
        <f aca="false">AB193+AC193-AD193</f>
        <v>800</v>
      </c>
      <c r="AF193" s="60" t="n">
        <v>800</v>
      </c>
      <c r="AG193" s="61"/>
      <c r="AH193" s="62" t="n">
        <f aca="false">AE193+AF193-AG193</f>
        <v>1600</v>
      </c>
      <c r="AI193" s="60" t="n">
        <v>800</v>
      </c>
      <c r="AJ193" s="61"/>
      <c r="AK193" s="62" t="n">
        <f aca="false">AH193+AI193-AJ193</f>
        <v>2400</v>
      </c>
      <c r="AL193" s="60" t="n">
        <v>800</v>
      </c>
      <c r="AM193" s="61"/>
      <c r="AN193" s="62" t="n">
        <f aca="false">AK193+AL193-AM193</f>
        <v>3200</v>
      </c>
    </row>
    <row collapsed="false" customFormat="false" customHeight="false" hidden="false" ht="15" outlineLevel="0" r="194">
      <c r="A194" s="19" t="n">
        <f aca="false">VLOOKUP(B194,справочник!$B$2:$E$322,4,0)</f>
        <v>287</v>
      </c>
      <c r="B194" s="0" t="e">
        <f aca="false">CONCATENATE(C194;D194)</f>
        <v>#VALUE!</v>
      </c>
      <c r="C194" s="24" t="n">
        <v>299</v>
      </c>
      <c r="D194" s="29" t="s">
        <v>193</v>
      </c>
      <c r="E194" s="24" t="s">
        <v>551</v>
      </c>
      <c r="F194" s="30" t="n">
        <v>41897</v>
      </c>
      <c r="G194" s="30" t="n">
        <v>41913</v>
      </c>
      <c r="H194" s="31" t="n">
        <f aca="false">INT(($H$325-G194)/30)</f>
        <v>15</v>
      </c>
      <c r="I194" s="24" t="n">
        <f aca="false">H194*1000</f>
        <v>15000</v>
      </c>
      <c r="J194" s="31" t="n">
        <v>13000</v>
      </c>
      <c r="K194" s="31"/>
      <c r="L194" s="59" t="n">
        <f aca="false">I194-J194-K194</f>
        <v>2000</v>
      </c>
      <c r="M194" s="85"/>
      <c r="N194" s="85"/>
      <c r="O194" s="85"/>
      <c r="P194" s="85"/>
      <c r="Q194" s="85"/>
      <c r="R194" s="85"/>
      <c r="S194" s="85" t="n">
        <v>5200</v>
      </c>
      <c r="T194" s="85"/>
      <c r="U194" s="85"/>
      <c r="V194" s="85"/>
      <c r="W194" s="85"/>
      <c r="X194" s="85" t="n">
        <v>5600</v>
      </c>
      <c r="Y194" s="59" t="n">
        <f aca="false">SUM(M194:X194)</f>
        <v>10800</v>
      </c>
      <c r="Z194" s="59" t="n">
        <v>12</v>
      </c>
      <c r="AA194" s="59" t="n">
        <f aca="false">Z194*800</f>
        <v>9600</v>
      </c>
      <c r="AB194" s="59" t="n">
        <f aca="false">L194+AA194-Y194</f>
        <v>800</v>
      </c>
      <c r="AC194" s="60" t="n">
        <v>800</v>
      </c>
      <c r="AD194" s="61"/>
      <c r="AE194" s="62" t="n">
        <f aca="false">AB194+AC194-AD194</f>
        <v>1600</v>
      </c>
      <c r="AF194" s="60" t="n">
        <v>800</v>
      </c>
      <c r="AG194" s="61" t="n">
        <f aca="false">1600</f>
        <v>1600</v>
      </c>
      <c r="AH194" s="62" t="n">
        <f aca="false">AE194+AF194-AG194</f>
        <v>800</v>
      </c>
      <c r="AI194" s="60" t="n">
        <v>800</v>
      </c>
      <c r="AJ194" s="61" t="n">
        <v>1800</v>
      </c>
      <c r="AK194" s="62" t="n">
        <f aca="false">AH194+AI194-AJ194</f>
        <v>-200</v>
      </c>
      <c r="AL194" s="60" t="n">
        <v>800</v>
      </c>
      <c r="AM194" s="61"/>
      <c r="AN194" s="62" t="n">
        <f aca="false">AK194+AL194-AM194</f>
        <v>600</v>
      </c>
    </row>
    <row collapsed="false" customFormat="true" customHeight="false" hidden="false" ht="15" outlineLevel="0" r="195" s="64">
      <c r="A195" s="63" t="n">
        <f aca="false">VLOOKUP(B195,справочник!$B$2:$E$322,4,0)</f>
        <v>170</v>
      </c>
      <c r="B195" s="64" t="e">
        <f aca="false">CONCATENATE(C195;D195)</f>
        <v>#VALUE!</v>
      </c>
      <c r="C195" s="36" t="n">
        <v>178</v>
      </c>
      <c r="D195" s="65" t="s">
        <v>312</v>
      </c>
      <c r="E195" s="36" t="s">
        <v>552</v>
      </c>
      <c r="F195" s="34" t="n">
        <v>41414</v>
      </c>
      <c r="G195" s="34" t="n">
        <v>41456</v>
      </c>
      <c r="H195" s="35" t="n">
        <f aca="false">INT(($H$325-G195)/30)</f>
        <v>30</v>
      </c>
      <c r="I195" s="36" t="n">
        <f aca="false">H195*1000</f>
        <v>30000</v>
      </c>
      <c r="J195" s="35" t="n">
        <v>29000</v>
      </c>
      <c r="K195" s="35" t="n">
        <v>1000</v>
      </c>
      <c r="L195" s="66" t="n">
        <f aca="false">I195-J195-K195</f>
        <v>0</v>
      </c>
      <c r="M195" s="87" t="n">
        <v>2400</v>
      </c>
      <c r="N195" s="87"/>
      <c r="O195" s="87" t="n">
        <v>2400</v>
      </c>
      <c r="P195" s="87"/>
      <c r="Q195" s="87"/>
      <c r="R195" s="87" t="n">
        <v>2400</v>
      </c>
      <c r="S195" s="87"/>
      <c r="T195" s="87"/>
      <c r="U195" s="87"/>
      <c r="V195" s="87" t="n">
        <v>2400</v>
      </c>
      <c r="W195" s="87"/>
      <c r="X195" s="87" t="n">
        <v>2400</v>
      </c>
      <c r="Y195" s="66" t="n">
        <f aca="false">SUM(M195:X195)</f>
        <v>12000</v>
      </c>
      <c r="Z195" s="66" t="n">
        <v>12</v>
      </c>
      <c r="AA195" s="66" t="n">
        <f aca="false">Z195*800</f>
        <v>9600</v>
      </c>
      <c r="AB195" s="66" t="n">
        <f aca="false">L195+AA195-Y195</f>
        <v>-2400</v>
      </c>
      <c r="AC195" s="66" t="n">
        <v>800</v>
      </c>
      <c r="AD195" s="67"/>
      <c r="AE195" s="89" t="n">
        <f aca="false">SUM(AB195:AB196)+SUM(AC195:AC196)-SUM(AD195:AD196)</f>
        <v>-1600</v>
      </c>
      <c r="AF195" s="66" t="n">
        <v>800</v>
      </c>
      <c r="AG195" s="67"/>
      <c r="AH195" s="89" t="n">
        <f aca="false">SUM(AE195:AE196)+SUM(AF195:AF196)-SUM(AG195:AG196)</f>
        <v>-800</v>
      </c>
      <c r="AI195" s="66" t="n">
        <v>800</v>
      </c>
      <c r="AJ195" s="67"/>
      <c r="AK195" s="89" t="n">
        <f aca="false">SUM(AH195:AH196)+SUM(AI195:AI196)-SUM(AJ195:AJ196)</f>
        <v>0</v>
      </c>
      <c r="AL195" s="66" t="n">
        <v>800</v>
      </c>
      <c r="AM195" s="67" t="n">
        <v>3200</v>
      </c>
      <c r="AN195" s="89" t="n">
        <f aca="false">SUM(AK195:AK196)+SUM(AL195:AL196)-SUM(AM195:AM196)</f>
        <v>-2400</v>
      </c>
    </row>
    <row collapsed="false" customFormat="false" customHeight="false" hidden="false" ht="15" outlineLevel="0" r="196">
      <c r="A196" s="63" t="n">
        <f aca="false">VLOOKUP(B196,справочник!$B$2:$E$322,4,0)</f>
        <v>170</v>
      </c>
      <c r="B196" s="64" t="e">
        <f aca="false">CONCATENATE(C196;D196)</f>
        <v>#VALUE!</v>
      </c>
      <c r="C196" s="36" t="n">
        <v>179</v>
      </c>
      <c r="D196" s="65" t="s">
        <v>312</v>
      </c>
      <c r="E196" s="36" t="s">
        <v>553</v>
      </c>
      <c r="F196" s="34" t="n">
        <v>41414</v>
      </c>
      <c r="G196" s="34" t="n">
        <v>41456</v>
      </c>
      <c r="H196" s="35" t="n">
        <f aca="false">INT(($H$325-G196)/30)</f>
        <v>30</v>
      </c>
      <c r="I196" s="36" t="n">
        <f aca="false">H196*1000</f>
        <v>30000</v>
      </c>
      <c r="J196" s="35" t="n">
        <v>29000</v>
      </c>
      <c r="K196" s="35" t="n">
        <v>1000</v>
      </c>
      <c r="L196" s="66" t="n">
        <f aca="false">I196-J196-K196</f>
        <v>0</v>
      </c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66" t="n">
        <f aca="false">SUM(M196:X196)</f>
        <v>0</v>
      </c>
      <c r="Z196" s="66" t="n">
        <v>0</v>
      </c>
      <c r="AA196" s="66" t="n">
        <f aca="false">Z196*800</f>
        <v>0</v>
      </c>
      <c r="AB196" s="66" t="n">
        <f aca="false">L196+AA196-Y196</f>
        <v>0</v>
      </c>
      <c r="AC196" s="66" t="n">
        <v>0</v>
      </c>
      <c r="AD196" s="67"/>
      <c r="AE196" s="89"/>
      <c r="AF196" s="66" t="n">
        <v>0</v>
      </c>
      <c r="AG196" s="67"/>
      <c r="AH196" s="89"/>
      <c r="AI196" s="66" t="n">
        <v>0</v>
      </c>
      <c r="AJ196" s="67"/>
      <c r="AK196" s="89"/>
      <c r="AL196" s="66" t="n">
        <v>0</v>
      </c>
      <c r="AM196" s="67"/>
      <c r="AN196" s="89"/>
    </row>
    <row collapsed="false" customFormat="false" customHeight="false" hidden="false" ht="15" outlineLevel="0" r="197">
      <c r="A197" s="19" t="n">
        <f aca="false">VLOOKUP(B197,справочник!$B$2:$E$322,4,0)</f>
        <v>290</v>
      </c>
      <c r="B197" s="0" t="e">
        <f aca="false">CONCATENATE(C197;D197)</f>
        <v>#VALUE!</v>
      </c>
      <c r="C197" s="24" t="n">
        <v>303</v>
      </c>
      <c r="D197" s="29" t="s">
        <v>293</v>
      </c>
      <c r="E197" s="24" t="s">
        <v>554</v>
      </c>
      <c r="F197" s="30" t="n">
        <v>40959</v>
      </c>
      <c r="G197" s="30" t="n">
        <v>40940</v>
      </c>
      <c r="H197" s="31" t="n">
        <f aca="false">INT(($H$325-G197)/30)</f>
        <v>47</v>
      </c>
      <c r="I197" s="24" t="n">
        <f aca="false">H197*1000</f>
        <v>47000</v>
      </c>
      <c r="J197" s="31" t="n">
        <v>42000</v>
      </c>
      <c r="K197" s="31" t="n">
        <v>5000</v>
      </c>
      <c r="L197" s="59" t="n">
        <f aca="false">I197-J197-K197</f>
        <v>0</v>
      </c>
      <c r="M197" s="85"/>
      <c r="N197" s="85"/>
      <c r="O197" s="85"/>
      <c r="P197" s="85"/>
      <c r="Q197" s="85" t="n">
        <v>5000</v>
      </c>
      <c r="R197" s="85"/>
      <c r="S197" s="85"/>
      <c r="T197" s="85"/>
      <c r="U197" s="85" t="n">
        <v>5000</v>
      </c>
      <c r="V197" s="85"/>
      <c r="W197" s="85"/>
      <c r="X197" s="85"/>
      <c r="Y197" s="59" t="n">
        <f aca="false">SUM(M197:X197)</f>
        <v>10000</v>
      </c>
      <c r="Z197" s="59" t="n">
        <v>12</v>
      </c>
      <c r="AA197" s="59" t="n">
        <f aca="false">Z197*800</f>
        <v>9600</v>
      </c>
      <c r="AB197" s="59" t="n">
        <f aca="false">L197+AA197-Y197</f>
        <v>-400</v>
      </c>
      <c r="AC197" s="60" t="n">
        <v>800</v>
      </c>
      <c r="AD197" s="61"/>
      <c r="AE197" s="62" t="n">
        <f aca="false">AB197+AC197-AD197</f>
        <v>400</v>
      </c>
      <c r="AF197" s="60" t="n">
        <v>800</v>
      </c>
      <c r="AG197" s="61"/>
      <c r="AH197" s="62" t="n">
        <f aca="false">AE197+AF197-AG197</f>
        <v>1200</v>
      </c>
      <c r="AI197" s="60" t="n">
        <v>800</v>
      </c>
      <c r="AJ197" s="61" t="n">
        <v>5000</v>
      </c>
      <c r="AK197" s="62" t="n">
        <f aca="false">AH197+AI197-AJ197</f>
        <v>-3000</v>
      </c>
      <c r="AL197" s="60" t="n">
        <v>800</v>
      </c>
      <c r="AM197" s="61"/>
      <c r="AN197" s="62" t="n">
        <f aca="false">AK197+AL197-AM197</f>
        <v>-2200</v>
      </c>
    </row>
    <row collapsed="false" customFormat="false" customHeight="false" hidden="false" ht="15" outlineLevel="0" r="198">
      <c r="A198" s="19" t="n">
        <f aca="false">VLOOKUP(B198,справочник!$B$2:$E$322,4,0)</f>
        <v>81</v>
      </c>
      <c r="B198" s="0" t="e">
        <f aca="false">CONCATENATE(C198;D198)</f>
        <v>#VALUE!</v>
      </c>
      <c r="C198" s="24" t="n">
        <v>86</v>
      </c>
      <c r="D198" s="29" t="s">
        <v>42</v>
      </c>
      <c r="E198" s="24" t="s">
        <v>555</v>
      </c>
      <c r="F198" s="30" t="n">
        <v>40949</v>
      </c>
      <c r="G198" s="30" t="n">
        <v>40940</v>
      </c>
      <c r="H198" s="31" t="n">
        <f aca="false">INT(($H$325-G198)/30)</f>
        <v>47</v>
      </c>
      <c r="I198" s="24" t="n">
        <f aca="false">H198*1000</f>
        <v>47000</v>
      </c>
      <c r="J198" s="31" t="n">
        <v>44000</v>
      </c>
      <c r="K198" s="31" t="n">
        <v>3000</v>
      </c>
      <c r="L198" s="59" t="n">
        <f aca="false">I198-J198-K198</f>
        <v>0</v>
      </c>
      <c r="M198" s="85"/>
      <c r="N198" s="85"/>
      <c r="O198" s="85" t="n">
        <v>3200</v>
      </c>
      <c r="P198" s="85"/>
      <c r="Q198" s="85"/>
      <c r="R198" s="85"/>
      <c r="S198" s="85"/>
      <c r="T198" s="0" t="n">
        <v>3200</v>
      </c>
      <c r="U198" s="85"/>
      <c r="V198" s="85"/>
      <c r="W198" s="85"/>
      <c r="X198" s="85" t="n">
        <v>3200</v>
      </c>
      <c r="Y198" s="59" t="n">
        <f aca="false">SUM(M198:X198)</f>
        <v>9600</v>
      </c>
      <c r="Z198" s="59" t="n">
        <v>12</v>
      </c>
      <c r="AA198" s="59" t="n">
        <f aca="false">Z198*800</f>
        <v>9600</v>
      </c>
      <c r="AB198" s="59" t="n">
        <f aca="false">L198+AA198-Y198</f>
        <v>0</v>
      </c>
      <c r="AC198" s="60" t="n">
        <v>800</v>
      </c>
      <c r="AD198" s="61"/>
      <c r="AE198" s="62" t="n">
        <f aca="false">AB198+AC198-AD198</f>
        <v>800</v>
      </c>
      <c r="AF198" s="60" t="n">
        <v>800</v>
      </c>
      <c r="AG198" s="61"/>
      <c r="AH198" s="62" t="n">
        <f aca="false">AE198+AF198-AG198</f>
        <v>1600</v>
      </c>
      <c r="AI198" s="60" t="n">
        <v>800</v>
      </c>
      <c r="AJ198" s="61"/>
      <c r="AK198" s="62" t="n">
        <f aca="false">AH198+AI198-AJ198</f>
        <v>2400</v>
      </c>
      <c r="AL198" s="60" t="n">
        <v>800</v>
      </c>
      <c r="AM198" s="61"/>
      <c r="AN198" s="62" t="n">
        <f aca="false">AK198+AL198-AM198</f>
        <v>3200</v>
      </c>
    </row>
    <row collapsed="false" customFormat="false" customHeight="false" hidden="false" ht="15" outlineLevel="0" r="199">
      <c r="A199" s="19" t="n">
        <f aca="false">VLOOKUP(B199,справочник!$B$2:$E$322,4,0)</f>
        <v>31</v>
      </c>
      <c r="B199" s="0" t="e">
        <f aca="false">CONCATENATE(C199;D199)</f>
        <v>#VALUE!</v>
      </c>
      <c r="C199" s="24" t="n">
        <v>31</v>
      </c>
      <c r="D199" s="29" t="s">
        <v>291</v>
      </c>
      <c r="E199" s="24" t="s">
        <v>556</v>
      </c>
      <c r="F199" s="30" t="n">
        <v>40786</v>
      </c>
      <c r="G199" s="30" t="n">
        <v>40787</v>
      </c>
      <c r="H199" s="31" t="n">
        <f aca="false">INT(($H$325-G199)/30)</f>
        <v>52</v>
      </c>
      <c r="I199" s="24" t="n">
        <f aca="false">H199*1000</f>
        <v>52000</v>
      </c>
      <c r="J199" s="31" t="n">
        <f aca="false">10000+42000</f>
        <v>52000</v>
      </c>
      <c r="K199" s="31"/>
      <c r="L199" s="59" t="n">
        <f aca="false">I199-J199-K199</f>
        <v>0</v>
      </c>
      <c r="M199" s="85"/>
      <c r="N199" s="85"/>
      <c r="O199" s="85"/>
      <c r="P199" s="85" t="n">
        <v>2400</v>
      </c>
      <c r="Q199" s="85" t="n">
        <v>2400</v>
      </c>
      <c r="R199" s="85"/>
      <c r="S199" s="85"/>
      <c r="T199" s="0" t="n">
        <v>4800</v>
      </c>
      <c r="U199" s="85"/>
      <c r="V199" s="85"/>
      <c r="W199" s="85"/>
      <c r="X199" s="85"/>
      <c r="Y199" s="59" t="n">
        <f aca="false">SUM(M199:X199)</f>
        <v>9600</v>
      </c>
      <c r="Z199" s="59" t="n">
        <v>12</v>
      </c>
      <c r="AA199" s="59" t="n">
        <f aca="false">Z199*800</f>
        <v>9600</v>
      </c>
      <c r="AB199" s="59" t="n">
        <f aca="false">L199+AA199-Y199</f>
        <v>0</v>
      </c>
      <c r="AC199" s="60" t="n">
        <v>800</v>
      </c>
      <c r="AD199" s="61" t="n">
        <v>4800</v>
      </c>
      <c r="AE199" s="62" t="n">
        <f aca="false">AB199+AC199-AD199</f>
        <v>-4000</v>
      </c>
      <c r="AF199" s="60" t="n">
        <v>800</v>
      </c>
      <c r="AG199" s="61"/>
      <c r="AH199" s="62" t="n">
        <f aca="false">AE199+AF199-AG199</f>
        <v>-3200</v>
      </c>
      <c r="AI199" s="60" t="n">
        <v>800</v>
      </c>
      <c r="AJ199" s="61"/>
      <c r="AK199" s="62" t="n">
        <f aca="false">AH199+AI199-AJ199</f>
        <v>-2400</v>
      </c>
      <c r="AL199" s="60" t="n">
        <v>800</v>
      </c>
      <c r="AM199" s="61"/>
      <c r="AN199" s="62" t="n">
        <f aca="false">AK199+AL199-AM199</f>
        <v>-1600</v>
      </c>
    </row>
    <row collapsed="false" customFormat="false" customHeight="false" hidden="false" ht="15" outlineLevel="0" r="200">
      <c r="A200" s="19" t="n">
        <f aca="false">VLOOKUP(B200,справочник!$B$2:$E$322,4,0)</f>
        <v>104</v>
      </c>
      <c r="B200" s="0" t="e">
        <f aca="false">CONCATENATE(C200;D200)</f>
        <v>#VALUE!</v>
      </c>
      <c r="C200" s="24" t="n">
        <v>109</v>
      </c>
      <c r="D200" s="29" t="s">
        <v>187</v>
      </c>
      <c r="E200" s="24" t="s">
        <v>557</v>
      </c>
      <c r="F200" s="30" t="n">
        <v>40893</v>
      </c>
      <c r="G200" s="30" t="n">
        <v>40878</v>
      </c>
      <c r="H200" s="31" t="n">
        <f aca="false">INT(($H$325-G200)/30)</f>
        <v>49</v>
      </c>
      <c r="I200" s="24" t="n">
        <f aca="false">H200*1000</f>
        <v>49000</v>
      </c>
      <c r="J200" s="31" t="n">
        <f aca="false">1000+45000</f>
        <v>46000</v>
      </c>
      <c r="K200" s="31"/>
      <c r="L200" s="59" t="n">
        <f aca="false">I200-J200-K200</f>
        <v>3000</v>
      </c>
      <c r="M200" s="85"/>
      <c r="N200" s="85"/>
      <c r="O200" s="85"/>
      <c r="P200" s="85"/>
      <c r="Q200" s="85"/>
      <c r="R200" s="85"/>
      <c r="S200" s="85"/>
      <c r="T200" s="85"/>
      <c r="U200" s="85"/>
      <c r="V200" s="85"/>
      <c r="W200" s="85"/>
      <c r="X200" s="85"/>
      <c r="Y200" s="59" t="n">
        <f aca="false">SUM(M200:X200)</f>
        <v>0</v>
      </c>
      <c r="Z200" s="59" t="n">
        <v>12</v>
      </c>
      <c r="AA200" s="59" t="n">
        <f aca="false">Z200*800</f>
        <v>9600</v>
      </c>
      <c r="AB200" s="59" t="n">
        <f aca="false">L200+AA200-Y200</f>
        <v>12600</v>
      </c>
      <c r="AC200" s="60" t="n">
        <v>800</v>
      </c>
      <c r="AD200" s="61"/>
      <c r="AE200" s="62" t="n">
        <f aca="false">AB200+AC200-AD200</f>
        <v>13400</v>
      </c>
      <c r="AF200" s="60" t="n">
        <v>800</v>
      </c>
      <c r="AG200" s="61"/>
      <c r="AH200" s="62" t="n">
        <f aca="false">AE200+AF200-AG200</f>
        <v>14200</v>
      </c>
      <c r="AI200" s="60" t="n">
        <v>800</v>
      </c>
      <c r="AJ200" s="61"/>
      <c r="AK200" s="62" t="n">
        <f aca="false">AH200+AI200-AJ200</f>
        <v>15000</v>
      </c>
      <c r="AL200" s="60" t="n">
        <v>800</v>
      </c>
      <c r="AM200" s="61"/>
      <c r="AN200" s="62" t="n">
        <f aca="false">AK200+AL200-AM200</f>
        <v>15800</v>
      </c>
    </row>
    <row collapsed="false" customFormat="false" customHeight="true" hidden="false" ht="25.5" outlineLevel="0" r="201">
      <c r="A201" s="19" t="n">
        <f aca="false">VLOOKUP(B201,справочник!$B$2:$E$322,4,0)</f>
        <v>85</v>
      </c>
      <c r="B201" s="0" t="e">
        <f aca="false">CONCATENATE(C201;D201)</f>
        <v>#VALUE!</v>
      </c>
      <c r="C201" s="24" t="n">
        <v>90</v>
      </c>
      <c r="D201" s="29" t="s">
        <v>287</v>
      </c>
      <c r="E201" s="24" t="s">
        <v>558</v>
      </c>
      <c r="F201" s="30" t="n">
        <v>40695</v>
      </c>
      <c r="G201" s="30" t="n">
        <v>40725</v>
      </c>
      <c r="H201" s="31" t="n">
        <f aca="false">INT(($H$325-G201)/30)</f>
        <v>54</v>
      </c>
      <c r="I201" s="24" t="n">
        <f aca="false">H201*1000</f>
        <v>54000</v>
      </c>
      <c r="J201" s="31" t="n">
        <f aca="false">1000+53000</f>
        <v>54000</v>
      </c>
      <c r="K201" s="31"/>
      <c r="L201" s="59" t="n">
        <f aca="false">I201-J201-K201</f>
        <v>0</v>
      </c>
      <c r="M201" s="85"/>
      <c r="N201" s="85"/>
      <c r="O201" s="85"/>
      <c r="P201" s="85" t="n">
        <v>4800</v>
      </c>
      <c r="Q201" s="85"/>
      <c r="R201" s="85"/>
      <c r="S201" s="85"/>
      <c r="T201" s="85"/>
      <c r="U201" s="85"/>
      <c r="V201" s="85"/>
      <c r="W201" s="85"/>
      <c r="X201" s="85"/>
      <c r="Y201" s="59" t="n">
        <f aca="false">SUM(M201:X201)</f>
        <v>4800</v>
      </c>
      <c r="Z201" s="59" t="n">
        <v>12</v>
      </c>
      <c r="AA201" s="59" t="n">
        <f aca="false">Z201*800</f>
        <v>9600</v>
      </c>
      <c r="AB201" s="59" t="n">
        <f aca="false">L201+AA201-Y201</f>
        <v>4800</v>
      </c>
      <c r="AC201" s="60" t="n">
        <v>800</v>
      </c>
      <c r="AD201" s="61"/>
      <c r="AE201" s="62" t="n">
        <f aca="false">AB201+AC201-AD201</f>
        <v>5600</v>
      </c>
      <c r="AF201" s="60" t="n">
        <v>800</v>
      </c>
      <c r="AG201" s="61"/>
      <c r="AH201" s="62" t="n">
        <f aca="false">AE201+AF201-AG201</f>
        <v>6400</v>
      </c>
      <c r="AI201" s="60" t="n">
        <v>800</v>
      </c>
      <c r="AJ201" s="61"/>
      <c r="AK201" s="62" t="n">
        <f aca="false">AH201+AI201-AJ201</f>
        <v>7200</v>
      </c>
      <c r="AL201" s="60" t="n">
        <v>800</v>
      </c>
      <c r="AM201" s="61"/>
      <c r="AN201" s="62" t="n">
        <f aca="false">AK201+AL201-AM201</f>
        <v>8000</v>
      </c>
    </row>
    <row collapsed="false" customFormat="false" customHeight="true" hidden="false" ht="25.5" outlineLevel="0" r="202">
      <c r="A202" s="19" t="n">
        <f aca="false">VLOOKUP(B202,справочник!$B$2:$E$322,4,0)</f>
        <v>300</v>
      </c>
      <c r="B202" s="0" t="e">
        <f aca="false">CONCATENATE(C202;D202)</f>
        <v>#VALUE!</v>
      </c>
      <c r="C202" s="24" t="n">
        <v>315</v>
      </c>
      <c r="D202" s="29" t="s">
        <v>143</v>
      </c>
      <c r="E202" s="24" t="s">
        <v>559</v>
      </c>
      <c r="F202" s="30" t="n">
        <v>41999</v>
      </c>
      <c r="G202" s="30" t="n">
        <v>42005</v>
      </c>
      <c r="H202" s="31" t="n">
        <f aca="false">INT(($H$325-G202)/30)</f>
        <v>12</v>
      </c>
      <c r="I202" s="24" t="n">
        <f aca="false">H202*1000</f>
        <v>12000</v>
      </c>
      <c r="J202" s="31" t="n">
        <v>1000</v>
      </c>
      <c r="K202" s="31"/>
      <c r="L202" s="59" t="n">
        <f aca="false">I202-J202-K202</f>
        <v>11000</v>
      </c>
      <c r="M202" s="85"/>
      <c r="N202" s="85"/>
      <c r="O202" s="85"/>
      <c r="P202" s="85"/>
      <c r="Q202" s="85"/>
      <c r="R202" s="85"/>
      <c r="S202" s="85"/>
      <c r="T202" s="85"/>
      <c r="U202" s="85"/>
      <c r="V202" s="85"/>
      <c r="W202" s="85"/>
      <c r="X202" s="85"/>
      <c r="Y202" s="59" t="n">
        <f aca="false">SUM(M202:X202)</f>
        <v>0</v>
      </c>
      <c r="Z202" s="59" t="n">
        <v>12</v>
      </c>
      <c r="AA202" s="59" t="n">
        <f aca="false">Z202*800</f>
        <v>9600</v>
      </c>
      <c r="AB202" s="59" t="n">
        <f aca="false">L202+AA202-Y202</f>
        <v>20600</v>
      </c>
      <c r="AC202" s="60" t="n">
        <v>800</v>
      </c>
      <c r="AD202" s="61"/>
      <c r="AE202" s="62" t="n">
        <f aca="false">AB202+AC202-AD202</f>
        <v>21400</v>
      </c>
      <c r="AF202" s="60" t="n">
        <v>800</v>
      </c>
      <c r="AG202" s="61"/>
      <c r="AH202" s="62" t="n">
        <f aca="false">AE202+AF202-AG202</f>
        <v>22200</v>
      </c>
      <c r="AI202" s="60" t="n">
        <v>800</v>
      </c>
      <c r="AJ202" s="61"/>
      <c r="AK202" s="62" t="n">
        <f aca="false">AH202+AI202-AJ202</f>
        <v>23000</v>
      </c>
      <c r="AL202" s="60" t="n">
        <v>800</v>
      </c>
      <c r="AM202" s="61"/>
      <c r="AN202" s="62" t="n">
        <f aca="false">AK202+AL202-AM202</f>
        <v>23800</v>
      </c>
    </row>
    <row collapsed="false" customFormat="false" customHeight="false" hidden="false" ht="25.5" outlineLevel="0" r="203">
      <c r="A203" s="19" t="n">
        <f aca="false">VLOOKUP(B203,справочник!$B$2:$E$322,4,0)</f>
        <v>47</v>
      </c>
      <c r="B203" s="0" t="e">
        <f aca="false">CONCATENATE(C203;D203)</f>
        <v>#VALUE!</v>
      </c>
      <c r="C203" s="24" t="n">
        <v>47</v>
      </c>
      <c r="D203" s="29" t="s">
        <v>81</v>
      </c>
      <c r="E203" s="24" t="s">
        <v>560</v>
      </c>
      <c r="F203" s="30" t="n">
        <v>41375</v>
      </c>
      <c r="G203" s="30" t="n">
        <v>41395</v>
      </c>
      <c r="H203" s="31" t="n">
        <f aca="false">INT(($H$325-G203)/30)</f>
        <v>32</v>
      </c>
      <c r="I203" s="24" t="n">
        <f aca="false">H203*1000</f>
        <v>32000</v>
      </c>
      <c r="J203" s="31" t="n">
        <v>9000</v>
      </c>
      <c r="K203" s="31"/>
      <c r="L203" s="59" t="n">
        <f aca="false">I203-J203-K203</f>
        <v>23000</v>
      </c>
      <c r="M203" s="85"/>
      <c r="N203" s="85"/>
      <c r="O203" s="85"/>
      <c r="P203" s="85"/>
      <c r="Q203" s="85"/>
      <c r="R203" s="85"/>
      <c r="S203" s="85"/>
      <c r="T203" s="85"/>
      <c r="U203" s="85"/>
      <c r="V203" s="85"/>
      <c r="W203" s="85"/>
      <c r="X203" s="85"/>
      <c r="Y203" s="59" t="n">
        <f aca="false">SUM(M203:X203)</f>
        <v>0</v>
      </c>
      <c r="Z203" s="59" t="n">
        <v>12</v>
      </c>
      <c r="AA203" s="59" t="n">
        <f aca="false">Z203*800</f>
        <v>9600</v>
      </c>
      <c r="AB203" s="59" t="n">
        <f aca="false">L203+AA203-Y203</f>
        <v>32600</v>
      </c>
      <c r="AC203" s="60" t="n">
        <v>800</v>
      </c>
      <c r="AD203" s="61"/>
      <c r="AE203" s="62" t="n">
        <f aca="false">AB203+AC203-AD203</f>
        <v>33400</v>
      </c>
      <c r="AF203" s="60" t="n">
        <v>800</v>
      </c>
      <c r="AG203" s="61"/>
      <c r="AH203" s="62" t="n">
        <f aca="false">AE203+AF203-AG203</f>
        <v>34200</v>
      </c>
      <c r="AI203" s="60" t="n">
        <v>800</v>
      </c>
      <c r="AJ203" s="61"/>
      <c r="AK203" s="62" t="n">
        <f aca="false">AH203+AI203-AJ203</f>
        <v>35000</v>
      </c>
      <c r="AL203" s="60" t="n">
        <v>800</v>
      </c>
      <c r="AM203" s="61"/>
      <c r="AN203" s="62" t="n">
        <f aca="false">AK203+AL203-AM203</f>
        <v>35800</v>
      </c>
    </row>
    <row collapsed="false" customFormat="false" customHeight="false" hidden="false" ht="15" outlineLevel="0" r="204">
      <c r="A204" s="19" t="n">
        <f aca="false">VLOOKUP(B204,справочник!$B$2:$E$322,4,0)</f>
        <v>282</v>
      </c>
      <c r="B204" s="0" t="e">
        <f aca="false">CONCATENATE(C204;D204)</f>
        <v>#VALUE!</v>
      </c>
      <c r="C204" s="24" t="n">
        <v>294</v>
      </c>
      <c r="D204" s="29" t="s">
        <v>181</v>
      </c>
      <c r="E204" s="40" t="s">
        <v>531</v>
      </c>
      <c r="F204" s="41" t="n">
        <v>41716</v>
      </c>
      <c r="G204" s="41" t="n">
        <v>41730</v>
      </c>
      <c r="H204" s="31" t="n">
        <f aca="false">INT(($H$325-G204)/30)</f>
        <v>21</v>
      </c>
      <c r="I204" s="24" t="n">
        <f aca="false">H204*1000</f>
        <v>21000</v>
      </c>
      <c r="J204" s="31" t="n">
        <v>18000</v>
      </c>
      <c r="K204" s="31"/>
      <c r="L204" s="59" t="n">
        <f aca="false">I204-J204-K204</f>
        <v>3000</v>
      </c>
      <c r="M204" s="85"/>
      <c r="N204" s="85"/>
      <c r="O204" s="85"/>
      <c r="P204" s="85"/>
      <c r="Q204" s="85"/>
      <c r="R204" s="85"/>
      <c r="S204" s="85"/>
      <c r="T204" s="85"/>
      <c r="U204" s="85"/>
      <c r="V204" s="85"/>
      <c r="W204" s="85"/>
      <c r="X204" s="85"/>
      <c r="Y204" s="59" t="n">
        <f aca="false">SUM(M204:X204)</f>
        <v>0</v>
      </c>
      <c r="Z204" s="59" t="n">
        <v>12</v>
      </c>
      <c r="AA204" s="59" t="n">
        <f aca="false">Z204*800</f>
        <v>9600</v>
      </c>
      <c r="AB204" s="59" t="n">
        <f aca="false">L204+AA204-Y204</f>
        <v>12600</v>
      </c>
      <c r="AC204" s="60" t="n">
        <v>800</v>
      </c>
      <c r="AD204" s="61"/>
      <c r="AE204" s="62" t="n">
        <f aca="false">AB204+AC204-AD204</f>
        <v>13400</v>
      </c>
      <c r="AF204" s="60" t="n">
        <v>800</v>
      </c>
      <c r="AG204" s="61"/>
      <c r="AH204" s="62" t="n">
        <f aca="false">AE204+AF204-AG204</f>
        <v>14200</v>
      </c>
      <c r="AI204" s="60" t="n">
        <v>800</v>
      </c>
      <c r="AJ204" s="61"/>
      <c r="AK204" s="62" t="n">
        <f aca="false">AH204+AI204-AJ204</f>
        <v>15000</v>
      </c>
      <c r="AL204" s="60" t="n">
        <v>800</v>
      </c>
      <c r="AM204" s="61"/>
      <c r="AN204" s="62" t="n">
        <f aca="false">AK204+AL204-AM204</f>
        <v>15800</v>
      </c>
    </row>
    <row collapsed="false" customFormat="false" customHeight="true" hidden="false" ht="25.5" outlineLevel="0" r="205">
      <c r="A205" s="19" t="n">
        <f aca="false">VLOOKUP(B205,справочник!$B$2:$E$322,4,0)</f>
        <v>204</v>
      </c>
      <c r="B205" s="0" t="e">
        <f aca="false">CONCATENATE(C205;D205)</f>
        <v>#VALUE!</v>
      </c>
      <c r="C205" s="24" t="n">
        <v>214</v>
      </c>
      <c r="D205" s="29" t="s">
        <v>211</v>
      </c>
      <c r="E205" s="24" t="s">
        <v>561</v>
      </c>
      <c r="F205" s="24"/>
      <c r="G205" s="24"/>
      <c r="H205" s="31"/>
      <c r="I205" s="24" t="n">
        <f aca="false">H205*1000</f>
        <v>0</v>
      </c>
      <c r="J205" s="31"/>
      <c r="K205" s="31"/>
      <c r="L205" s="59" t="n">
        <f aca="false">I205-J205-K205</f>
        <v>0</v>
      </c>
      <c r="M205" s="85"/>
      <c r="N205" s="85"/>
      <c r="O205" s="85"/>
      <c r="P205" s="85"/>
      <c r="Q205" s="85"/>
      <c r="R205" s="85"/>
      <c r="S205" s="85"/>
      <c r="T205" s="85"/>
      <c r="U205" s="85"/>
      <c r="V205" s="85"/>
      <c r="W205" s="85"/>
      <c r="X205" s="85"/>
      <c r="Y205" s="59" t="n">
        <f aca="false">SUM(M205:X205)</f>
        <v>0</v>
      </c>
      <c r="Z205" s="59" t="n">
        <v>12</v>
      </c>
      <c r="AA205" s="59" t="n">
        <f aca="false">Z205*800</f>
        <v>9600</v>
      </c>
      <c r="AB205" s="59" t="n">
        <f aca="false">L205+AA205-Y205</f>
        <v>9600</v>
      </c>
      <c r="AC205" s="60" t="n">
        <v>800</v>
      </c>
      <c r="AD205" s="61"/>
      <c r="AE205" s="62" t="n">
        <f aca="false">AB205+AC205-AD205</f>
        <v>10400</v>
      </c>
      <c r="AF205" s="60" t="n">
        <v>800</v>
      </c>
      <c r="AG205" s="61"/>
      <c r="AH205" s="62" t="n">
        <f aca="false">AE205+AF205-AG205</f>
        <v>11200</v>
      </c>
      <c r="AI205" s="60" t="n">
        <v>800</v>
      </c>
      <c r="AJ205" s="61"/>
      <c r="AK205" s="62" t="n">
        <f aca="false">AH205+AI205-AJ205</f>
        <v>12000</v>
      </c>
      <c r="AL205" s="60" t="n">
        <v>800</v>
      </c>
      <c r="AM205" s="61"/>
      <c r="AN205" s="62" t="n">
        <f aca="false">AK205+AL205-AM205</f>
        <v>12800</v>
      </c>
    </row>
    <row collapsed="false" customFormat="false" customHeight="false" hidden="false" ht="15" outlineLevel="0" r="206">
      <c r="A206" s="19" t="n">
        <f aca="false">VLOOKUP(B206,справочник!$B$2:$E$322,4,0)</f>
        <v>291</v>
      </c>
      <c r="B206" s="0" t="e">
        <f aca="false">CONCATENATE(C206;D206)</f>
        <v>#VALUE!</v>
      </c>
      <c r="C206" s="24" t="n">
        <v>304</v>
      </c>
      <c r="D206" s="29" t="s">
        <v>207</v>
      </c>
      <c r="E206" s="24" t="s">
        <v>562</v>
      </c>
      <c r="F206" s="24"/>
      <c r="G206" s="24"/>
      <c r="H206" s="31"/>
      <c r="I206" s="24" t="n">
        <f aca="false">H206*1000</f>
        <v>0</v>
      </c>
      <c r="J206" s="31"/>
      <c r="K206" s="31"/>
      <c r="L206" s="59" t="n">
        <f aca="false">I206-J206-K206</f>
        <v>0</v>
      </c>
      <c r="M206" s="85"/>
      <c r="N206" s="85"/>
      <c r="O206" s="85"/>
      <c r="P206" s="85"/>
      <c r="Q206" s="85"/>
      <c r="R206" s="85"/>
      <c r="S206" s="85"/>
      <c r="T206" s="85"/>
      <c r="U206" s="85"/>
      <c r="V206" s="85"/>
      <c r="W206" s="85"/>
      <c r="X206" s="85"/>
      <c r="Y206" s="59" t="n">
        <f aca="false">SUM(M206:X206)</f>
        <v>0</v>
      </c>
      <c r="Z206" s="59" t="n">
        <v>12</v>
      </c>
      <c r="AA206" s="59" t="n">
        <f aca="false">Z206*800</f>
        <v>9600</v>
      </c>
      <c r="AB206" s="59" t="n">
        <f aca="false">L206+AA206-Y206</f>
        <v>9600</v>
      </c>
      <c r="AC206" s="60" t="n">
        <v>800</v>
      </c>
      <c r="AD206" s="61"/>
      <c r="AE206" s="62" t="n">
        <f aca="false">AB206+AC206-AD206</f>
        <v>10400</v>
      </c>
      <c r="AF206" s="60" t="n">
        <v>800</v>
      </c>
      <c r="AG206" s="61"/>
      <c r="AH206" s="62" t="n">
        <f aca="false">AE206+AF206-AG206</f>
        <v>11200</v>
      </c>
      <c r="AI206" s="60" t="n">
        <v>800</v>
      </c>
      <c r="AJ206" s="61"/>
      <c r="AK206" s="62" t="n">
        <f aca="false">AH206+AI206-AJ206</f>
        <v>12000</v>
      </c>
      <c r="AL206" s="60" t="n">
        <v>800</v>
      </c>
      <c r="AM206" s="61"/>
      <c r="AN206" s="62" t="n">
        <f aca="false">AK206+AL206-AM206</f>
        <v>12800</v>
      </c>
    </row>
    <row collapsed="false" customFormat="false" customHeight="false" hidden="false" ht="15" outlineLevel="0" r="207">
      <c r="A207" s="19" t="n">
        <f aca="false">VLOOKUP(B207,справочник!$B$2:$E$322,4,0)</f>
        <v>89</v>
      </c>
      <c r="B207" s="0" t="e">
        <f aca="false">CONCATENATE(C207;D207)</f>
        <v>#VALUE!</v>
      </c>
      <c r="C207" s="24" t="n">
        <v>94</v>
      </c>
      <c r="D207" s="29" t="s">
        <v>87</v>
      </c>
      <c r="E207" s="24" t="s">
        <v>563</v>
      </c>
      <c r="F207" s="30" t="n">
        <v>41106</v>
      </c>
      <c r="G207" s="30" t="n">
        <v>41091</v>
      </c>
      <c r="H207" s="31" t="n">
        <f aca="false">INT(($H$325-G207)/30)</f>
        <v>42</v>
      </c>
      <c r="I207" s="24" t="n">
        <f aca="false">H207*1000</f>
        <v>42000</v>
      </c>
      <c r="J207" s="31" t="n">
        <f aca="false">21000</f>
        <v>21000</v>
      </c>
      <c r="K207" s="31"/>
      <c r="L207" s="59" t="n">
        <f aca="false">I207-J207-K207</f>
        <v>21000</v>
      </c>
      <c r="M207" s="85"/>
      <c r="N207" s="85"/>
      <c r="O207" s="85"/>
      <c r="P207" s="85"/>
      <c r="Q207" s="85"/>
      <c r="R207" s="85"/>
      <c r="S207" s="85"/>
      <c r="T207" s="85"/>
      <c r="U207" s="85"/>
      <c r="V207" s="85"/>
      <c r="W207" s="85"/>
      <c r="X207" s="85"/>
      <c r="Y207" s="59" t="n">
        <f aca="false">SUM(M207:X207)</f>
        <v>0</v>
      </c>
      <c r="Z207" s="59" t="n">
        <v>12</v>
      </c>
      <c r="AA207" s="59" t="n">
        <f aca="false">Z207*800</f>
        <v>9600</v>
      </c>
      <c r="AB207" s="59" t="n">
        <f aca="false">L207+AA207-Y207</f>
        <v>30600</v>
      </c>
      <c r="AC207" s="60" t="n">
        <v>800</v>
      </c>
      <c r="AD207" s="61"/>
      <c r="AE207" s="62" t="n">
        <f aca="false">AB207+AC207-AD207</f>
        <v>31400</v>
      </c>
      <c r="AF207" s="60" t="n">
        <v>800</v>
      </c>
      <c r="AG207" s="61"/>
      <c r="AH207" s="62" t="n">
        <f aca="false">AE207+AF207-AG207</f>
        <v>32200</v>
      </c>
      <c r="AI207" s="60" t="n">
        <v>800</v>
      </c>
      <c r="AJ207" s="61"/>
      <c r="AK207" s="62" t="n">
        <f aca="false">AH207+AI207-AJ207</f>
        <v>33000</v>
      </c>
      <c r="AL207" s="60" t="n">
        <v>800</v>
      </c>
      <c r="AM207" s="61"/>
      <c r="AN207" s="62" t="n">
        <f aca="false">AK207+AL207-AM207</f>
        <v>33800</v>
      </c>
    </row>
    <row collapsed="false" customFormat="false" customHeight="false" hidden="false" ht="15" outlineLevel="0" r="208">
      <c r="A208" s="19" t="n">
        <f aca="false">VLOOKUP(B208,справочник!$B$2:$E$322,4,0)</f>
        <v>26</v>
      </c>
      <c r="B208" s="0" t="e">
        <f aca="false">CONCATENATE(C208;D208)</f>
        <v>#VALUE!</v>
      </c>
      <c r="C208" s="24" t="n">
        <v>26</v>
      </c>
      <c r="D208" s="29" t="s">
        <v>29</v>
      </c>
      <c r="E208" s="24" t="s">
        <v>564</v>
      </c>
      <c r="F208" s="30" t="n">
        <v>40788</v>
      </c>
      <c r="G208" s="30" t="n">
        <v>40787</v>
      </c>
      <c r="H208" s="31" t="n">
        <f aca="false">INT(($H$325-G208)/30)</f>
        <v>52</v>
      </c>
      <c r="I208" s="24" t="n">
        <f aca="false">H208*1000</f>
        <v>52000</v>
      </c>
      <c r="J208" s="31"/>
      <c r="K208" s="31"/>
      <c r="L208" s="59" t="n">
        <f aca="false">I208-J208-K208</f>
        <v>52000</v>
      </c>
      <c r="M208" s="85"/>
      <c r="N208" s="85"/>
      <c r="O208" s="85"/>
      <c r="P208" s="85"/>
      <c r="Q208" s="85"/>
      <c r="R208" s="85"/>
      <c r="S208" s="85"/>
      <c r="T208" s="85"/>
      <c r="U208" s="85"/>
      <c r="V208" s="85"/>
      <c r="W208" s="85"/>
      <c r="X208" s="85"/>
      <c r="Y208" s="59" t="n">
        <f aca="false">SUM(M208:X208)</f>
        <v>0</v>
      </c>
      <c r="Z208" s="59" t="n">
        <v>12</v>
      </c>
      <c r="AA208" s="59" t="n">
        <f aca="false">Z208*800</f>
        <v>9600</v>
      </c>
      <c r="AB208" s="59" t="n">
        <f aca="false">L208+AA208-Y208</f>
        <v>61600</v>
      </c>
      <c r="AC208" s="60" t="n">
        <v>800</v>
      </c>
      <c r="AD208" s="61"/>
      <c r="AE208" s="62" t="n">
        <f aca="false">AB208+AC208-AD208</f>
        <v>62400</v>
      </c>
      <c r="AF208" s="60" t="n">
        <v>800</v>
      </c>
      <c r="AG208" s="61"/>
      <c r="AH208" s="62" t="n">
        <f aca="false">AE208+AF208-AG208</f>
        <v>63200</v>
      </c>
      <c r="AI208" s="60" t="n">
        <v>800</v>
      </c>
      <c r="AJ208" s="61"/>
      <c r="AK208" s="62" t="n">
        <f aca="false">AH208+AI208-AJ208</f>
        <v>64000</v>
      </c>
      <c r="AL208" s="60" t="n">
        <v>800</v>
      </c>
      <c r="AM208" s="61"/>
      <c r="AN208" s="62" t="n">
        <f aca="false">AK208+AL208-AM208</f>
        <v>64800</v>
      </c>
    </row>
    <row collapsed="false" customFormat="false" customHeight="false" hidden="false" ht="15" outlineLevel="0" r="209">
      <c r="A209" s="19" t="n">
        <f aca="false">VLOOKUP(B209,справочник!$B$2:$E$322,4,0)</f>
        <v>71</v>
      </c>
      <c r="B209" s="0" t="e">
        <f aca="false">CONCATENATE(C209;D209)</f>
        <v>#VALUE!</v>
      </c>
      <c r="C209" s="24" t="n">
        <v>77</v>
      </c>
      <c r="D209" s="29" t="s">
        <v>139</v>
      </c>
      <c r="E209" s="24" t="s">
        <v>565</v>
      </c>
      <c r="F209" s="30" t="n">
        <v>40788</v>
      </c>
      <c r="G209" s="30" t="n">
        <v>40787</v>
      </c>
      <c r="H209" s="31" t="n">
        <f aca="false">INT(($H$325-G209)/30)</f>
        <v>52</v>
      </c>
      <c r="I209" s="24" t="n">
        <f aca="false">H209*1000</f>
        <v>52000</v>
      </c>
      <c r="J209" s="31" t="n">
        <f aca="false">36000+4000</f>
        <v>40000</v>
      </c>
      <c r="K209" s="31"/>
      <c r="L209" s="59" t="n">
        <f aca="false">I209-J209-K209</f>
        <v>12000</v>
      </c>
      <c r="M209" s="85"/>
      <c r="N209" s="85"/>
      <c r="O209" s="85"/>
      <c r="P209" s="85"/>
      <c r="Q209" s="85"/>
      <c r="R209" s="85"/>
      <c r="S209" s="85"/>
      <c r="T209" s="85"/>
      <c r="U209" s="85"/>
      <c r="V209" s="85"/>
      <c r="W209" s="85"/>
      <c r="X209" s="85"/>
      <c r="Y209" s="59" t="n">
        <f aca="false">SUM(M209:X209)</f>
        <v>0</v>
      </c>
      <c r="Z209" s="59" t="n">
        <v>12</v>
      </c>
      <c r="AA209" s="59" t="n">
        <f aca="false">Z209*800</f>
        <v>9600</v>
      </c>
      <c r="AB209" s="59" t="n">
        <f aca="false">L209+AA209-Y209</f>
        <v>21600</v>
      </c>
      <c r="AC209" s="60" t="n">
        <v>800</v>
      </c>
      <c r="AD209" s="61"/>
      <c r="AE209" s="62" t="n">
        <f aca="false">AB209+AC209-AD209</f>
        <v>22400</v>
      </c>
      <c r="AF209" s="60" t="n">
        <v>800</v>
      </c>
      <c r="AG209" s="61"/>
      <c r="AH209" s="62" t="n">
        <f aca="false">AE209+AF209-AG209</f>
        <v>23200</v>
      </c>
      <c r="AI209" s="60" t="n">
        <v>800</v>
      </c>
      <c r="AJ209" s="61"/>
      <c r="AK209" s="62" t="n">
        <f aca="false">AH209+AI209-AJ209</f>
        <v>24000</v>
      </c>
      <c r="AL209" s="60" t="n">
        <v>800</v>
      </c>
      <c r="AM209" s="61"/>
      <c r="AN209" s="62" t="n">
        <f aca="false">AK209+AL209-AM209</f>
        <v>24800</v>
      </c>
    </row>
    <row collapsed="false" customFormat="false" customHeight="true" hidden="false" ht="25.5" outlineLevel="0" r="210">
      <c r="A210" s="19" t="n">
        <f aca="false">VLOOKUP(B210,справочник!$B$2:$E$322,4,0)</f>
        <v>6</v>
      </c>
      <c r="B210" s="0" t="e">
        <f aca="false">CONCATENATE(C210;D210)</f>
        <v>#VALUE!</v>
      </c>
      <c r="C210" s="24" t="n">
        <v>6</v>
      </c>
      <c r="D210" s="29" t="s">
        <v>156</v>
      </c>
      <c r="E210" s="24" t="s">
        <v>566</v>
      </c>
      <c r="F210" s="30" t="n">
        <v>41939</v>
      </c>
      <c r="G210" s="30" t="n">
        <v>41944</v>
      </c>
      <c r="H210" s="31" t="n">
        <f aca="false">INT(($H$325-G210)/30)</f>
        <v>14</v>
      </c>
      <c r="I210" s="24" t="n">
        <f aca="false">H210*1000</f>
        <v>14000</v>
      </c>
      <c r="J210" s="31"/>
      <c r="K210" s="31"/>
      <c r="L210" s="59" t="n">
        <f aca="false">I210-J210-K210</f>
        <v>14000</v>
      </c>
      <c r="M210" s="85"/>
      <c r="N210" s="85"/>
      <c r="O210" s="85"/>
      <c r="P210" s="85"/>
      <c r="Q210" s="85" t="n">
        <v>4000</v>
      </c>
      <c r="R210" s="85"/>
      <c r="S210" s="85"/>
      <c r="T210" s="85"/>
      <c r="U210" s="85"/>
      <c r="V210" s="85"/>
      <c r="W210" s="85"/>
      <c r="X210" s="85" t="n">
        <v>18000</v>
      </c>
      <c r="Y210" s="59" t="n">
        <f aca="false">SUM(M210:X210)</f>
        <v>22000</v>
      </c>
      <c r="Z210" s="59" t="n">
        <v>12</v>
      </c>
      <c r="AA210" s="59" t="n">
        <f aca="false">Z210*800</f>
        <v>9600</v>
      </c>
      <c r="AB210" s="59" t="n">
        <f aca="false">L210+AA210-Y210</f>
        <v>1600</v>
      </c>
      <c r="AC210" s="60" t="n">
        <v>800</v>
      </c>
      <c r="AD210" s="61"/>
      <c r="AE210" s="62" t="n">
        <f aca="false">AB210+AC210-AD210</f>
        <v>2400</v>
      </c>
      <c r="AF210" s="60" t="n">
        <v>800</v>
      </c>
      <c r="AG210" s="61"/>
      <c r="AH210" s="62" t="n">
        <f aca="false">AE210+AF210-AG210</f>
        <v>3200</v>
      </c>
      <c r="AI210" s="60" t="n">
        <v>800</v>
      </c>
      <c r="AJ210" s="61"/>
      <c r="AK210" s="62" t="n">
        <f aca="false">AH210+AI210-AJ210</f>
        <v>4000</v>
      </c>
      <c r="AL210" s="60" t="n">
        <v>800</v>
      </c>
      <c r="AM210" s="61"/>
      <c r="AN210" s="62" t="n">
        <f aca="false">AK210+AL210-AM210</f>
        <v>4800</v>
      </c>
    </row>
    <row collapsed="false" customFormat="false" customHeight="true" hidden="false" ht="25.5" outlineLevel="0" r="211">
      <c r="A211" s="19" t="n">
        <f aca="false">VLOOKUP(B211,справочник!$B$2:$E$322,4,0)</f>
        <v>80</v>
      </c>
      <c r="B211" s="0" t="e">
        <f aca="false">CONCATENATE(C211;D211)</f>
        <v>#VALUE!</v>
      </c>
      <c r="C211" s="24" t="n">
        <v>85</v>
      </c>
      <c r="D211" s="29" t="s">
        <v>271</v>
      </c>
      <c r="E211" s="24" t="s">
        <v>567</v>
      </c>
      <c r="F211" s="30" t="n">
        <v>40995</v>
      </c>
      <c r="G211" s="30" t="n">
        <v>41000</v>
      </c>
      <c r="H211" s="31" t="n">
        <f aca="false">INT(($H$325-G211)/30)</f>
        <v>45</v>
      </c>
      <c r="I211" s="24" t="n">
        <f aca="false">H211*1000</f>
        <v>45000</v>
      </c>
      <c r="J211" s="31" t="n">
        <v>45000</v>
      </c>
      <c r="K211" s="31"/>
      <c r="L211" s="59" t="n">
        <f aca="false">I211-J211-K211</f>
        <v>0</v>
      </c>
      <c r="M211" s="85"/>
      <c r="N211" s="85"/>
      <c r="O211" s="85"/>
      <c r="P211" s="85"/>
      <c r="Q211" s="85"/>
      <c r="R211" s="85" t="n">
        <v>4000</v>
      </c>
      <c r="S211" s="85" t="n">
        <v>2000</v>
      </c>
      <c r="T211" s="0" t="n">
        <v>2000</v>
      </c>
      <c r="U211" s="85"/>
      <c r="V211" s="85"/>
      <c r="W211" s="85"/>
      <c r="X211" s="85"/>
      <c r="Y211" s="59" t="n">
        <f aca="false">SUM(M211:X211)</f>
        <v>8000</v>
      </c>
      <c r="Z211" s="59" t="n">
        <v>12</v>
      </c>
      <c r="AA211" s="59" t="n">
        <f aca="false">Z211*800</f>
        <v>9600</v>
      </c>
      <c r="AB211" s="59" t="n">
        <f aca="false">L211+AA211-Y211</f>
        <v>1600</v>
      </c>
      <c r="AC211" s="60" t="n">
        <v>800</v>
      </c>
      <c r="AD211" s="61" t="n">
        <v>6000</v>
      </c>
      <c r="AE211" s="62" t="n">
        <f aca="false">AB211+AC211-AD211</f>
        <v>-3600</v>
      </c>
      <c r="AF211" s="60" t="n">
        <v>800</v>
      </c>
      <c r="AG211" s="61" t="n">
        <v>4000</v>
      </c>
      <c r="AH211" s="62" t="n">
        <f aca="false">AE211+AF211-AG211</f>
        <v>-6800</v>
      </c>
      <c r="AI211" s="60" t="n">
        <v>800</v>
      </c>
      <c r="AJ211" s="61"/>
      <c r="AK211" s="62" t="n">
        <f aca="false">AH211+AI211-AJ211</f>
        <v>-6000</v>
      </c>
      <c r="AL211" s="60" t="n">
        <v>800</v>
      </c>
      <c r="AM211" s="61" t="n">
        <v>1600</v>
      </c>
      <c r="AN211" s="62" t="n">
        <f aca="false">AK211+AL211-AM211</f>
        <v>-6800</v>
      </c>
    </row>
    <row collapsed="false" customFormat="false" customHeight="true" hidden="false" ht="38.25" outlineLevel="0" r="212">
      <c r="A212" s="19" t="n">
        <f aca="false">VLOOKUP(B212,справочник!$B$2:$E$322,4,0)</f>
        <v>201</v>
      </c>
      <c r="B212" s="0" t="e">
        <f aca="false">CONCATENATE(C212;D212)</f>
        <v>#VALUE!</v>
      </c>
      <c r="C212" s="24" t="n">
        <v>209</v>
      </c>
      <c r="D212" s="29" t="s">
        <v>203</v>
      </c>
      <c r="E212" s="24" t="s">
        <v>568</v>
      </c>
      <c r="F212" s="30" t="n">
        <v>40974</v>
      </c>
      <c r="G212" s="30" t="n">
        <v>40969</v>
      </c>
      <c r="H212" s="31" t="n">
        <f aca="false">INT(($H$325-G212)/30)</f>
        <v>46</v>
      </c>
      <c r="I212" s="24" t="n">
        <f aca="false">H212*1000</f>
        <v>46000</v>
      </c>
      <c r="J212" s="31" t="n">
        <v>38000</v>
      </c>
      <c r="K212" s="31"/>
      <c r="L212" s="59" t="n">
        <f aca="false">I212-J212-K212</f>
        <v>8000</v>
      </c>
      <c r="M212" s="85" t="n">
        <v>4000</v>
      </c>
      <c r="N212" s="85"/>
      <c r="O212" s="85"/>
      <c r="P212" s="85"/>
      <c r="Q212" s="85" t="n">
        <v>3200</v>
      </c>
      <c r="R212" s="85"/>
      <c r="S212" s="85" t="n">
        <v>800</v>
      </c>
      <c r="T212" s="0" t="n">
        <v>1600</v>
      </c>
      <c r="U212" s="85"/>
      <c r="V212" s="85"/>
      <c r="W212" s="85"/>
      <c r="X212" s="85" t="n">
        <f aca="false">1600+1600+800</f>
        <v>4000</v>
      </c>
      <c r="Y212" s="59" t="n">
        <f aca="false">SUM(M212:X212)</f>
        <v>13600</v>
      </c>
      <c r="Z212" s="59" t="n">
        <v>12</v>
      </c>
      <c r="AA212" s="59" t="n">
        <f aca="false">Z212*800</f>
        <v>9600</v>
      </c>
      <c r="AB212" s="59" t="n">
        <f aca="false">L212+AA212-Y212</f>
        <v>4000</v>
      </c>
      <c r="AC212" s="60" t="n">
        <v>800</v>
      </c>
      <c r="AD212" s="61"/>
      <c r="AE212" s="62" t="n">
        <f aca="false">AB212+AC212-AD212</f>
        <v>4800</v>
      </c>
      <c r="AF212" s="60" t="n">
        <v>800</v>
      </c>
      <c r="AG212" s="61" t="n">
        <v>1600</v>
      </c>
      <c r="AH212" s="62" t="n">
        <f aca="false">AE212+AF212-AG212</f>
        <v>4000</v>
      </c>
      <c r="AI212" s="60" t="n">
        <v>800</v>
      </c>
      <c r="AJ212" s="61"/>
      <c r="AK212" s="62" t="n">
        <f aca="false">AH212+AI212-AJ212</f>
        <v>4800</v>
      </c>
      <c r="AL212" s="60" t="n">
        <v>800</v>
      </c>
      <c r="AM212" s="61"/>
      <c r="AN212" s="62" t="n">
        <f aca="false">AK212+AL212-AM212</f>
        <v>5600</v>
      </c>
    </row>
    <row collapsed="false" customFormat="false" customHeight="false" hidden="false" ht="15" outlineLevel="0" r="213">
      <c r="A213" s="19" t="n">
        <f aca="false">VLOOKUP(B213,справочник!$B$2:$E$322,4,0)</f>
        <v>147</v>
      </c>
      <c r="B213" s="0" t="e">
        <f aca="false">CONCATENATE(C213;D213)</f>
        <v>#VALUE!</v>
      </c>
      <c r="C213" s="24" t="n">
        <v>155</v>
      </c>
      <c r="D213" s="29" t="s">
        <v>119</v>
      </c>
      <c r="E213" s="24" t="s">
        <v>569</v>
      </c>
      <c r="F213" s="30" t="n">
        <v>40952</v>
      </c>
      <c r="G213" s="30" t="n">
        <v>40940</v>
      </c>
      <c r="H213" s="31" t="n">
        <f aca="false">INT(($H$325-G213)/30)</f>
        <v>47</v>
      </c>
      <c r="I213" s="24" t="n">
        <f aca="false">H213*1000</f>
        <v>47000</v>
      </c>
      <c r="J213" s="31" t="n">
        <v>32000</v>
      </c>
      <c r="K213" s="31"/>
      <c r="L213" s="59" t="n">
        <f aca="false">I213-J213-K213</f>
        <v>15000</v>
      </c>
      <c r="M213" s="85"/>
      <c r="N213" s="85"/>
      <c r="O213" s="85"/>
      <c r="P213" s="85"/>
      <c r="Q213" s="85"/>
      <c r="R213" s="85"/>
      <c r="S213" s="85" t="n">
        <v>1000</v>
      </c>
      <c r="T213" s="0" t="n">
        <v>1000</v>
      </c>
      <c r="U213" s="85" t="n">
        <v>1000</v>
      </c>
      <c r="V213" s="85"/>
      <c r="W213" s="85"/>
      <c r="X213" s="85" t="n">
        <v>1000</v>
      </c>
      <c r="Y213" s="59" t="n">
        <f aca="false">SUM(M213:X213)</f>
        <v>4000</v>
      </c>
      <c r="Z213" s="59" t="n">
        <v>12</v>
      </c>
      <c r="AA213" s="59" t="n">
        <f aca="false">Z213*800</f>
        <v>9600</v>
      </c>
      <c r="AB213" s="59" t="n">
        <f aca="false">L213+AA213-Y213</f>
        <v>20600</v>
      </c>
      <c r="AC213" s="60" t="n">
        <v>800</v>
      </c>
      <c r="AD213" s="61"/>
      <c r="AE213" s="62" t="n">
        <f aca="false">AB213+AC213-AD213</f>
        <v>21400</v>
      </c>
      <c r="AF213" s="60" t="n">
        <v>800</v>
      </c>
      <c r="AG213" s="61"/>
      <c r="AH213" s="62" t="n">
        <f aca="false">AE213+AF213-AG213</f>
        <v>22200</v>
      </c>
      <c r="AI213" s="60" t="n">
        <v>800</v>
      </c>
      <c r="AJ213" s="61"/>
      <c r="AK213" s="62" t="n">
        <f aca="false">AH213+AI213-AJ213</f>
        <v>23000</v>
      </c>
      <c r="AL213" s="60" t="n">
        <v>800</v>
      </c>
      <c r="AM213" s="61"/>
      <c r="AN213" s="62" t="n">
        <f aca="false">AK213+AL213-AM213</f>
        <v>23800</v>
      </c>
    </row>
    <row collapsed="false" customFormat="false" customHeight="false" hidden="false" ht="15" outlineLevel="0" r="214">
      <c r="A214" s="19" t="n">
        <f aca="false">VLOOKUP(B214,справочник!$B$2:$E$322,4,0)</f>
        <v>33</v>
      </c>
      <c r="B214" s="0" t="e">
        <f aca="false">CONCATENATE(C214;D214)</f>
        <v>#VALUE!</v>
      </c>
      <c r="C214" s="24" t="n">
        <v>33</v>
      </c>
      <c r="D214" s="29" t="s">
        <v>250</v>
      </c>
      <c r="E214" s="24" t="s">
        <v>572</v>
      </c>
      <c r="F214" s="30" t="n">
        <v>40791</v>
      </c>
      <c r="G214" s="30" t="n">
        <v>40787</v>
      </c>
      <c r="H214" s="31" t="n">
        <f aca="false">INT(($H$325-G214)/30)</f>
        <v>52</v>
      </c>
      <c r="I214" s="24" t="n">
        <f aca="false">H214*1000</f>
        <v>52000</v>
      </c>
      <c r="J214" s="31" t="n">
        <f aca="false">1000+44000</f>
        <v>45000</v>
      </c>
      <c r="K214" s="31"/>
      <c r="L214" s="59" t="n">
        <f aca="false">I214-J214-K214</f>
        <v>7000</v>
      </c>
      <c r="M214" s="85"/>
      <c r="N214" s="85"/>
      <c r="O214" s="85"/>
      <c r="P214" s="85"/>
      <c r="Q214" s="85" t="n">
        <v>10050</v>
      </c>
      <c r="R214" s="85"/>
      <c r="S214" s="85"/>
      <c r="T214" s="85"/>
      <c r="U214" s="85"/>
      <c r="V214" s="85"/>
      <c r="W214" s="85"/>
      <c r="X214" s="85"/>
      <c r="Y214" s="59" t="n">
        <f aca="false">SUM(M214:X214)</f>
        <v>10050</v>
      </c>
      <c r="Z214" s="59" t="n">
        <v>12</v>
      </c>
      <c r="AA214" s="59" t="n">
        <f aca="false">Z214*800</f>
        <v>9600</v>
      </c>
      <c r="AB214" s="59" t="n">
        <f aca="false">L214+AA214-Y214</f>
        <v>6550</v>
      </c>
      <c r="AC214" s="60" t="n">
        <v>800</v>
      </c>
      <c r="AD214" s="61"/>
      <c r="AE214" s="62" t="n">
        <f aca="false">AB214+AC214-AD214</f>
        <v>7350</v>
      </c>
      <c r="AF214" s="60" t="n">
        <v>800</v>
      </c>
      <c r="AG214" s="61"/>
      <c r="AH214" s="62" t="n">
        <f aca="false">AE214+AF214-AG214</f>
        <v>8150</v>
      </c>
      <c r="AI214" s="60" t="n">
        <v>800</v>
      </c>
      <c r="AJ214" s="61" t="n">
        <v>8150</v>
      </c>
      <c r="AK214" s="62" t="n">
        <f aca="false">AH214+AI214-AJ214</f>
        <v>800</v>
      </c>
      <c r="AL214" s="60" t="n">
        <v>800</v>
      </c>
      <c r="AM214" s="61"/>
      <c r="AN214" s="62" t="n">
        <f aca="false">AK214+AL214-AM214</f>
        <v>1600</v>
      </c>
    </row>
    <row collapsed="false" customFormat="false" customHeight="false" hidden="false" ht="15" outlineLevel="0" r="215">
      <c r="A215" s="19" t="n">
        <f aca="false">VLOOKUP(B215,справочник!$B$2:$E$322,4,0)</f>
        <v>169</v>
      </c>
      <c r="B215" s="0" t="e">
        <f aca="false">CONCATENATE(C215;D215)</f>
        <v>#VALUE!</v>
      </c>
      <c r="C215" s="24" t="n">
        <v>177</v>
      </c>
      <c r="D215" s="29" t="s">
        <v>255</v>
      </c>
      <c r="E215" s="24" t="s">
        <v>573</v>
      </c>
      <c r="F215" s="30" t="n">
        <v>41598</v>
      </c>
      <c r="G215" s="30" t="n">
        <v>41609</v>
      </c>
      <c r="H215" s="31" t="n">
        <f aca="false">INT(($H$325-G215)/30)</f>
        <v>25</v>
      </c>
      <c r="I215" s="24" t="n">
        <f aca="false">H215*1000</f>
        <v>25000</v>
      </c>
      <c r="J215" s="31" t="n">
        <v>21000</v>
      </c>
      <c r="K215" s="31"/>
      <c r="L215" s="59" t="n">
        <f aca="false">I215-J215-K215</f>
        <v>4000</v>
      </c>
      <c r="M215" s="85"/>
      <c r="N215" s="85"/>
      <c r="O215" s="85" t="n">
        <v>5400</v>
      </c>
      <c r="P215" s="85"/>
      <c r="Q215" s="85" t="n">
        <v>2400</v>
      </c>
      <c r="R215" s="85"/>
      <c r="S215" s="85"/>
      <c r="T215" s="85"/>
      <c r="U215" s="85"/>
      <c r="V215" s="85" t="n">
        <v>2400</v>
      </c>
      <c r="W215" s="18" t="n">
        <v>2400</v>
      </c>
      <c r="X215" s="85"/>
      <c r="Y215" s="59" t="n">
        <f aca="false">SUM(M215:X215)</f>
        <v>12600</v>
      </c>
      <c r="Z215" s="59" t="n">
        <v>12</v>
      </c>
      <c r="AA215" s="59" t="n">
        <f aca="false">Z215*800</f>
        <v>9600</v>
      </c>
      <c r="AB215" s="59" t="n">
        <f aca="false">L215+AA215-Y215</f>
        <v>1000</v>
      </c>
      <c r="AC215" s="60" t="n">
        <v>800</v>
      </c>
      <c r="AD215" s="61"/>
      <c r="AE215" s="62" t="n">
        <f aca="false">AB215+AC215-AD215</f>
        <v>1800</v>
      </c>
      <c r="AF215" s="60" t="n">
        <v>800</v>
      </c>
      <c r="AG215" s="61" t="n">
        <v>2400</v>
      </c>
      <c r="AH215" s="62" t="n">
        <f aca="false">AE215+AF215-AG215</f>
        <v>200</v>
      </c>
      <c r="AI215" s="60" t="n">
        <v>800</v>
      </c>
      <c r="AJ215" s="61"/>
      <c r="AK215" s="62" t="n">
        <f aca="false">AH215+AI215-AJ215</f>
        <v>1000</v>
      </c>
      <c r="AL215" s="60" t="n">
        <v>800</v>
      </c>
      <c r="AM215" s="61"/>
      <c r="AN215" s="62" t="n">
        <f aca="false">AK215+AL215-AM215</f>
        <v>1800</v>
      </c>
    </row>
    <row collapsed="false" customFormat="false" customHeight="false" hidden="false" ht="15" outlineLevel="0" r="216">
      <c r="A216" s="19" t="n">
        <f aca="false">VLOOKUP(B216,справочник!$B$2:$E$322,4,0)</f>
        <v>185</v>
      </c>
      <c r="B216" s="0" t="e">
        <f aca="false">CONCATENATE(C216;D216)</f>
        <v>#VALUE!</v>
      </c>
      <c r="C216" s="24" t="n">
        <v>193</v>
      </c>
      <c r="D216" s="29" t="s">
        <v>124</v>
      </c>
      <c r="E216" s="24" t="s">
        <v>574</v>
      </c>
      <c r="F216" s="30" t="n">
        <v>41506</v>
      </c>
      <c r="G216" s="30" t="n">
        <v>41518</v>
      </c>
      <c r="H216" s="31" t="n">
        <f aca="false">INT(($H$325-G216)/30)</f>
        <v>28</v>
      </c>
      <c r="I216" s="24" t="n">
        <f aca="false">H216*1000</f>
        <v>28000</v>
      </c>
      <c r="J216" s="31" t="n">
        <v>14000</v>
      </c>
      <c r="K216" s="31"/>
      <c r="L216" s="59" t="n">
        <f aca="false">I216-J216-K216</f>
        <v>14000</v>
      </c>
      <c r="M216" s="85"/>
      <c r="N216" s="85"/>
      <c r="O216" s="85"/>
      <c r="P216" s="85"/>
      <c r="Q216" s="85"/>
      <c r="R216" s="85"/>
      <c r="S216" s="85"/>
      <c r="T216" s="85"/>
      <c r="U216" s="85"/>
      <c r="V216" s="85"/>
      <c r="W216" s="85"/>
      <c r="X216" s="85"/>
      <c r="Y216" s="59" t="n">
        <f aca="false">SUM(M216:X216)</f>
        <v>0</v>
      </c>
      <c r="Z216" s="59" t="n">
        <v>12</v>
      </c>
      <c r="AA216" s="59" t="n">
        <f aca="false">Z216*800</f>
        <v>9600</v>
      </c>
      <c r="AB216" s="59" t="n">
        <f aca="false">L216+AA216-Y216</f>
        <v>23600</v>
      </c>
      <c r="AC216" s="60" t="n">
        <v>800</v>
      </c>
      <c r="AD216" s="61"/>
      <c r="AE216" s="62" t="n">
        <f aca="false">AB216+AC216-AD216</f>
        <v>24400</v>
      </c>
      <c r="AF216" s="60" t="n">
        <v>800</v>
      </c>
      <c r="AG216" s="61"/>
      <c r="AH216" s="62" t="n">
        <f aca="false">AE216+AF216-AG216</f>
        <v>25200</v>
      </c>
      <c r="AI216" s="60" t="n">
        <v>800</v>
      </c>
      <c r="AJ216" s="61"/>
      <c r="AK216" s="62" t="n">
        <f aca="false">AH216+AI216-AJ216</f>
        <v>26000</v>
      </c>
      <c r="AL216" s="60" t="n">
        <v>800</v>
      </c>
      <c r="AM216" s="61"/>
      <c r="AN216" s="62" t="n">
        <f aca="false">AK216+AL216-AM216</f>
        <v>26800</v>
      </c>
    </row>
    <row collapsed="false" customFormat="false" customHeight="false" hidden="false" ht="15" outlineLevel="0" r="217">
      <c r="A217" s="19" t="n">
        <f aca="false">VLOOKUP(B217,справочник!$B$2:$E$322,4,0)</f>
        <v>176</v>
      </c>
      <c r="B217" s="0" t="e">
        <f aca="false">CONCATENATE(C217;D217)</f>
        <v>#VALUE!</v>
      </c>
      <c r="C217" s="24" t="n">
        <v>184</v>
      </c>
      <c r="D217" s="29" t="s">
        <v>190</v>
      </c>
      <c r="E217" s="24" t="s">
        <v>575</v>
      </c>
      <c r="F217" s="30" t="n">
        <v>41734</v>
      </c>
      <c r="G217" s="30" t="n">
        <v>41760</v>
      </c>
      <c r="H217" s="31" t="n">
        <f aca="false">INT(($H$325-G217)/30)</f>
        <v>20</v>
      </c>
      <c r="I217" s="24" t="n">
        <f aca="false">H217*1000</f>
        <v>20000</v>
      </c>
      <c r="J217" s="31" t="n">
        <v>3000</v>
      </c>
      <c r="K217" s="31"/>
      <c r="L217" s="59" t="n">
        <f aca="false">I217-J217-K217</f>
        <v>17000</v>
      </c>
      <c r="M217" s="85" t="n">
        <v>5000</v>
      </c>
      <c r="N217" s="85" t="n">
        <v>3000</v>
      </c>
      <c r="O217" s="85"/>
      <c r="P217" s="85"/>
      <c r="Q217" s="85" t="n">
        <v>3000</v>
      </c>
      <c r="R217" s="85" t="n">
        <v>3500</v>
      </c>
      <c r="S217" s="85"/>
      <c r="T217" s="85"/>
      <c r="U217" s="85"/>
      <c r="V217" s="85"/>
      <c r="W217" s="85"/>
      <c r="X217" s="85"/>
      <c r="Y217" s="59" t="n">
        <f aca="false">SUM(M217:X217)</f>
        <v>14500</v>
      </c>
      <c r="Z217" s="59" t="n">
        <v>12</v>
      </c>
      <c r="AA217" s="59" t="n">
        <f aca="false">Z217*800</f>
        <v>9600</v>
      </c>
      <c r="AB217" s="59" t="n">
        <f aca="false">L217+AA217-Y217</f>
        <v>12100</v>
      </c>
      <c r="AC217" s="60" t="n">
        <v>800</v>
      </c>
      <c r="AD217" s="61"/>
      <c r="AE217" s="62" t="n">
        <f aca="false">AB217+AC217-AD217</f>
        <v>12900</v>
      </c>
      <c r="AF217" s="60" t="n">
        <v>800</v>
      </c>
      <c r="AG217" s="61"/>
      <c r="AH217" s="62" t="n">
        <f aca="false">AE217+AF217-AG217</f>
        <v>13700</v>
      </c>
      <c r="AI217" s="60" t="n">
        <v>800</v>
      </c>
      <c r="AJ217" s="61"/>
      <c r="AK217" s="62" t="n">
        <f aca="false">AH217+AI217-AJ217</f>
        <v>14500</v>
      </c>
      <c r="AL217" s="60" t="n">
        <v>800</v>
      </c>
      <c r="AM217" s="61"/>
      <c r="AN217" s="62" t="n">
        <f aca="false">AK217+AL217-AM217</f>
        <v>15300</v>
      </c>
    </row>
    <row collapsed="false" customFormat="false" customHeight="false" hidden="false" ht="15" outlineLevel="0" r="218">
      <c r="A218" s="19" t="n">
        <f aca="false">VLOOKUP(B218,справочник!$B$2:$E$322,4,0)</f>
        <v>307</v>
      </c>
      <c r="B218" s="0" t="e">
        <f aca="false">CONCATENATE(C218;D218)</f>
        <v>#VALUE!</v>
      </c>
      <c r="C218" s="24" t="n">
        <v>322</v>
      </c>
      <c r="D218" s="29" t="s">
        <v>169</v>
      </c>
      <c r="E218" s="24" t="s">
        <v>576</v>
      </c>
      <c r="F218" s="30" t="n">
        <v>41114</v>
      </c>
      <c r="G218" s="30" t="n">
        <v>41122</v>
      </c>
      <c r="H218" s="31" t="n">
        <f aca="false">INT(($H$325-G218)/30)</f>
        <v>41</v>
      </c>
      <c r="I218" s="24" t="n">
        <f aca="false">H218*1000</f>
        <v>41000</v>
      </c>
      <c r="J218" s="31" t="n">
        <v>27000</v>
      </c>
      <c r="K218" s="31"/>
      <c r="L218" s="59" t="n">
        <f aca="false">I218-J218-K218</f>
        <v>14000</v>
      </c>
      <c r="M218" s="85"/>
      <c r="N218" s="85"/>
      <c r="O218" s="85"/>
      <c r="P218" s="85"/>
      <c r="Q218" s="85" t="n">
        <v>8000</v>
      </c>
      <c r="R218" s="85"/>
      <c r="S218" s="85"/>
      <c r="T218" s="85"/>
      <c r="U218" s="85"/>
      <c r="V218" s="85"/>
      <c r="W218" s="85"/>
      <c r="X218" s="85"/>
      <c r="Y218" s="59" t="n">
        <f aca="false">SUM(M218:X218)</f>
        <v>8000</v>
      </c>
      <c r="Z218" s="59" t="n">
        <v>12</v>
      </c>
      <c r="AA218" s="59" t="n">
        <f aca="false">Z218*800</f>
        <v>9600</v>
      </c>
      <c r="AB218" s="59" t="n">
        <f aca="false">L218+AA218-Y218</f>
        <v>15600</v>
      </c>
      <c r="AC218" s="60" t="n">
        <v>800</v>
      </c>
      <c r="AD218" s="61"/>
      <c r="AE218" s="62" t="n">
        <f aca="false">AB218+AC218-AD218</f>
        <v>16400</v>
      </c>
      <c r="AF218" s="60" t="n">
        <v>800</v>
      </c>
      <c r="AG218" s="61"/>
      <c r="AH218" s="62" t="n">
        <f aca="false">AE218+AF218-AG218</f>
        <v>17200</v>
      </c>
      <c r="AI218" s="60" t="n">
        <v>800</v>
      </c>
      <c r="AJ218" s="61" t="n">
        <v>4800</v>
      </c>
      <c r="AK218" s="62" t="n">
        <f aca="false">AH218+AI218-AJ218</f>
        <v>13200</v>
      </c>
      <c r="AL218" s="60" t="n">
        <v>800</v>
      </c>
      <c r="AM218" s="61" t="n">
        <v>4800</v>
      </c>
      <c r="AN218" s="62" t="n">
        <f aca="false">AK218+AL218-AM218</f>
        <v>9200</v>
      </c>
    </row>
    <row collapsed="false" customFormat="false" customHeight="false" hidden="false" ht="15" outlineLevel="0" r="219">
      <c r="A219" s="19" t="n">
        <f aca="false">VLOOKUP(B219,справочник!$B$2:$E$322,4,0)</f>
        <v>177</v>
      </c>
      <c r="B219" s="0" t="e">
        <f aca="false">CONCATENATE(C219;D219)</f>
        <v>#VALUE!</v>
      </c>
      <c r="C219" s="24" t="n">
        <v>185</v>
      </c>
      <c r="D219" s="29" t="s">
        <v>184</v>
      </c>
      <c r="E219" s="24" t="s">
        <v>577</v>
      </c>
      <c r="F219" s="30" t="n">
        <v>41898</v>
      </c>
      <c r="G219" s="30" t="n">
        <v>41913</v>
      </c>
      <c r="H219" s="31" t="n">
        <f aca="false">INT(($H$325-G219)/30)</f>
        <v>15</v>
      </c>
      <c r="I219" s="24" t="n">
        <f aca="false">H219*1000</f>
        <v>15000</v>
      </c>
      <c r="J219" s="31" t="n">
        <v>12000</v>
      </c>
      <c r="K219" s="31"/>
      <c r="L219" s="59" t="n">
        <f aca="false">I219-J219-K219</f>
        <v>3000</v>
      </c>
      <c r="M219" s="85"/>
      <c r="N219" s="85"/>
      <c r="O219" s="85"/>
      <c r="P219" s="85"/>
      <c r="Q219" s="85"/>
      <c r="R219" s="85"/>
      <c r="S219" s="85"/>
      <c r="T219" s="85"/>
      <c r="U219" s="85"/>
      <c r="V219" s="85"/>
      <c r="W219" s="18" t="n">
        <v>5000</v>
      </c>
      <c r="X219" s="85"/>
      <c r="Y219" s="59" t="n">
        <f aca="false">SUM(M219:X219)</f>
        <v>5000</v>
      </c>
      <c r="Z219" s="59" t="n">
        <v>12</v>
      </c>
      <c r="AA219" s="59" t="n">
        <f aca="false">Z219*800</f>
        <v>9600</v>
      </c>
      <c r="AB219" s="59" t="n">
        <f aca="false">L219+AA219-Y219</f>
        <v>7600</v>
      </c>
      <c r="AC219" s="60" t="n">
        <v>800</v>
      </c>
      <c r="AD219" s="61" t="n">
        <v>10000</v>
      </c>
      <c r="AE219" s="62" t="n">
        <f aca="false">AB219+AC219-AD219</f>
        <v>-1600</v>
      </c>
      <c r="AF219" s="60" t="n">
        <v>800</v>
      </c>
      <c r="AG219" s="61"/>
      <c r="AH219" s="62" t="n">
        <f aca="false">AE219+AF219-AG219</f>
        <v>-800</v>
      </c>
      <c r="AI219" s="60" t="n">
        <v>800</v>
      </c>
      <c r="AJ219" s="61"/>
      <c r="AK219" s="62" t="n">
        <f aca="false">AH219+AI219-AJ219</f>
        <v>0</v>
      </c>
      <c r="AL219" s="60" t="n">
        <v>800</v>
      </c>
      <c r="AM219" s="61"/>
      <c r="AN219" s="62" t="n">
        <f aca="false">AK219+AL219-AM219</f>
        <v>800</v>
      </c>
    </row>
    <row collapsed="false" customFormat="false" customHeight="false" hidden="false" ht="15" outlineLevel="0" r="220">
      <c r="A220" s="19" t="n">
        <f aca="false">VLOOKUP(B220,справочник!$B$2:$E$322,4,0)</f>
        <v>160</v>
      </c>
      <c r="B220" s="0" t="e">
        <f aca="false">CONCATENATE(C220;D220)</f>
        <v>#VALUE!</v>
      </c>
      <c r="C220" s="24" t="n">
        <v>168</v>
      </c>
      <c r="D220" s="29" t="s">
        <v>86</v>
      </c>
      <c r="E220" s="24" t="s">
        <v>578</v>
      </c>
      <c r="F220" s="30" t="n">
        <v>41079</v>
      </c>
      <c r="G220" s="30" t="n">
        <v>41091</v>
      </c>
      <c r="H220" s="31" t="n">
        <f aca="false">INT(($H$325-G220)/30)</f>
        <v>42</v>
      </c>
      <c r="I220" s="24" t="n">
        <f aca="false">H220*1000</f>
        <v>42000</v>
      </c>
      <c r="J220" s="31" t="n">
        <v>21000</v>
      </c>
      <c r="K220" s="31"/>
      <c r="L220" s="59" t="n">
        <f aca="false">I220-J220-K220</f>
        <v>21000</v>
      </c>
      <c r="M220" s="85"/>
      <c r="N220" s="85"/>
      <c r="O220" s="85"/>
      <c r="P220" s="85"/>
      <c r="Q220" s="85"/>
      <c r="R220" s="85"/>
      <c r="S220" s="85"/>
      <c r="T220" s="85"/>
      <c r="U220" s="85"/>
      <c r="V220" s="85" t="n">
        <v>4800</v>
      </c>
      <c r="W220" s="85"/>
      <c r="X220" s="85" t="n">
        <v>4800</v>
      </c>
      <c r="Y220" s="59" t="n">
        <f aca="false">SUM(M220:X220)</f>
        <v>9600</v>
      </c>
      <c r="Z220" s="59" t="n">
        <v>12</v>
      </c>
      <c r="AA220" s="59" t="n">
        <f aca="false">Z220*800</f>
        <v>9600</v>
      </c>
      <c r="AB220" s="59" t="n">
        <f aca="false">L220+AA220-Y220</f>
        <v>21000</v>
      </c>
      <c r="AC220" s="60" t="n">
        <v>800</v>
      </c>
      <c r="AD220" s="61"/>
      <c r="AE220" s="62" t="n">
        <f aca="false">AB220+AC220-AD220</f>
        <v>21800</v>
      </c>
      <c r="AF220" s="60" t="n">
        <v>800</v>
      </c>
      <c r="AG220" s="61" t="n">
        <v>2400</v>
      </c>
      <c r="AH220" s="62" t="n">
        <f aca="false">AE220+AF220-AG220</f>
        <v>20200</v>
      </c>
      <c r="AI220" s="60" t="n">
        <v>800</v>
      </c>
      <c r="AJ220" s="61"/>
      <c r="AK220" s="62" t="n">
        <f aca="false">AH220+AI220-AJ220</f>
        <v>21000</v>
      </c>
      <c r="AL220" s="60" t="n">
        <v>800</v>
      </c>
      <c r="AM220" s="61"/>
      <c r="AN220" s="62" t="n">
        <f aca="false">AK220+AL220-AM220</f>
        <v>21800</v>
      </c>
    </row>
    <row collapsed="false" customFormat="false" customHeight="true" hidden="false" ht="25.5" outlineLevel="0" r="221">
      <c r="A221" s="19" t="n">
        <f aca="false">VLOOKUP(B221,справочник!$B$2:$E$322,4,0)</f>
        <v>53</v>
      </c>
      <c r="B221" s="0" t="e">
        <f aca="false">CONCATENATE(C221;D221)</f>
        <v>#VALUE!</v>
      </c>
      <c r="C221" s="24" t="n">
        <v>55</v>
      </c>
      <c r="D221" s="29" t="s">
        <v>217</v>
      </c>
      <c r="E221" s="24" t="s">
        <v>579</v>
      </c>
      <c r="F221" s="30" t="n">
        <v>41995</v>
      </c>
      <c r="G221" s="30" t="n">
        <v>42005</v>
      </c>
      <c r="H221" s="31" t="n">
        <f aca="false">INT(($H$325-G221)/30)</f>
        <v>12</v>
      </c>
      <c r="I221" s="24" t="n">
        <f aca="false">H221*1000</f>
        <v>12000</v>
      </c>
      <c r="J221" s="31" t="n">
        <v>12000</v>
      </c>
      <c r="K221" s="31"/>
      <c r="L221" s="59" t="n">
        <f aca="false">I221-J221-K221</f>
        <v>0</v>
      </c>
      <c r="M221" s="85"/>
      <c r="N221" s="85"/>
      <c r="O221" s="85"/>
      <c r="P221" s="85"/>
      <c r="Q221" s="85"/>
      <c r="R221" s="85"/>
      <c r="S221" s="85"/>
      <c r="T221" s="85"/>
      <c r="U221" s="85"/>
      <c r="V221" s="85"/>
      <c r="W221" s="85"/>
      <c r="X221" s="85"/>
      <c r="Y221" s="59" t="n">
        <f aca="false">SUM(M221:X221)</f>
        <v>0</v>
      </c>
      <c r="Z221" s="59" t="n">
        <v>12</v>
      </c>
      <c r="AA221" s="59" t="n">
        <f aca="false">Z221*800</f>
        <v>9600</v>
      </c>
      <c r="AB221" s="59" t="n">
        <f aca="false">L221+AA221-Y221</f>
        <v>9600</v>
      </c>
      <c r="AC221" s="60" t="n">
        <v>800</v>
      </c>
      <c r="AD221" s="61"/>
      <c r="AE221" s="62" t="n">
        <f aca="false">AB221+AC221-AD221</f>
        <v>10400</v>
      </c>
      <c r="AF221" s="60" t="n">
        <v>800</v>
      </c>
      <c r="AG221" s="61"/>
      <c r="AH221" s="62" t="n">
        <f aca="false">AE221+AF221-AG221</f>
        <v>11200</v>
      </c>
      <c r="AI221" s="60" t="n">
        <v>800</v>
      </c>
      <c r="AJ221" s="61"/>
      <c r="AK221" s="62" t="n">
        <f aca="false">AH221+AI221-AJ221</f>
        <v>12000</v>
      </c>
      <c r="AL221" s="60" t="n">
        <v>800</v>
      </c>
      <c r="AM221" s="61"/>
      <c r="AN221" s="62" t="n">
        <f aca="false">AK221+AL221-AM221</f>
        <v>12800</v>
      </c>
    </row>
    <row collapsed="false" customFormat="false" customHeight="false" hidden="false" ht="15" outlineLevel="0" r="222">
      <c r="A222" s="19" t="n">
        <f aca="false">VLOOKUP(B222,справочник!$B$2:$E$322,4,0)</f>
        <v>102</v>
      </c>
      <c r="B222" s="0" t="e">
        <f aca="false">CONCATENATE(C222;D222)</f>
        <v>#VALUE!</v>
      </c>
      <c r="C222" s="24" t="n">
        <v>107</v>
      </c>
      <c r="D222" s="29" t="s">
        <v>268</v>
      </c>
      <c r="E222" s="24" t="s">
        <v>580</v>
      </c>
      <c r="F222" s="30" t="n">
        <v>40757</v>
      </c>
      <c r="G222" s="30" t="n">
        <v>40756</v>
      </c>
      <c r="H222" s="31" t="n">
        <f aca="false">INT(($H$325-G222)/30)</f>
        <v>53</v>
      </c>
      <c r="I222" s="24" t="n">
        <f aca="false">H222*1000</f>
        <v>53000</v>
      </c>
      <c r="J222" s="31" t="n">
        <f aca="false">52000+1000</f>
        <v>53000</v>
      </c>
      <c r="K222" s="31"/>
      <c r="L222" s="59" t="n">
        <f aca="false">I222-J222-K222</f>
        <v>0</v>
      </c>
      <c r="M222" s="85" t="n">
        <v>800</v>
      </c>
      <c r="N222" s="85" t="n">
        <v>800</v>
      </c>
      <c r="O222" s="85" t="n">
        <v>800</v>
      </c>
      <c r="P222" s="85" t="n">
        <v>800</v>
      </c>
      <c r="Q222" s="85"/>
      <c r="R222" s="85" t="n">
        <v>800</v>
      </c>
      <c r="S222" s="85" t="n">
        <v>800</v>
      </c>
      <c r="T222" s="0" t="n">
        <v>1600</v>
      </c>
      <c r="U222" s="85" t="n">
        <v>800</v>
      </c>
      <c r="V222" s="85" t="n">
        <v>800</v>
      </c>
      <c r="W222" s="18" t="n">
        <v>800</v>
      </c>
      <c r="X222" s="85" t="n">
        <v>800</v>
      </c>
      <c r="Y222" s="59" t="n">
        <f aca="false">SUM(M222:X222)</f>
        <v>9600</v>
      </c>
      <c r="Z222" s="59" t="n">
        <v>12</v>
      </c>
      <c r="AA222" s="59" t="n">
        <f aca="false">Z222*800</f>
        <v>9600</v>
      </c>
      <c r="AB222" s="59" t="n">
        <f aca="false">L222+AA222-Y222</f>
        <v>0</v>
      </c>
      <c r="AC222" s="60" t="n">
        <v>800</v>
      </c>
      <c r="AD222" s="73" t="n">
        <v>800</v>
      </c>
      <c r="AE222" s="62" t="n">
        <f aca="false">AB222+AC222-AD222</f>
        <v>0</v>
      </c>
      <c r="AF222" s="60" t="n">
        <v>800</v>
      </c>
      <c r="AG222" s="73"/>
      <c r="AH222" s="62" t="n">
        <f aca="false">AE222+AF222-AG222</f>
        <v>800</v>
      </c>
      <c r="AI222" s="60" t="n">
        <v>800</v>
      </c>
      <c r="AJ222" s="73" t="n">
        <v>800</v>
      </c>
      <c r="AK222" s="62" t="n">
        <f aca="false">AH222+AI222-AJ222</f>
        <v>800</v>
      </c>
      <c r="AL222" s="60" t="n">
        <v>800</v>
      </c>
      <c r="AM222" s="73" t="n">
        <v>800</v>
      </c>
      <c r="AN222" s="62" t="n">
        <f aca="false">AK222+AL222-AM222</f>
        <v>800</v>
      </c>
    </row>
    <row collapsed="false" customFormat="false" customHeight="false" hidden="false" ht="15" outlineLevel="0" r="223">
      <c r="A223" s="19" t="n">
        <f aca="false">VLOOKUP(B223,справочник!$B$2:$E$322,4,0)</f>
        <v>174</v>
      </c>
      <c r="B223" s="0" t="e">
        <f aca="false">CONCATENATE(C223;D223)</f>
        <v>#VALUE!</v>
      </c>
      <c r="C223" s="24" t="n">
        <v>182</v>
      </c>
      <c r="D223" s="29" t="s">
        <v>264</v>
      </c>
      <c r="E223" s="24" t="s">
        <v>581</v>
      </c>
      <c r="F223" s="30" t="n">
        <v>41352</v>
      </c>
      <c r="G223" s="30" t="n">
        <v>41365</v>
      </c>
      <c r="H223" s="31" t="n">
        <f aca="false">INT(($H$325-G223)/30)</f>
        <v>33</v>
      </c>
      <c r="I223" s="24" t="n">
        <f aca="false">H223*1000</f>
        <v>33000</v>
      </c>
      <c r="J223" s="31" t="n">
        <v>33000</v>
      </c>
      <c r="K223" s="31"/>
      <c r="L223" s="59" t="n">
        <f aca="false">I223-J223-K223</f>
        <v>0</v>
      </c>
      <c r="M223" s="85" t="n">
        <v>1000</v>
      </c>
      <c r="N223" s="85"/>
      <c r="O223" s="85"/>
      <c r="P223" s="85"/>
      <c r="Q223" s="85" t="n">
        <v>3000</v>
      </c>
      <c r="R223" s="85"/>
      <c r="S223" s="85" t="n">
        <v>1600</v>
      </c>
      <c r="T223" s="85"/>
      <c r="U223" s="85"/>
      <c r="V223" s="85" t="n">
        <v>0</v>
      </c>
      <c r="W223" s="85"/>
      <c r="X223" s="85"/>
      <c r="Y223" s="59" t="n">
        <f aca="false">SUM(M223:X223)</f>
        <v>5600</v>
      </c>
      <c r="Z223" s="59" t="n">
        <v>12</v>
      </c>
      <c r="AA223" s="59" t="n">
        <f aca="false">Z223*800</f>
        <v>9600</v>
      </c>
      <c r="AB223" s="59" t="n">
        <f aca="false">L223+AA223-Y223</f>
        <v>4000</v>
      </c>
      <c r="AC223" s="60" t="n">
        <v>800</v>
      </c>
      <c r="AD223" s="61"/>
      <c r="AE223" s="62" t="n">
        <f aca="false">AB223+AC223-AD223</f>
        <v>4800</v>
      </c>
      <c r="AF223" s="60" t="n">
        <v>800</v>
      </c>
      <c r="AG223" s="61"/>
      <c r="AH223" s="62" t="n">
        <f aca="false">AE223+AF223-AG223</f>
        <v>5600</v>
      </c>
      <c r="AI223" s="60" t="n">
        <v>800</v>
      </c>
      <c r="AJ223" s="61" t="n">
        <v>6000</v>
      </c>
      <c r="AK223" s="62" t="n">
        <f aca="false">AH223+AI223-AJ223</f>
        <v>400</v>
      </c>
      <c r="AL223" s="60" t="n">
        <v>800</v>
      </c>
      <c r="AM223" s="61"/>
      <c r="AN223" s="62" t="n">
        <f aca="false">AK223+AL223-AM223</f>
        <v>1200</v>
      </c>
    </row>
    <row collapsed="false" customFormat="false" customHeight="false" hidden="false" ht="15" outlineLevel="0" r="224">
      <c r="A224" s="19" t="n">
        <f aca="false">VLOOKUP(B224,справочник!$B$2:$E$322,4,0)</f>
        <v>165</v>
      </c>
      <c r="B224" s="0" t="e">
        <f aca="false">CONCATENATE(C224;D224)</f>
        <v>#VALUE!</v>
      </c>
      <c r="C224" s="24" t="n">
        <v>173</v>
      </c>
      <c r="D224" s="29" t="s">
        <v>214</v>
      </c>
      <c r="E224" s="24" t="s">
        <v>582</v>
      </c>
      <c r="F224" s="24"/>
      <c r="G224" s="24"/>
      <c r="H224" s="31" t="n">
        <v>17</v>
      </c>
      <c r="I224" s="24" t="n">
        <f aca="false">H224*1000</f>
        <v>17000</v>
      </c>
      <c r="J224" s="31" t="n">
        <v>17000</v>
      </c>
      <c r="K224" s="31"/>
      <c r="L224" s="59" t="n">
        <f aca="false">I224-J224-K224</f>
        <v>0</v>
      </c>
      <c r="M224" s="85"/>
      <c r="N224" s="85"/>
      <c r="O224" s="85"/>
      <c r="P224" s="85"/>
      <c r="Q224" s="85"/>
      <c r="R224" s="85"/>
      <c r="S224" s="85"/>
      <c r="T224" s="85"/>
      <c r="U224" s="85"/>
      <c r="V224" s="85"/>
      <c r="W224" s="85"/>
      <c r="X224" s="85"/>
      <c r="Y224" s="59" t="n">
        <f aca="false">SUM(M224:X224)</f>
        <v>0</v>
      </c>
      <c r="Z224" s="59" t="n">
        <v>12</v>
      </c>
      <c r="AA224" s="59" t="n">
        <f aca="false">Z224*800</f>
        <v>9600</v>
      </c>
      <c r="AB224" s="59" t="n">
        <f aca="false">L224+AA224-Y224</f>
        <v>9600</v>
      </c>
      <c r="AC224" s="60" t="n">
        <v>800</v>
      </c>
      <c r="AD224" s="61"/>
      <c r="AE224" s="62" t="n">
        <f aca="false">AB224+AC224-AD224</f>
        <v>10400</v>
      </c>
      <c r="AF224" s="60" t="n">
        <v>800</v>
      </c>
      <c r="AG224" s="61"/>
      <c r="AH224" s="62" t="n">
        <f aca="false">AE224+AF224-AG224</f>
        <v>11200</v>
      </c>
      <c r="AI224" s="60" t="n">
        <v>800</v>
      </c>
      <c r="AJ224" s="61"/>
      <c r="AK224" s="62" t="n">
        <f aca="false">AH224+AI224-AJ224</f>
        <v>12000</v>
      </c>
      <c r="AL224" s="60" t="n">
        <v>800</v>
      </c>
      <c r="AM224" s="61"/>
      <c r="AN224" s="62" t="n">
        <f aca="false">AK224+AL224-AM224</f>
        <v>12800</v>
      </c>
    </row>
    <row collapsed="false" customFormat="false" customHeight="false" hidden="false" ht="15" outlineLevel="0" r="225">
      <c r="A225" s="19" t="n">
        <f aca="false">VLOOKUP(B225,справочник!$B$2:$E$322,4,0)</f>
        <v>251</v>
      </c>
      <c r="B225" s="0" t="e">
        <f aca="false">CONCATENATE(C225;D225)</f>
        <v>#VALUE!</v>
      </c>
      <c r="C225" s="24" t="n">
        <v>262</v>
      </c>
      <c r="D225" s="29" t="s">
        <v>93</v>
      </c>
      <c r="E225" s="24" t="s">
        <v>583</v>
      </c>
      <c r="F225" s="30" t="n">
        <v>41751</v>
      </c>
      <c r="G225" s="30" t="n">
        <v>41760</v>
      </c>
      <c r="H225" s="31" t="n">
        <f aca="false">INT(($H$325-G225)/30)</f>
        <v>20</v>
      </c>
      <c r="I225" s="24" t="n">
        <f aca="false">H225*1000</f>
        <v>20000</v>
      </c>
      <c r="J225" s="31"/>
      <c r="K225" s="31"/>
      <c r="L225" s="59" t="n">
        <f aca="false">I225-J225-K225</f>
        <v>20000</v>
      </c>
      <c r="M225" s="85"/>
      <c r="N225" s="85"/>
      <c r="O225" s="85"/>
      <c r="P225" s="85"/>
      <c r="Q225" s="85"/>
      <c r="R225" s="85"/>
      <c r="S225" s="85"/>
      <c r="T225" s="85"/>
      <c r="U225" s="85"/>
      <c r="V225" s="85"/>
      <c r="W225" s="85"/>
      <c r="X225" s="85"/>
      <c r="Y225" s="59" t="n">
        <f aca="false">SUM(M225:X225)</f>
        <v>0</v>
      </c>
      <c r="Z225" s="59" t="n">
        <v>12</v>
      </c>
      <c r="AA225" s="59" t="n">
        <f aca="false">Z225*800</f>
        <v>9600</v>
      </c>
      <c r="AB225" s="59" t="n">
        <f aca="false">L225+AA225-Y225</f>
        <v>29600</v>
      </c>
      <c r="AC225" s="60" t="n">
        <v>800</v>
      </c>
      <c r="AD225" s="61"/>
      <c r="AE225" s="62" t="n">
        <f aca="false">AB225+AC225-AD225</f>
        <v>30400</v>
      </c>
      <c r="AF225" s="60" t="n">
        <v>800</v>
      </c>
      <c r="AG225" s="61"/>
      <c r="AH225" s="62" t="n">
        <f aca="false">AE225+AF225-AG225</f>
        <v>31200</v>
      </c>
      <c r="AI225" s="60" t="n">
        <v>800</v>
      </c>
      <c r="AJ225" s="61"/>
      <c r="AK225" s="62" t="n">
        <f aca="false">AH225+AI225-AJ225</f>
        <v>32000</v>
      </c>
      <c r="AL225" s="60" t="n">
        <v>800</v>
      </c>
      <c r="AM225" s="61" t="n">
        <v>15000</v>
      </c>
      <c r="AN225" s="62" t="n">
        <f aca="false">AK225+AL225-AM225</f>
        <v>17800</v>
      </c>
    </row>
    <row collapsed="false" customFormat="false" customHeight="false" hidden="false" ht="15" outlineLevel="0" r="226">
      <c r="A226" s="19" t="n">
        <f aca="false">VLOOKUP(B226,справочник!$B$2:$E$322,4,0)</f>
        <v>315</v>
      </c>
      <c r="B226" s="0" t="e">
        <f aca="false">CONCATENATE(C226;D226)</f>
        <v>#VALUE!</v>
      </c>
      <c r="C226" s="24" t="s">
        <v>584</v>
      </c>
      <c r="D226" s="29" t="s">
        <v>99</v>
      </c>
      <c r="E226" s="24" t="s">
        <v>585</v>
      </c>
      <c r="F226" s="34" t="n">
        <v>40890</v>
      </c>
      <c r="G226" s="34" t="n">
        <v>40878</v>
      </c>
      <c r="H226" s="35" t="n">
        <f aca="false">INT(($H$325-G226)/30)</f>
        <v>49</v>
      </c>
      <c r="I226" s="36" t="n">
        <f aca="false">H226*1000</f>
        <v>49000</v>
      </c>
      <c r="J226" s="35" t="n">
        <f aca="false">28000+2000</f>
        <v>30000</v>
      </c>
      <c r="K226" s="35"/>
      <c r="L226" s="66" t="n">
        <f aca="false">I226-J226-K226</f>
        <v>19000</v>
      </c>
      <c r="M226" s="85"/>
      <c r="N226" s="85"/>
      <c r="O226" s="85"/>
      <c r="P226" s="85"/>
      <c r="Q226" s="85"/>
      <c r="R226" s="85"/>
      <c r="S226" s="85"/>
      <c r="T226" s="85"/>
      <c r="U226" s="85"/>
      <c r="V226" s="85"/>
      <c r="W226" s="85"/>
      <c r="X226" s="85"/>
      <c r="Y226" s="59" t="n">
        <f aca="false">SUM(M226:X226)</f>
        <v>0</v>
      </c>
      <c r="Z226" s="59" t="n">
        <v>12</v>
      </c>
      <c r="AA226" s="59" t="n">
        <f aca="false">Z226*800</f>
        <v>9600</v>
      </c>
      <c r="AB226" s="59" t="n">
        <f aca="false">L226+AA226-Y226</f>
        <v>28600</v>
      </c>
      <c r="AC226" s="60" t="n">
        <v>800</v>
      </c>
      <c r="AD226" s="61"/>
      <c r="AE226" s="62" t="n">
        <f aca="false">AB226+AC226-AD226</f>
        <v>29400</v>
      </c>
      <c r="AF226" s="60" t="n">
        <v>800</v>
      </c>
      <c r="AG226" s="61"/>
      <c r="AH226" s="62" t="n">
        <f aca="false">AE226+AF226-AG226</f>
        <v>30200</v>
      </c>
      <c r="AI226" s="60" t="n">
        <v>800</v>
      </c>
      <c r="AJ226" s="61"/>
      <c r="AK226" s="62" t="n">
        <f aca="false">AH226+AI226-AJ226</f>
        <v>31000</v>
      </c>
      <c r="AL226" s="60" t="n">
        <v>800</v>
      </c>
      <c r="AM226" s="61"/>
      <c r="AN226" s="62" t="n">
        <f aca="false">AK226+AL226-AM226</f>
        <v>31800</v>
      </c>
    </row>
    <row collapsed="false" customFormat="true" customHeight="true" hidden="false" ht="25.5" outlineLevel="0" r="227" s="64">
      <c r="A227" s="63" t="e">
        <f aca="false">VLOOKUP(B227,справочник!$B$2:$E$322,4,0)</f>
        <v>#VALUE!</v>
      </c>
      <c r="B227" s="64" t="e">
        <f aca="false">CONCATENATE(C227;D227)</f>
        <v>#VALUE!</v>
      </c>
      <c r="C227" s="36" t="s">
        <v>586</v>
      </c>
      <c r="D227" s="65" t="s">
        <v>303</v>
      </c>
      <c r="E227" s="36" t="s">
        <v>587</v>
      </c>
      <c r="F227" s="34" t="n">
        <v>40816</v>
      </c>
      <c r="G227" s="34" t="n">
        <v>40817</v>
      </c>
      <c r="H227" s="35" t="n">
        <f aca="false">INT(($H$325-G227)/30)</f>
        <v>51</v>
      </c>
      <c r="I227" s="36" t="n">
        <v>61000</v>
      </c>
      <c r="J227" s="35" t="n">
        <f aca="false">2000+55000</f>
        <v>57000</v>
      </c>
      <c r="K227" s="35" t="n">
        <v>4000</v>
      </c>
      <c r="L227" s="66" t="n">
        <f aca="false">I227-J227-K227</f>
        <v>0</v>
      </c>
      <c r="M227" s="87" t="n">
        <v>2000</v>
      </c>
      <c r="N227" s="87"/>
      <c r="O227" s="87"/>
      <c r="P227" s="87" t="n">
        <v>2000</v>
      </c>
      <c r="Q227" s="87"/>
      <c r="R227" s="87" t="n">
        <v>2000</v>
      </c>
      <c r="S227" s="87"/>
      <c r="T227" s="64" t="n">
        <v>2000</v>
      </c>
      <c r="U227" s="87"/>
      <c r="V227" s="87" t="n">
        <v>2000</v>
      </c>
      <c r="W227" s="87"/>
      <c r="X227" s="87" t="n">
        <v>2000</v>
      </c>
      <c r="Y227" s="66" t="n">
        <f aca="false">SUM(M227:X227)</f>
        <v>12000</v>
      </c>
      <c r="Z227" s="66" t="n">
        <v>12</v>
      </c>
      <c r="AA227" s="66" t="n">
        <f aca="false">Z227*800</f>
        <v>9600</v>
      </c>
      <c r="AB227" s="66" t="n">
        <f aca="false">L227+AA227-Y227</f>
        <v>-2400</v>
      </c>
      <c r="AC227" s="66" t="n">
        <v>800</v>
      </c>
      <c r="AD227" s="67"/>
      <c r="AE227" s="71" t="n">
        <f aca="false">AB227+AC227-AD227</f>
        <v>-1600</v>
      </c>
      <c r="AF227" s="66" t="n">
        <v>800</v>
      </c>
      <c r="AG227" s="67"/>
      <c r="AH227" s="71" t="n">
        <f aca="false">AE227+AF227-AG227</f>
        <v>-800</v>
      </c>
      <c r="AI227" s="66" t="n">
        <v>800</v>
      </c>
      <c r="AJ227" s="67"/>
      <c r="AK227" s="71" t="n">
        <f aca="false">AH227+AI227-AJ227</f>
        <v>0</v>
      </c>
      <c r="AL227" s="66" t="n">
        <v>800</v>
      </c>
      <c r="AM227" s="67"/>
      <c r="AN227" s="71" t="n">
        <f aca="false">AK227+AL227-AM227</f>
        <v>800</v>
      </c>
    </row>
    <row collapsed="false" customFormat="false" customHeight="false" hidden="false" ht="15" outlineLevel="0" r="228">
      <c r="A228" s="63" t="e">
        <f aca="false">VLOOKUP(B228,справочник!$B$2:$E$322,4,0)</f>
        <v>#VALUE!</v>
      </c>
      <c r="B228" s="64" t="e">
        <f aca="false">CONCATENATE(C228;D228)</f>
        <v>#VALUE!</v>
      </c>
      <c r="C228" s="36" t="s">
        <v>586</v>
      </c>
      <c r="D228" s="65" t="s">
        <v>303</v>
      </c>
      <c r="E228" s="36" t="s">
        <v>587</v>
      </c>
      <c r="F228" s="34" t="n">
        <v>40816</v>
      </c>
      <c r="G228" s="34" t="n">
        <v>40817</v>
      </c>
      <c r="H228" s="35" t="n">
        <f aca="false">INT(($H$325-G228)/30)</f>
        <v>51</v>
      </c>
      <c r="I228" s="36" t="n">
        <v>61000</v>
      </c>
      <c r="J228" s="35" t="n">
        <v>58000</v>
      </c>
      <c r="K228" s="35" t="n">
        <v>3000</v>
      </c>
      <c r="L228" s="66" t="n">
        <f aca="false">I228-J228-K228</f>
        <v>0</v>
      </c>
      <c r="M228" s="87"/>
      <c r="N228" s="87"/>
      <c r="O228" s="87"/>
      <c r="P228" s="87"/>
      <c r="Q228" s="87"/>
      <c r="R228" s="87"/>
      <c r="S228" s="87"/>
      <c r="U228" s="87"/>
      <c r="V228" s="87"/>
      <c r="W228" s="87"/>
      <c r="X228" s="87"/>
      <c r="Y228" s="66" t="n">
        <f aca="false">SUM(M228:X228)</f>
        <v>0</v>
      </c>
      <c r="Z228" s="66" t="n">
        <v>0</v>
      </c>
      <c r="AA228" s="66" t="n">
        <f aca="false">Z228*800</f>
        <v>0</v>
      </c>
      <c r="AB228" s="66" t="n">
        <f aca="false">L228+AA228-Y228</f>
        <v>0</v>
      </c>
      <c r="AC228" s="66" t="n">
        <v>0</v>
      </c>
      <c r="AD228" s="67"/>
      <c r="AE228" s="71" t="n">
        <f aca="false">AB228+AC228-AD228</f>
        <v>0</v>
      </c>
      <c r="AF228" s="66" t="n">
        <v>0</v>
      </c>
      <c r="AG228" s="67"/>
      <c r="AH228" s="71" t="n">
        <f aca="false">AE228+AF228-AG228</f>
        <v>0</v>
      </c>
      <c r="AI228" s="66" t="n">
        <v>0</v>
      </c>
      <c r="AJ228" s="67"/>
      <c r="AK228" s="71" t="n">
        <f aca="false">AH228+AI228-AJ228</f>
        <v>0</v>
      </c>
      <c r="AL228" s="66" t="n">
        <v>0</v>
      </c>
      <c r="AM228" s="67"/>
      <c r="AN228" s="71" t="n">
        <f aca="false">AK228+AL228-AM228</f>
        <v>0</v>
      </c>
    </row>
    <row collapsed="false" customFormat="false" customHeight="false" hidden="false" ht="25.5" outlineLevel="0" r="229">
      <c r="A229" s="19" t="n">
        <f aca="false">VLOOKUP(B229,справочник!$B$2:$E$322,4,0)</f>
        <v>195</v>
      </c>
      <c r="B229" s="0" t="e">
        <f aca="false">CONCATENATE(C229;D229)</f>
        <v>#VALUE!</v>
      </c>
      <c r="C229" s="24" t="n">
        <v>203</v>
      </c>
      <c r="D229" s="29" t="s">
        <v>97</v>
      </c>
      <c r="E229" s="24" t="s">
        <v>588</v>
      </c>
      <c r="F229" s="30" t="n">
        <v>41599</v>
      </c>
      <c r="G229" s="30" t="n">
        <v>41609</v>
      </c>
      <c r="H229" s="31" t="n">
        <f aca="false">INT(($H$325-G229)/30)</f>
        <v>25</v>
      </c>
      <c r="I229" s="24" t="n">
        <f aca="false">H229*1000</f>
        <v>25000</v>
      </c>
      <c r="J229" s="31" t="n">
        <v>1000</v>
      </c>
      <c r="K229" s="31"/>
      <c r="L229" s="59" t="n">
        <f aca="false">I229-J229-K229</f>
        <v>24000</v>
      </c>
      <c r="M229" s="85"/>
      <c r="N229" s="85"/>
      <c r="O229" s="85"/>
      <c r="P229" s="85"/>
      <c r="Q229" s="85"/>
      <c r="R229" s="85" t="n">
        <v>4000</v>
      </c>
      <c r="S229" s="85"/>
      <c r="T229" s="85"/>
      <c r="U229" s="85"/>
      <c r="V229" s="85"/>
      <c r="W229" s="85"/>
      <c r="X229" s="85"/>
      <c r="Y229" s="59" t="n">
        <f aca="false">SUM(M229:X229)</f>
        <v>4000</v>
      </c>
      <c r="Z229" s="59" t="n">
        <v>12</v>
      </c>
      <c r="AA229" s="59" t="n">
        <f aca="false">Z229*800</f>
        <v>9600</v>
      </c>
      <c r="AB229" s="59" t="n">
        <f aca="false">L229+AA229-Y229</f>
        <v>29600</v>
      </c>
      <c r="AC229" s="60" t="n">
        <v>800</v>
      </c>
      <c r="AD229" s="61"/>
      <c r="AE229" s="62" t="n">
        <f aca="false">AB229+AC229-AD229</f>
        <v>30400</v>
      </c>
      <c r="AF229" s="60" t="n">
        <v>800</v>
      </c>
      <c r="AG229" s="61"/>
      <c r="AH229" s="62" t="n">
        <f aca="false">AE229+AF229-AG229</f>
        <v>31200</v>
      </c>
      <c r="AI229" s="60" t="n">
        <v>800</v>
      </c>
      <c r="AJ229" s="61" t="n">
        <v>5000</v>
      </c>
      <c r="AK229" s="62" t="n">
        <f aca="false">AH229+AI229-AJ229</f>
        <v>27000</v>
      </c>
      <c r="AL229" s="60" t="n">
        <v>800</v>
      </c>
      <c r="AM229" s="61"/>
      <c r="AN229" s="62" t="n">
        <f aca="false">AK229+AL229-AM229</f>
        <v>27800</v>
      </c>
    </row>
    <row collapsed="false" customFormat="true" customHeight="false" hidden="false" ht="15" outlineLevel="0" r="230" s="64">
      <c r="A230" s="63" t="n">
        <f aca="false">VLOOKUP(B230,справочник!$B$2:$E$322,4,0)</f>
        <v>144</v>
      </c>
      <c r="B230" s="64" t="e">
        <f aca="false">CONCATENATE(C230;D230)</f>
        <v>#VALUE!</v>
      </c>
      <c r="C230" s="36" t="n">
        <v>152</v>
      </c>
      <c r="D230" s="65" t="s">
        <v>23</v>
      </c>
      <c r="E230" s="36" t="s">
        <v>589</v>
      </c>
      <c r="F230" s="34" t="n">
        <v>40788</v>
      </c>
      <c r="G230" s="34" t="n">
        <v>40787</v>
      </c>
      <c r="H230" s="35" t="n">
        <f aca="false">INT(($H$325-G230)/30)</f>
        <v>52</v>
      </c>
      <c r="I230" s="36" t="n">
        <f aca="false">H230*1000</f>
        <v>52000</v>
      </c>
      <c r="J230" s="35" t="n">
        <v>1000</v>
      </c>
      <c r="K230" s="35"/>
      <c r="L230" s="66" t="n">
        <f aca="false">I230-J230-K230</f>
        <v>51000</v>
      </c>
      <c r="M230" s="87"/>
      <c r="N230" s="87"/>
      <c r="O230" s="87"/>
      <c r="P230" s="87"/>
      <c r="Q230" s="87"/>
      <c r="R230" s="87"/>
      <c r="S230" s="87"/>
      <c r="T230" s="87"/>
      <c r="U230" s="87"/>
      <c r="V230" s="87"/>
      <c r="W230" s="87"/>
      <c r="X230" s="87"/>
      <c r="Y230" s="66" t="n">
        <f aca="false">SUM(M230:X230)</f>
        <v>0</v>
      </c>
      <c r="Z230" s="66" t="n">
        <v>12</v>
      </c>
      <c r="AA230" s="66" t="n">
        <f aca="false">Z230*800</f>
        <v>9600</v>
      </c>
      <c r="AB230" s="66" t="n">
        <f aca="false">L230+AA230-Y230</f>
        <v>60600</v>
      </c>
      <c r="AC230" s="66" t="n">
        <v>800</v>
      </c>
      <c r="AD230" s="67"/>
      <c r="AE230" s="68" t="n">
        <f aca="false">SUM(AB230:AB231)+SUM(AC230:AC231)-SUM(AD230:AD231)</f>
        <v>112400</v>
      </c>
      <c r="AF230" s="66" t="n">
        <v>800</v>
      </c>
      <c r="AG230" s="67"/>
      <c r="AH230" s="68" t="n">
        <f aca="false">SUM(AE230:AE231)+SUM(AF230:AF231)-SUM(AG230:AG231)</f>
        <v>113200</v>
      </c>
      <c r="AI230" s="66" t="n">
        <v>800</v>
      </c>
      <c r="AJ230" s="67"/>
      <c r="AK230" s="68" t="n">
        <f aca="false">SUM(AH230:AH231)+SUM(AI230:AI231)-SUM(AJ230:AJ231)</f>
        <v>114000</v>
      </c>
      <c r="AL230" s="66" t="n">
        <v>800</v>
      </c>
      <c r="AM230" s="67"/>
      <c r="AN230" s="68" t="n">
        <f aca="false">SUM(AK230:AK231)+SUM(AL230:AL231)-SUM(AM230:AM231)</f>
        <v>114800</v>
      </c>
    </row>
    <row collapsed="false" customFormat="false" customHeight="false" hidden="false" ht="15" outlineLevel="0" r="231">
      <c r="A231" s="63" t="n">
        <f aca="false">VLOOKUP(B231,справочник!$B$2:$E$322,4,0)</f>
        <v>144</v>
      </c>
      <c r="B231" s="64" t="e">
        <f aca="false">CONCATENATE(C231;D231)</f>
        <v>#VALUE!</v>
      </c>
      <c r="C231" s="36" t="n">
        <v>153</v>
      </c>
      <c r="D231" s="65" t="s">
        <v>23</v>
      </c>
      <c r="E231" s="36"/>
      <c r="F231" s="34" t="n">
        <v>40788</v>
      </c>
      <c r="G231" s="34" t="n">
        <v>40787</v>
      </c>
      <c r="H231" s="35" t="n">
        <f aca="false">INT(($H$325-G231)/30)</f>
        <v>52</v>
      </c>
      <c r="I231" s="36" t="n">
        <f aca="false">H231*1000</f>
        <v>52000</v>
      </c>
      <c r="J231" s="35" t="n">
        <v>1000</v>
      </c>
      <c r="K231" s="35"/>
      <c r="L231" s="66" t="n">
        <f aca="false">I231-J231-K231</f>
        <v>51000</v>
      </c>
      <c r="M231" s="87"/>
      <c r="N231" s="87"/>
      <c r="O231" s="87"/>
      <c r="P231" s="87"/>
      <c r="Q231" s="87"/>
      <c r="R231" s="87"/>
      <c r="S231" s="87"/>
      <c r="T231" s="87"/>
      <c r="U231" s="87"/>
      <c r="V231" s="87"/>
      <c r="W231" s="87"/>
      <c r="X231" s="87"/>
      <c r="Y231" s="66" t="n">
        <f aca="false">SUM(M231:X231)</f>
        <v>0</v>
      </c>
      <c r="Z231" s="66" t="n">
        <v>0</v>
      </c>
      <c r="AA231" s="66" t="n">
        <f aca="false">Z231*800</f>
        <v>0</v>
      </c>
      <c r="AB231" s="66" t="n">
        <f aca="false">L231+AA231-Y231</f>
        <v>51000</v>
      </c>
      <c r="AC231" s="66" t="n">
        <v>0</v>
      </c>
      <c r="AD231" s="67"/>
      <c r="AE231" s="68"/>
      <c r="AF231" s="66" t="n">
        <v>0</v>
      </c>
      <c r="AG231" s="67"/>
      <c r="AH231" s="68"/>
      <c r="AI231" s="66" t="n">
        <v>0</v>
      </c>
      <c r="AJ231" s="67"/>
      <c r="AK231" s="68"/>
      <c r="AL231" s="66" t="n">
        <v>0</v>
      </c>
      <c r="AM231" s="67"/>
      <c r="AN231" s="68"/>
    </row>
    <row collapsed="false" customFormat="false" customHeight="false" hidden="false" ht="15" outlineLevel="0" r="232">
      <c r="A232" s="63" t="n">
        <f aca="false">VLOOKUP(B232,справочник!$B$2:$E$322,4,0)</f>
        <v>74</v>
      </c>
      <c r="B232" s="64" t="e">
        <f aca="false">CONCATENATE(C232;D232)</f>
        <v>#VALUE!</v>
      </c>
      <c r="C232" s="36" t="n">
        <v>80</v>
      </c>
      <c r="D232" s="65" t="s">
        <v>245</v>
      </c>
      <c r="E232" s="36" t="s">
        <v>590</v>
      </c>
      <c r="F232" s="34" t="n">
        <v>41310</v>
      </c>
      <c r="G232" s="34" t="n">
        <v>41334</v>
      </c>
      <c r="H232" s="35" t="n">
        <f aca="false">INT(($H$325-G232)/30)</f>
        <v>34</v>
      </c>
      <c r="I232" s="36" t="n">
        <f aca="false">H232*1000</f>
        <v>34000</v>
      </c>
      <c r="J232" s="35" t="n">
        <v>31000</v>
      </c>
      <c r="K232" s="35"/>
      <c r="L232" s="66" t="n">
        <f aca="false">I232-J232-K232</f>
        <v>3000</v>
      </c>
      <c r="M232" s="87" t="n">
        <v>6000</v>
      </c>
      <c r="N232" s="87"/>
      <c r="O232" s="87"/>
      <c r="P232" s="87"/>
      <c r="Q232" s="87" t="n">
        <v>2400</v>
      </c>
      <c r="R232" s="87"/>
      <c r="S232" s="87" t="n">
        <v>2400</v>
      </c>
      <c r="T232" s="87"/>
      <c r="U232" s="87"/>
      <c r="V232" s="87" t="n">
        <v>2400</v>
      </c>
      <c r="W232" s="87"/>
      <c r="X232" s="87" t="n">
        <v>2400</v>
      </c>
      <c r="Y232" s="66" t="n">
        <f aca="false">SUM(M232:X232)</f>
        <v>15600</v>
      </c>
      <c r="Z232" s="66" t="n">
        <v>12</v>
      </c>
      <c r="AA232" s="66" t="n">
        <f aca="false">Z232*800</f>
        <v>9600</v>
      </c>
      <c r="AB232" s="66" t="n">
        <f aca="false">L232+AA232-Y232</f>
        <v>-3000</v>
      </c>
      <c r="AC232" s="66" t="n">
        <v>800</v>
      </c>
      <c r="AD232" s="67"/>
      <c r="AE232" s="89" t="n">
        <f aca="false">SUM(AB232:AB233)+SUM(AC232:AC233)-SUM(AD232:AD233)</f>
        <v>800</v>
      </c>
      <c r="AF232" s="66" t="n">
        <v>800</v>
      </c>
      <c r="AG232" s="67"/>
      <c r="AH232" s="89" t="n">
        <f aca="false">SUM(AE232:AE233)+SUM(AF232:AF233)-SUM(AG232:AG233)</f>
        <v>1600</v>
      </c>
      <c r="AI232" s="66" t="n">
        <v>800</v>
      </c>
      <c r="AJ232" s="67"/>
      <c r="AK232" s="89" t="n">
        <f aca="false">SUM(AH232:AH233)+SUM(AI232:AI233)-SUM(AJ232:AJ233)</f>
        <v>2400</v>
      </c>
      <c r="AL232" s="66" t="n">
        <v>800</v>
      </c>
      <c r="AM232" s="67"/>
      <c r="AN232" s="89" t="n">
        <f aca="false">SUM(AK232:AK233)+SUM(AL232:AL233)-SUM(AM232:AM233)</f>
        <v>3200</v>
      </c>
    </row>
    <row collapsed="false" customFormat="false" customHeight="false" hidden="false" ht="15" outlineLevel="0" r="233">
      <c r="A233" s="63" t="n">
        <f aca="false">VLOOKUP(B233,справочник!$B$2:$E$322,4,0)</f>
        <v>74</v>
      </c>
      <c r="B233" s="64" t="e">
        <f aca="false">CONCATENATE(C233;D233)</f>
        <v>#VALUE!</v>
      </c>
      <c r="C233" s="36" t="n">
        <v>81</v>
      </c>
      <c r="D233" s="65" t="s">
        <v>245</v>
      </c>
      <c r="E233" s="36" t="s">
        <v>591</v>
      </c>
      <c r="F233" s="34" t="n">
        <v>40682</v>
      </c>
      <c r="G233" s="34" t="n">
        <v>40695</v>
      </c>
      <c r="H233" s="35" t="n">
        <f aca="false">INT(($H$325-G233)/30)</f>
        <v>55</v>
      </c>
      <c r="I233" s="36" t="n">
        <f aca="false">H233*1000</f>
        <v>55000</v>
      </c>
      <c r="J233" s="35" t="n">
        <f aca="false">7000+48000-3000</f>
        <v>52000</v>
      </c>
      <c r="K233" s="35"/>
      <c r="L233" s="66" t="n">
        <f aca="false">I233-J233-K233</f>
        <v>3000</v>
      </c>
      <c r="M233" s="87"/>
      <c r="N233" s="87"/>
      <c r="O233" s="87"/>
      <c r="P233" s="87"/>
      <c r="Q233" s="87"/>
      <c r="R233" s="87"/>
      <c r="S233" s="87"/>
      <c r="T233" s="87"/>
      <c r="U233" s="87"/>
      <c r="V233" s="87"/>
      <c r="W233" s="87"/>
      <c r="X233" s="87"/>
      <c r="Y233" s="66" t="n">
        <f aca="false">SUM(M233:X233)</f>
        <v>0</v>
      </c>
      <c r="Z233" s="66" t="n">
        <v>0</v>
      </c>
      <c r="AA233" s="66" t="n">
        <f aca="false">Z233*800</f>
        <v>0</v>
      </c>
      <c r="AB233" s="66" t="n">
        <f aca="false">L233+AA233-Y233</f>
        <v>3000</v>
      </c>
      <c r="AC233" s="66" t="n">
        <v>0</v>
      </c>
      <c r="AD233" s="67"/>
      <c r="AE233" s="89"/>
      <c r="AF233" s="66" t="n">
        <v>0</v>
      </c>
      <c r="AG233" s="67"/>
      <c r="AH233" s="89"/>
      <c r="AI233" s="66" t="n">
        <v>0</v>
      </c>
      <c r="AJ233" s="67"/>
      <c r="AK233" s="89"/>
      <c r="AL233" s="66" t="n">
        <v>0</v>
      </c>
      <c r="AM233" s="67"/>
      <c r="AN233" s="89"/>
    </row>
    <row collapsed="false" customFormat="false" customHeight="false" hidden="false" ht="15" outlineLevel="0" r="234">
      <c r="A234" s="19" t="n">
        <f aca="false">VLOOKUP(B234,справочник!$B$2:$E$322,4,0)</f>
        <v>68</v>
      </c>
      <c r="B234" s="0" t="e">
        <f aca="false">CONCATENATE(C234;D234)</f>
        <v>#VALUE!</v>
      </c>
      <c r="C234" s="24" t="n">
        <v>70</v>
      </c>
      <c r="D234" s="29" t="s">
        <v>272</v>
      </c>
      <c r="E234" s="24" t="s">
        <v>592</v>
      </c>
      <c r="F234" s="30" t="n">
        <v>40687</v>
      </c>
      <c r="G234" s="30" t="n">
        <v>40664</v>
      </c>
      <c r="H234" s="31" t="n">
        <f aca="false">INT(($H$325-G234)/30)</f>
        <v>56</v>
      </c>
      <c r="I234" s="24" t="n">
        <f aca="false">H234*1000</f>
        <v>56000</v>
      </c>
      <c r="J234" s="31" t="n">
        <f aca="false">12000+44000</f>
        <v>56000</v>
      </c>
      <c r="K234" s="31"/>
      <c r="L234" s="59" t="n">
        <f aca="false">I234-J234-K234</f>
        <v>0</v>
      </c>
      <c r="M234" s="85"/>
      <c r="N234" s="85" t="n">
        <v>1600</v>
      </c>
      <c r="O234" s="85" t="n">
        <v>800</v>
      </c>
      <c r="P234" s="85"/>
      <c r="Q234" s="85" t="n">
        <v>800</v>
      </c>
      <c r="R234" s="85" t="n">
        <v>800</v>
      </c>
      <c r="S234" s="85"/>
      <c r="T234" s="85"/>
      <c r="U234" s="85" t="n">
        <v>800</v>
      </c>
      <c r="V234" s="85"/>
      <c r="W234" s="85"/>
      <c r="X234" s="85"/>
      <c r="Y234" s="59" t="n">
        <f aca="false">SUM(M234:X234)</f>
        <v>4800</v>
      </c>
      <c r="Z234" s="59" t="n">
        <v>12</v>
      </c>
      <c r="AA234" s="59" t="n">
        <f aca="false">Z234*800</f>
        <v>9600</v>
      </c>
      <c r="AB234" s="59" t="n">
        <f aca="false">L234+AA234-Y234</f>
        <v>4800</v>
      </c>
      <c r="AC234" s="60" t="n">
        <v>800</v>
      </c>
      <c r="AD234" s="61"/>
      <c r="AE234" s="62" t="n">
        <f aca="false">AB234+AC234-AD234</f>
        <v>5600</v>
      </c>
      <c r="AF234" s="60" t="n">
        <v>800</v>
      </c>
      <c r="AG234" s="61"/>
      <c r="AH234" s="62" t="n">
        <f aca="false">AE234+AF234-AG234</f>
        <v>6400</v>
      </c>
      <c r="AI234" s="60" t="n">
        <v>800</v>
      </c>
      <c r="AJ234" s="61"/>
      <c r="AK234" s="62" t="n">
        <f aca="false">AH234+AI234-AJ234</f>
        <v>7200</v>
      </c>
      <c r="AL234" s="60" t="n">
        <v>800</v>
      </c>
      <c r="AM234" s="61"/>
      <c r="AN234" s="62" t="n">
        <f aca="false">AK234+AL234-AM234</f>
        <v>8000</v>
      </c>
    </row>
    <row collapsed="false" customFormat="false" customHeight="false" hidden="false" ht="15" outlineLevel="0" r="235">
      <c r="A235" s="19" t="n">
        <f aca="false">VLOOKUP(B235,справочник!$B$2:$E$322,4,0)</f>
        <v>224</v>
      </c>
      <c r="B235" s="0" t="e">
        <f aca="false">CONCATENATE(C235;D235)</f>
        <v>#VALUE!</v>
      </c>
      <c r="C235" s="24" t="n">
        <v>233</v>
      </c>
      <c r="D235" s="29" t="s">
        <v>96</v>
      </c>
      <c r="E235" s="24" t="s">
        <v>593</v>
      </c>
      <c r="F235" s="30" t="n">
        <v>41751</v>
      </c>
      <c r="G235" s="30" t="n">
        <v>41760</v>
      </c>
      <c r="H235" s="31" t="n">
        <f aca="false">INT(($H$325-G235)/30)</f>
        <v>20</v>
      </c>
      <c r="I235" s="24" t="n">
        <f aca="false">H235*1000</f>
        <v>20000</v>
      </c>
      <c r="J235" s="31"/>
      <c r="K235" s="31"/>
      <c r="L235" s="59" t="n">
        <f aca="false">I235-J235-K235</f>
        <v>20000</v>
      </c>
      <c r="M235" s="85"/>
      <c r="N235" s="85"/>
      <c r="O235" s="85"/>
      <c r="P235" s="85"/>
      <c r="Q235" s="85"/>
      <c r="R235" s="85"/>
      <c r="S235" s="85"/>
      <c r="T235" s="85"/>
      <c r="U235" s="85"/>
      <c r="V235" s="85"/>
      <c r="W235" s="85"/>
      <c r="X235" s="85"/>
      <c r="Y235" s="59" t="n">
        <f aca="false">SUM(M235:X235)</f>
        <v>0</v>
      </c>
      <c r="Z235" s="59" t="n">
        <v>12</v>
      </c>
      <c r="AA235" s="59" t="n">
        <f aca="false">Z235*800</f>
        <v>9600</v>
      </c>
      <c r="AB235" s="59" t="n">
        <f aca="false">L235+AA235-Y235</f>
        <v>29600</v>
      </c>
      <c r="AC235" s="60" t="n">
        <v>800</v>
      </c>
      <c r="AD235" s="61"/>
      <c r="AE235" s="62" t="n">
        <f aca="false">AB235+AC235-AD235</f>
        <v>30400</v>
      </c>
      <c r="AF235" s="60" t="n">
        <v>800</v>
      </c>
      <c r="AG235" s="61"/>
      <c r="AH235" s="62" t="n">
        <f aca="false">AE235+AF235-AG235</f>
        <v>31200</v>
      </c>
      <c r="AI235" s="60" t="n">
        <v>800</v>
      </c>
      <c r="AJ235" s="61" t="n">
        <v>10200</v>
      </c>
      <c r="AK235" s="62" t="n">
        <f aca="false">AH235+AI235-AJ235</f>
        <v>21800</v>
      </c>
      <c r="AL235" s="60" t="n">
        <v>800</v>
      </c>
      <c r="AM235" s="61" t="n">
        <v>10800</v>
      </c>
      <c r="AN235" s="62" t="n">
        <f aca="false">AK235+AL235-AM235</f>
        <v>11800</v>
      </c>
    </row>
    <row collapsed="false" customFormat="false" customHeight="false" hidden="false" ht="15" outlineLevel="0" r="236">
      <c r="A236" s="19" t="n">
        <f aca="false">VLOOKUP(B236,справочник!$B$2:$E$322,4,0)</f>
        <v>134</v>
      </c>
      <c r="B236" s="0" t="e">
        <f aca="false">CONCATENATE(C236;D236)</f>
        <v>#VALUE!</v>
      </c>
      <c r="C236" s="24" t="n">
        <v>141</v>
      </c>
      <c r="D236" s="29" t="s">
        <v>283</v>
      </c>
      <c r="E236" s="24" t="s">
        <v>594</v>
      </c>
      <c r="F236" s="30" t="n">
        <v>40893</v>
      </c>
      <c r="G236" s="30" t="n">
        <v>40878</v>
      </c>
      <c r="H236" s="31" t="n">
        <f aca="false">INT(($H$325-G236)/30)</f>
        <v>49</v>
      </c>
      <c r="I236" s="24" t="n">
        <f aca="false">H236*1000</f>
        <v>49000</v>
      </c>
      <c r="J236" s="31" t="n">
        <f aca="false">37000</f>
        <v>37000</v>
      </c>
      <c r="K236" s="31"/>
      <c r="L236" s="59" t="n">
        <f aca="false">I236-J236-K236</f>
        <v>12000</v>
      </c>
      <c r="M236" s="85" t="n">
        <v>12000</v>
      </c>
      <c r="N236" s="85" t="n">
        <v>4800</v>
      </c>
      <c r="O236" s="85"/>
      <c r="P236" s="85"/>
      <c r="Q236" s="85"/>
      <c r="R236" s="85"/>
      <c r="S236" s="85"/>
      <c r="T236" s="85"/>
      <c r="U236" s="85"/>
      <c r="V236" s="85" t="n">
        <v>4800</v>
      </c>
      <c r="W236" s="85"/>
      <c r="X236" s="85"/>
      <c r="Y236" s="59" t="n">
        <f aca="false">SUM(M236:X236)</f>
        <v>21600</v>
      </c>
      <c r="Z236" s="59" t="n">
        <v>12</v>
      </c>
      <c r="AA236" s="59" t="n">
        <f aca="false">Z236*800</f>
        <v>9600</v>
      </c>
      <c r="AB236" s="59" t="n">
        <f aca="false">L236+AA236-Y236</f>
        <v>0</v>
      </c>
      <c r="AC236" s="60" t="n">
        <v>800</v>
      </c>
      <c r="AD236" s="61"/>
      <c r="AE236" s="62" t="n">
        <f aca="false">AB236+AC236-AD236</f>
        <v>800</v>
      </c>
      <c r="AF236" s="60" t="n">
        <v>800</v>
      </c>
      <c r="AG236" s="61"/>
      <c r="AH236" s="62" t="n">
        <f aca="false">AE236+AF236-AG236</f>
        <v>1600</v>
      </c>
      <c r="AI236" s="60" t="n">
        <v>800</v>
      </c>
      <c r="AJ236" s="61"/>
      <c r="AK236" s="62" t="n">
        <f aca="false">AH236+AI236-AJ236</f>
        <v>2400</v>
      </c>
      <c r="AL236" s="60" t="n">
        <v>800</v>
      </c>
      <c r="AM236" s="61"/>
      <c r="AN236" s="62" t="n">
        <f aca="false">AK236+AL236-AM236</f>
        <v>3200</v>
      </c>
    </row>
    <row collapsed="false" customFormat="false" customHeight="true" hidden="false" ht="38.25" outlineLevel="0" r="237">
      <c r="A237" s="19" t="n">
        <f aca="false">VLOOKUP(B237,справочник!$B$2:$E$322,4,0)</f>
        <v>267</v>
      </c>
      <c r="B237" s="0" t="e">
        <f aca="false">CONCATENATE(C237;D237)</f>
        <v>#VALUE!</v>
      </c>
      <c r="C237" s="24" t="n">
        <v>280</v>
      </c>
      <c r="D237" s="29" t="s">
        <v>258</v>
      </c>
      <c r="E237" s="24" t="s">
        <v>595</v>
      </c>
      <c r="F237" s="30" t="n">
        <v>41023</v>
      </c>
      <c r="G237" s="30" t="n">
        <v>41000</v>
      </c>
      <c r="H237" s="31" t="n">
        <f aca="false">INT(($H$325-G237)/30)</f>
        <v>45</v>
      </c>
      <c r="I237" s="24" t="n">
        <f aca="false">H237*1000</f>
        <v>45000</v>
      </c>
      <c r="J237" s="31" t="n">
        <f aca="false">41000</f>
        <v>41000</v>
      </c>
      <c r="K237" s="31"/>
      <c r="L237" s="59" t="n">
        <f aca="false">I237-J237-K237</f>
        <v>4000</v>
      </c>
      <c r="M237" s="85"/>
      <c r="N237" s="85" t="n">
        <v>4000</v>
      </c>
      <c r="O237" s="85" t="n">
        <v>2000</v>
      </c>
      <c r="P237" s="85" t="n">
        <v>2000</v>
      </c>
      <c r="Q237" s="85"/>
      <c r="R237" s="85"/>
      <c r="S237" s="85"/>
      <c r="T237" s="85"/>
      <c r="U237" s="85" t="n">
        <v>2000</v>
      </c>
      <c r="V237" s="85" t="n">
        <v>2000</v>
      </c>
      <c r="W237" s="18" t="n">
        <v>2000</v>
      </c>
      <c r="X237" s="85"/>
      <c r="Y237" s="59" t="n">
        <f aca="false">SUM(M237:X237)</f>
        <v>14000</v>
      </c>
      <c r="Z237" s="59" t="n">
        <v>12</v>
      </c>
      <c r="AA237" s="59" t="n">
        <f aca="false">Z237*800</f>
        <v>9600</v>
      </c>
      <c r="AB237" s="59" t="n">
        <f aca="false">L237+AA237-Y237</f>
        <v>-400</v>
      </c>
      <c r="AC237" s="60" t="n">
        <v>800</v>
      </c>
      <c r="AD237" s="61"/>
      <c r="AE237" s="62" t="n">
        <f aca="false">AB237+AC237-AD237</f>
        <v>400</v>
      </c>
      <c r="AF237" s="60" t="n">
        <v>800</v>
      </c>
      <c r="AG237" s="61" t="n">
        <v>2000</v>
      </c>
      <c r="AH237" s="62" t="n">
        <f aca="false">AE237+AF237-AG237</f>
        <v>-800</v>
      </c>
      <c r="AI237" s="60" t="n">
        <v>800</v>
      </c>
      <c r="AJ237" s="61"/>
      <c r="AK237" s="62" t="n">
        <f aca="false">AH237+AI237-AJ237</f>
        <v>0</v>
      </c>
      <c r="AL237" s="60" t="n">
        <v>800</v>
      </c>
      <c r="AM237" s="61"/>
      <c r="AN237" s="62" t="n">
        <f aca="false">AK237+AL237-AM237</f>
        <v>800</v>
      </c>
    </row>
    <row collapsed="false" customFormat="false" customHeight="false" hidden="false" ht="15" outlineLevel="0" r="238">
      <c r="A238" s="19" t="n">
        <f aca="false">VLOOKUP(B238,справочник!$B$2:$E$322,4,0)</f>
        <v>258</v>
      </c>
      <c r="B238" s="0" t="e">
        <f aca="false">CONCATENATE(C238;D238)</f>
        <v>#VALUE!</v>
      </c>
      <c r="C238" s="24" t="n">
        <v>271</v>
      </c>
      <c r="D238" s="29" t="s">
        <v>279</v>
      </c>
      <c r="E238" s="24" t="s">
        <v>596</v>
      </c>
      <c r="F238" s="30" t="n">
        <v>41039</v>
      </c>
      <c r="G238" s="30" t="n">
        <v>41030</v>
      </c>
      <c r="H238" s="31" t="n">
        <f aca="false">INT(($H$325-G238)/30)</f>
        <v>44</v>
      </c>
      <c r="I238" s="24" t="n">
        <f aca="false">H238*1000</f>
        <v>44000</v>
      </c>
      <c r="J238" s="31" t="n">
        <v>44000</v>
      </c>
      <c r="K238" s="31"/>
      <c r="L238" s="59" t="n">
        <f aca="false">I238-J238-K238</f>
        <v>0</v>
      </c>
      <c r="M238" s="85"/>
      <c r="N238" s="85"/>
      <c r="O238" s="85"/>
      <c r="P238" s="85"/>
      <c r="Q238" s="85"/>
      <c r="R238" s="85" t="n">
        <v>4800</v>
      </c>
      <c r="S238" s="85"/>
      <c r="T238" s="85"/>
      <c r="U238" s="85"/>
      <c r="V238" s="85"/>
      <c r="W238" s="85"/>
      <c r="X238" s="85"/>
      <c r="Y238" s="59" t="n">
        <f aca="false">SUM(M238:X238)</f>
        <v>4800</v>
      </c>
      <c r="Z238" s="59" t="n">
        <v>12</v>
      </c>
      <c r="AA238" s="59" t="n">
        <f aca="false">Z238*800</f>
        <v>9600</v>
      </c>
      <c r="AB238" s="59" t="n">
        <f aca="false">L238+AA238-Y238</f>
        <v>4800</v>
      </c>
      <c r="AC238" s="60" t="n">
        <v>800</v>
      </c>
      <c r="AD238" s="61"/>
      <c r="AE238" s="62" t="n">
        <f aca="false">AB238+AC238-AD238</f>
        <v>5600</v>
      </c>
      <c r="AF238" s="60" t="n">
        <v>800</v>
      </c>
      <c r="AG238" s="61"/>
      <c r="AH238" s="62" t="n">
        <f aca="false">AE238+AF238-AG238</f>
        <v>6400</v>
      </c>
      <c r="AI238" s="60" t="n">
        <v>800</v>
      </c>
      <c r="AJ238" s="61"/>
      <c r="AK238" s="62" t="n">
        <f aca="false">AH238+AI238-AJ238</f>
        <v>7200</v>
      </c>
      <c r="AL238" s="60" t="n">
        <v>800</v>
      </c>
      <c r="AM238" s="61" t="n">
        <v>6800</v>
      </c>
      <c r="AN238" s="62" t="n">
        <f aca="false">AK238+AL238-AM238</f>
        <v>1200</v>
      </c>
    </row>
    <row collapsed="false" customFormat="false" customHeight="false" hidden="false" ht="25.5" outlineLevel="0" r="239">
      <c r="A239" s="19" t="n">
        <f aca="false">VLOOKUP(B239,справочник!$B$2:$E$322,4,0)</f>
        <v>299</v>
      </c>
      <c r="B239" s="0" t="e">
        <f aca="false">CONCATENATE(C239;D239)</f>
        <v>#VALUE!</v>
      </c>
      <c r="C239" s="24" t="n">
        <v>314</v>
      </c>
      <c r="D239" s="29" t="s">
        <v>56</v>
      </c>
      <c r="E239" s="24"/>
      <c r="F239" s="30" t="n">
        <v>42017</v>
      </c>
      <c r="G239" s="30" t="n">
        <v>41275</v>
      </c>
      <c r="H239" s="31" t="n">
        <f aca="false">INT(($H$325-G239)/30)</f>
        <v>36</v>
      </c>
      <c r="I239" s="24" t="n">
        <f aca="false">H239*1000</f>
        <v>36000</v>
      </c>
      <c r="J239" s="31" t="n">
        <f aca="false">1000</f>
        <v>1000</v>
      </c>
      <c r="K239" s="31" t="n">
        <v>3000</v>
      </c>
      <c r="L239" s="59" t="n">
        <f aca="false">I239-J239-K239</f>
        <v>32000</v>
      </c>
      <c r="M239" s="85"/>
      <c r="N239" s="85"/>
      <c r="O239" s="85"/>
      <c r="P239" s="85"/>
      <c r="Q239" s="85"/>
      <c r="R239" s="85"/>
      <c r="S239" s="85"/>
      <c r="T239" s="85"/>
      <c r="U239" s="85"/>
      <c r="V239" s="85"/>
      <c r="W239" s="85"/>
      <c r="X239" s="85"/>
      <c r="Y239" s="59" t="n">
        <f aca="false">SUM(M239:X239)</f>
        <v>0</v>
      </c>
      <c r="Z239" s="59" t="n">
        <v>12</v>
      </c>
      <c r="AA239" s="59" t="n">
        <f aca="false">Z239*800</f>
        <v>9600</v>
      </c>
      <c r="AB239" s="59" t="n">
        <f aca="false">L239+AA239-Y239</f>
        <v>41600</v>
      </c>
      <c r="AC239" s="60" t="n">
        <v>800</v>
      </c>
      <c r="AD239" s="61"/>
      <c r="AE239" s="62" t="n">
        <f aca="false">AB239+AC239-AD239</f>
        <v>42400</v>
      </c>
      <c r="AF239" s="60" t="n">
        <v>800</v>
      </c>
      <c r="AG239" s="61"/>
      <c r="AH239" s="62" t="n">
        <f aca="false">AE239+AF239-AG239</f>
        <v>43200</v>
      </c>
      <c r="AI239" s="60" t="n">
        <v>800</v>
      </c>
      <c r="AJ239" s="61"/>
      <c r="AK239" s="62" t="n">
        <f aca="false">AH239+AI239-AJ239</f>
        <v>44000</v>
      </c>
      <c r="AL239" s="60" t="n">
        <v>800</v>
      </c>
      <c r="AM239" s="61"/>
      <c r="AN239" s="62" t="n">
        <f aca="false">AK239+AL239-AM239</f>
        <v>44800</v>
      </c>
    </row>
    <row collapsed="false" customFormat="false" customHeight="false" hidden="false" ht="15" outlineLevel="0" r="240">
      <c r="A240" s="19" t="n">
        <f aca="false">VLOOKUP(B240,справочник!$B$2:$E$322,4,0)</f>
        <v>239</v>
      </c>
      <c r="B240" s="0" t="e">
        <f aca="false">CONCATENATE(C240;D240)</f>
        <v>#VALUE!</v>
      </c>
      <c r="C240" s="24" t="n">
        <v>250</v>
      </c>
      <c r="D240" s="29" t="s">
        <v>94</v>
      </c>
      <c r="E240" s="24" t="s">
        <v>597</v>
      </c>
      <c r="F240" s="30" t="n">
        <v>40973</v>
      </c>
      <c r="G240" s="30" t="n">
        <v>40969</v>
      </c>
      <c r="H240" s="31" t="n">
        <f aca="false">INT(($H$325-G240)/30)</f>
        <v>46</v>
      </c>
      <c r="I240" s="24" t="n">
        <f aca="false">H240*1000</f>
        <v>46000</v>
      </c>
      <c r="J240" s="31" t="n">
        <v>26000</v>
      </c>
      <c r="K240" s="31"/>
      <c r="L240" s="59" t="n">
        <f aca="false">I240-J240-K240</f>
        <v>20000</v>
      </c>
      <c r="M240" s="85"/>
      <c r="N240" s="85"/>
      <c r="O240" s="85"/>
      <c r="P240" s="85"/>
      <c r="Q240" s="85"/>
      <c r="R240" s="85"/>
      <c r="S240" s="85"/>
      <c r="T240" s="85"/>
      <c r="U240" s="85"/>
      <c r="V240" s="85"/>
      <c r="W240" s="85"/>
      <c r="X240" s="85"/>
      <c r="Y240" s="59" t="n">
        <f aca="false">SUM(M240:X240)</f>
        <v>0</v>
      </c>
      <c r="Z240" s="59" t="n">
        <v>12</v>
      </c>
      <c r="AA240" s="59" t="n">
        <f aca="false">Z240*800</f>
        <v>9600</v>
      </c>
      <c r="AB240" s="59" t="n">
        <f aca="false">L240+AA240-Y240</f>
        <v>29600</v>
      </c>
      <c r="AC240" s="60" t="n">
        <v>800</v>
      </c>
      <c r="AD240" s="61"/>
      <c r="AE240" s="62" t="n">
        <f aca="false">AB240+AC240-AD240</f>
        <v>30400</v>
      </c>
      <c r="AF240" s="60" t="n">
        <v>800</v>
      </c>
      <c r="AG240" s="61"/>
      <c r="AH240" s="62" t="n">
        <f aca="false">AE240+AF240-AG240</f>
        <v>31200</v>
      </c>
      <c r="AI240" s="60" t="n">
        <v>800</v>
      </c>
      <c r="AJ240" s="61"/>
      <c r="AK240" s="62" t="n">
        <f aca="false">AH240+AI240-AJ240</f>
        <v>32000</v>
      </c>
      <c r="AL240" s="60" t="n">
        <v>800</v>
      </c>
      <c r="AM240" s="61"/>
      <c r="AN240" s="62" t="n">
        <f aca="false">AK240+AL240-AM240</f>
        <v>32800</v>
      </c>
    </row>
    <row collapsed="false" customFormat="false" customHeight="false" hidden="false" ht="15" outlineLevel="0" r="241">
      <c r="A241" s="19" t="n">
        <f aca="false">VLOOKUP(B241,справочник!$B$2:$E$322,4,0)</f>
        <v>238</v>
      </c>
      <c r="B241" s="0" t="e">
        <f aca="false">CONCATENATE(C241;D241)</f>
        <v>#VALUE!</v>
      </c>
      <c r="C241" s="24" t="n">
        <v>249</v>
      </c>
      <c r="D241" s="29" t="s">
        <v>43</v>
      </c>
      <c r="E241" s="24" t="s">
        <v>598</v>
      </c>
      <c r="F241" s="30" t="n">
        <v>41079</v>
      </c>
      <c r="G241" s="30" t="n">
        <v>41061</v>
      </c>
      <c r="H241" s="31" t="n">
        <f aca="false">INT(($H$325-G241)/30)</f>
        <v>43</v>
      </c>
      <c r="I241" s="24" t="n">
        <f aca="false">H241*1000</f>
        <v>43000</v>
      </c>
      <c r="J241" s="31"/>
      <c r="K241" s="31"/>
      <c r="L241" s="59" t="n">
        <f aca="false">I241-J241-K241</f>
        <v>43000</v>
      </c>
      <c r="M241" s="85"/>
      <c r="N241" s="85"/>
      <c r="O241" s="85"/>
      <c r="P241" s="85"/>
      <c r="Q241" s="85"/>
      <c r="R241" s="85"/>
      <c r="S241" s="85"/>
      <c r="T241" s="85"/>
      <c r="U241" s="85"/>
      <c r="V241" s="85"/>
      <c r="W241" s="85"/>
      <c r="X241" s="85"/>
      <c r="Y241" s="59" t="n">
        <f aca="false">SUM(M241:X241)</f>
        <v>0</v>
      </c>
      <c r="Z241" s="59" t="n">
        <v>12</v>
      </c>
      <c r="AA241" s="59" t="n">
        <f aca="false">Z241*800</f>
        <v>9600</v>
      </c>
      <c r="AB241" s="59" t="n">
        <f aca="false">L241+AA241-Y241</f>
        <v>52600</v>
      </c>
      <c r="AC241" s="60" t="n">
        <v>800</v>
      </c>
      <c r="AD241" s="61"/>
      <c r="AE241" s="62" t="n">
        <f aca="false">AB241+AC241-AD241</f>
        <v>53400</v>
      </c>
      <c r="AF241" s="60" t="n">
        <v>800</v>
      </c>
      <c r="AG241" s="61"/>
      <c r="AH241" s="62" t="n">
        <f aca="false">AE241+AF241-AG241</f>
        <v>54200</v>
      </c>
      <c r="AI241" s="60" t="n">
        <v>800</v>
      </c>
      <c r="AJ241" s="61"/>
      <c r="AK241" s="62" t="n">
        <f aca="false">AH241+AI241-AJ241</f>
        <v>55000</v>
      </c>
      <c r="AL241" s="60" t="n">
        <v>800</v>
      </c>
      <c r="AM241" s="61"/>
      <c r="AN241" s="62" t="n">
        <f aca="false">AK241+AL241-AM241</f>
        <v>55800</v>
      </c>
    </row>
    <row collapsed="false" customFormat="false" customHeight="false" hidden="false" ht="15" outlineLevel="0" r="242">
      <c r="A242" s="19" t="n">
        <f aca="false">VLOOKUP(B242,справочник!$B$2:$E$322,4,0)</f>
        <v>297</v>
      </c>
      <c r="B242" s="0" t="e">
        <f aca="false">CONCATENATE(C242;D242)</f>
        <v>#VALUE!</v>
      </c>
      <c r="C242" s="24" t="n">
        <v>312</v>
      </c>
      <c r="D242" s="29" t="s">
        <v>134</v>
      </c>
      <c r="E242" s="24" t="s">
        <v>599</v>
      </c>
      <c r="F242" s="30" t="n">
        <v>42004</v>
      </c>
      <c r="G242" s="30" t="n">
        <v>42005</v>
      </c>
      <c r="H242" s="31" t="n">
        <f aca="false">INT(($H$325-G242)/30)</f>
        <v>12</v>
      </c>
      <c r="I242" s="24" t="n">
        <f aca="false">H242*1000</f>
        <v>12000</v>
      </c>
      <c r="J242" s="31"/>
      <c r="K242" s="31"/>
      <c r="L242" s="59" t="n">
        <f aca="false">I242-J242-K242</f>
        <v>12000</v>
      </c>
      <c r="M242" s="85"/>
      <c r="N242" s="85"/>
      <c r="O242" s="85"/>
      <c r="P242" s="85"/>
      <c r="Q242" s="85"/>
      <c r="R242" s="85"/>
      <c r="S242" s="85"/>
      <c r="T242" s="85"/>
      <c r="U242" s="85"/>
      <c r="V242" s="85"/>
      <c r="W242" s="85"/>
      <c r="X242" s="85"/>
      <c r="Y242" s="59" t="n">
        <f aca="false">SUM(M242:X242)</f>
        <v>0</v>
      </c>
      <c r="Z242" s="59" t="n">
        <v>12</v>
      </c>
      <c r="AA242" s="59" t="n">
        <f aca="false">Z242*800</f>
        <v>9600</v>
      </c>
      <c r="AB242" s="59" t="n">
        <f aca="false">L242+AA242-Y242</f>
        <v>21600</v>
      </c>
      <c r="AC242" s="60" t="n">
        <v>800</v>
      </c>
      <c r="AD242" s="61"/>
      <c r="AE242" s="62" t="n">
        <f aca="false">AB242+AC242-AD242</f>
        <v>22400</v>
      </c>
      <c r="AF242" s="60" t="n">
        <v>800</v>
      </c>
      <c r="AG242" s="61"/>
      <c r="AH242" s="62" t="n">
        <f aca="false">AE242+AF242-AG242</f>
        <v>23200</v>
      </c>
      <c r="AI242" s="60" t="n">
        <v>800</v>
      </c>
      <c r="AJ242" s="61"/>
      <c r="AK242" s="62" t="n">
        <f aca="false">AH242+AI242-AJ242</f>
        <v>24000</v>
      </c>
      <c r="AL242" s="60" t="n">
        <v>800</v>
      </c>
      <c r="AM242" s="61"/>
      <c r="AN242" s="62" t="n">
        <f aca="false">AK242+AL242-AM242</f>
        <v>24800</v>
      </c>
    </row>
    <row collapsed="false" customFormat="false" customHeight="false" hidden="false" ht="25.5" outlineLevel="0" r="243">
      <c r="A243" s="19" t="n">
        <f aca="false">VLOOKUP(B243,справочник!$B$2:$E$322,4,0)</f>
        <v>128</v>
      </c>
      <c r="B243" s="0" t="e">
        <f aca="false">CONCATENATE(C243;D243)</f>
        <v>#VALUE!</v>
      </c>
      <c r="C243" s="24" t="n">
        <v>135</v>
      </c>
      <c r="D243" s="29" t="s">
        <v>186</v>
      </c>
      <c r="E243" s="24" t="s">
        <v>600</v>
      </c>
      <c r="F243" s="30" t="n">
        <v>41358</v>
      </c>
      <c r="G243" s="30" t="n">
        <v>41365</v>
      </c>
      <c r="H243" s="31" t="n">
        <f aca="false">INT(($H$325-G243)/30)</f>
        <v>33</v>
      </c>
      <c r="I243" s="24" t="n">
        <f aca="false">H243*1000</f>
        <v>33000</v>
      </c>
      <c r="J243" s="31" t="n">
        <v>26000</v>
      </c>
      <c r="K243" s="31"/>
      <c r="L243" s="59" t="n">
        <f aca="false">I243-J243-K243</f>
        <v>7000</v>
      </c>
      <c r="M243" s="85" t="n">
        <v>4000</v>
      </c>
      <c r="N243" s="85"/>
      <c r="O243" s="85"/>
      <c r="P243" s="85"/>
      <c r="Q243" s="85"/>
      <c r="R243" s="85"/>
      <c r="S243" s="85"/>
      <c r="T243" s="85"/>
      <c r="U243" s="85" t="n">
        <v>3200</v>
      </c>
      <c r="V243" s="85"/>
      <c r="W243" s="85" t="n">
        <v>2400</v>
      </c>
      <c r="X243" s="85"/>
      <c r="Y243" s="59" t="n">
        <f aca="false">SUM(M243:X243)</f>
        <v>9600</v>
      </c>
      <c r="Z243" s="59" t="n">
        <v>12</v>
      </c>
      <c r="AA243" s="59" t="n">
        <f aca="false">Z243*800</f>
        <v>9600</v>
      </c>
      <c r="AB243" s="59" t="n">
        <f aca="false">L243+AA243-Y243</f>
        <v>7000</v>
      </c>
      <c r="AC243" s="60" t="n">
        <v>800</v>
      </c>
      <c r="AD243" s="61"/>
      <c r="AE243" s="62" t="n">
        <f aca="false">AB243+AC243-AD243</f>
        <v>7800</v>
      </c>
      <c r="AF243" s="60" t="n">
        <v>800</v>
      </c>
      <c r="AG243" s="61"/>
      <c r="AH243" s="62" t="n">
        <f aca="false">AE243+AF243-AG243</f>
        <v>8600</v>
      </c>
      <c r="AI243" s="60" t="n">
        <v>800</v>
      </c>
      <c r="AJ243" s="61"/>
      <c r="AK243" s="62" t="n">
        <f aca="false">AH243+AI243-AJ243</f>
        <v>9400</v>
      </c>
      <c r="AL243" s="60" t="n">
        <v>800</v>
      </c>
      <c r="AM243" s="61" t="n">
        <v>5433.38</v>
      </c>
      <c r="AN243" s="62" t="n">
        <f aca="false">AK243+AL243-AM243</f>
        <v>4766.62</v>
      </c>
    </row>
    <row collapsed="false" customFormat="false" customHeight="false" hidden="false" ht="15" outlineLevel="0" r="244">
      <c r="A244" s="19" t="n">
        <f aca="false">VLOOKUP(B244,справочник!$B$2:$E$322,4,0)</f>
        <v>67</v>
      </c>
      <c r="B244" s="0" t="e">
        <f aca="false">CONCATENATE(C244;D244)</f>
        <v>#VALUE!</v>
      </c>
      <c r="C244" s="24" t="n">
        <v>69</v>
      </c>
      <c r="D244" s="29" t="s">
        <v>41</v>
      </c>
      <c r="E244" s="24" t="s">
        <v>601</v>
      </c>
      <c r="F244" s="30" t="n">
        <v>41012</v>
      </c>
      <c r="G244" s="30" t="n">
        <v>41000</v>
      </c>
      <c r="H244" s="31" t="n">
        <f aca="false">INT(($H$325-G244)/30)</f>
        <v>45</v>
      </c>
      <c r="I244" s="24" t="n">
        <f aca="false">H244*1000</f>
        <v>45000</v>
      </c>
      <c r="J244" s="31" t="n">
        <v>1000</v>
      </c>
      <c r="K244" s="31"/>
      <c r="L244" s="59" t="n">
        <f aca="false">I244-J244-K244</f>
        <v>44000</v>
      </c>
      <c r="M244" s="85"/>
      <c r="N244" s="85"/>
      <c r="O244" s="85"/>
      <c r="P244" s="85"/>
      <c r="Q244" s="85"/>
      <c r="R244" s="85"/>
      <c r="S244" s="85"/>
      <c r="T244" s="85"/>
      <c r="U244" s="85"/>
      <c r="V244" s="85"/>
      <c r="W244" s="85"/>
      <c r="X244" s="85"/>
      <c r="Y244" s="59" t="n">
        <f aca="false">SUM(M244:X244)</f>
        <v>0</v>
      </c>
      <c r="Z244" s="59" t="n">
        <v>12</v>
      </c>
      <c r="AA244" s="59" t="n">
        <f aca="false">Z244*800</f>
        <v>9600</v>
      </c>
      <c r="AB244" s="59" t="n">
        <f aca="false">L244+AA244-Y244</f>
        <v>53600</v>
      </c>
      <c r="AC244" s="60" t="n">
        <v>800</v>
      </c>
      <c r="AD244" s="61"/>
      <c r="AE244" s="62" t="n">
        <f aca="false">AB244+AC244-AD244</f>
        <v>54400</v>
      </c>
      <c r="AF244" s="60" t="n">
        <v>800</v>
      </c>
      <c r="AG244" s="61"/>
      <c r="AH244" s="62" t="n">
        <f aca="false">AE244+AF244-AG244</f>
        <v>55200</v>
      </c>
      <c r="AI244" s="60" t="n">
        <v>800</v>
      </c>
      <c r="AJ244" s="61"/>
      <c r="AK244" s="62" t="n">
        <f aca="false">AH244+AI244-AJ244</f>
        <v>56000</v>
      </c>
      <c r="AL244" s="60" t="n">
        <v>800</v>
      </c>
      <c r="AM244" s="61"/>
      <c r="AN244" s="62" t="n">
        <f aca="false">AK244+AL244-AM244</f>
        <v>56800</v>
      </c>
    </row>
    <row collapsed="false" customFormat="false" customHeight="false" hidden="false" ht="15" outlineLevel="0" r="245">
      <c r="A245" s="19" t="e">
        <f aca="false">VLOOKUP(B245,справочник!$B$2:$E$322,4,0)</f>
        <v>#VALUE!</v>
      </c>
      <c r="B245" s="0" t="e">
        <f aca="false">CONCATENATE(C245;D245)</f>
        <v>#VALUE!</v>
      </c>
      <c r="C245" s="24" t="s">
        <v>712</v>
      </c>
      <c r="D245" s="29" t="s">
        <v>33</v>
      </c>
      <c r="E245" s="24" t="s">
        <v>603</v>
      </c>
      <c r="F245" s="30" t="n">
        <v>40897</v>
      </c>
      <c r="G245" s="30" t="n">
        <v>40909</v>
      </c>
      <c r="H245" s="31" t="n">
        <v>30</v>
      </c>
      <c r="I245" s="24" t="n">
        <f aca="false">H245*1000</f>
        <v>30000</v>
      </c>
      <c r="J245" s="31" t="n">
        <v>1000</v>
      </c>
      <c r="K245" s="31"/>
      <c r="L245" s="59" t="n">
        <f aca="false">I245-J245-K245</f>
        <v>29000</v>
      </c>
      <c r="M245" s="85"/>
      <c r="N245" s="85"/>
      <c r="O245" s="85"/>
      <c r="P245" s="85"/>
      <c r="Q245" s="85"/>
      <c r="R245" s="85"/>
      <c r="S245" s="85"/>
      <c r="T245" s="85"/>
      <c r="U245" s="85"/>
      <c r="V245" s="85"/>
      <c r="W245" s="85"/>
      <c r="X245" s="85"/>
      <c r="Y245" s="59" t="n">
        <f aca="false">SUM(M245:X245)</f>
        <v>0</v>
      </c>
      <c r="Z245" s="59"/>
      <c r="AA245" s="59" t="n">
        <f aca="false">Z245*800</f>
        <v>0</v>
      </c>
      <c r="AB245" s="59" t="n">
        <f aca="false">L245+AA245-Y245</f>
        <v>29000</v>
      </c>
      <c r="AC245" s="60"/>
      <c r="AD245" s="61"/>
      <c r="AE245" s="62" t="n">
        <f aca="false">AB245+AC245-AD245</f>
        <v>29000</v>
      </c>
      <c r="AF245" s="60"/>
      <c r="AG245" s="61"/>
      <c r="AH245" s="62" t="n">
        <f aca="false">AE245+AF245-AG245</f>
        <v>29000</v>
      </c>
      <c r="AI245" s="60"/>
      <c r="AJ245" s="61"/>
      <c r="AK245" s="62" t="n">
        <f aca="false">AH245+AI245-AJ245</f>
        <v>29000</v>
      </c>
      <c r="AL245" s="60"/>
      <c r="AM245" s="61"/>
      <c r="AN245" s="62" t="n">
        <f aca="false">AK245+AL245-AM245</f>
        <v>29000</v>
      </c>
    </row>
    <row collapsed="false" customFormat="false" customHeight="false" hidden="false" ht="15" outlineLevel="0" r="246">
      <c r="A246" s="19" t="n">
        <f aca="false">VLOOKUP(B246,справочник!$B$2:$E$322,4,0)</f>
        <v>280</v>
      </c>
      <c r="B246" s="0" t="e">
        <f aca="false">CONCATENATE(C246;D246)</f>
        <v>#VALUE!</v>
      </c>
      <c r="C246" s="24" t="n">
        <v>292</v>
      </c>
      <c r="D246" s="29" t="s">
        <v>176</v>
      </c>
      <c r="E246" s="24" t="s">
        <v>604</v>
      </c>
      <c r="F246" s="30" t="n">
        <v>40897</v>
      </c>
      <c r="G246" s="30" t="n">
        <v>40878</v>
      </c>
      <c r="H246" s="31" t="n">
        <f aca="false">INT(($H$325-G246)/30)</f>
        <v>49</v>
      </c>
      <c r="I246" s="24" t="n">
        <f aca="false">H246*1000</f>
        <v>49000</v>
      </c>
      <c r="J246" s="31" t="n">
        <f aca="false">43000+1000</f>
        <v>44000</v>
      </c>
      <c r="K246" s="31"/>
      <c r="L246" s="59" t="n">
        <f aca="false">I246-J246-K246</f>
        <v>5000</v>
      </c>
      <c r="M246" s="85"/>
      <c r="N246" s="85"/>
      <c r="O246" s="85"/>
      <c r="P246" s="85"/>
      <c r="Q246" s="85"/>
      <c r="R246" s="85"/>
      <c r="S246" s="85"/>
      <c r="T246" s="85"/>
      <c r="U246" s="85"/>
      <c r="V246" s="85"/>
      <c r="W246" s="85"/>
      <c r="X246" s="85"/>
      <c r="Y246" s="59" t="n">
        <f aca="false">SUM(M246:X246)</f>
        <v>0</v>
      </c>
      <c r="Z246" s="59" t="n">
        <v>12</v>
      </c>
      <c r="AA246" s="59" t="n">
        <f aca="false">Z246*800</f>
        <v>9600</v>
      </c>
      <c r="AB246" s="59" t="n">
        <f aca="false">L246+AA246-Y246</f>
        <v>14600</v>
      </c>
      <c r="AC246" s="60" t="n">
        <v>800</v>
      </c>
      <c r="AD246" s="61"/>
      <c r="AE246" s="62" t="n">
        <f aca="false">AB246+AC246-AD246</f>
        <v>15400</v>
      </c>
      <c r="AF246" s="60" t="n">
        <v>800</v>
      </c>
      <c r="AG246" s="61"/>
      <c r="AH246" s="62" t="n">
        <f aca="false">AE246+AF246-AG246</f>
        <v>16200</v>
      </c>
      <c r="AI246" s="60" t="n">
        <v>800</v>
      </c>
      <c r="AJ246" s="61"/>
      <c r="AK246" s="62" t="n">
        <f aca="false">AH246+AI246-AJ246</f>
        <v>17000</v>
      </c>
      <c r="AL246" s="60" t="n">
        <v>800</v>
      </c>
      <c r="AM246" s="61"/>
      <c r="AN246" s="62" t="n">
        <f aca="false">AK246+AL246-AM246</f>
        <v>17800</v>
      </c>
    </row>
    <row collapsed="false" customFormat="false" customHeight="false" hidden="false" ht="15" outlineLevel="0" r="247">
      <c r="A247" s="19" t="n">
        <f aca="false">VLOOKUP(B247,справочник!$B$2:$E$322,4,0)</f>
        <v>215</v>
      </c>
      <c r="B247" s="0" t="e">
        <f aca="false">CONCATENATE(C247;D247)</f>
        <v>#VALUE!</v>
      </c>
      <c r="C247" s="24" t="n">
        <v>224</v>
      </c>
      <c r="D247" s="29" t="s">
        <v>261</v>
      </c>
      <c r="E247" s="24" t="s">
        <v>605</v>
      </c>
      <c r="F247" s="30" t="n">
        <v>41772</v>
      </c>
      <c r="G247" s="30" t="n">
        <v>41791</v>
      </c>
      <c r="H247" s="31" t="n">
        <f aca="false">INT(($H$325-G247)/30)</f>
        <v>19</v>
      </c>
      <c r="I247" s="24" t="n">
        <f aca="false">H247*1000</f>
        <v>19000</v>
      </c>
      <c r="J247" s="31" t="n">
        <v>16000</v>
      </c>
      <c r="K247" s="31"/>
      <c r="L247" s="59" t="n">
        <f aca="false">I247-J247-K247</f>
        <v>3000</v>
      </c>
      <c r="M247" s="85"/>
      <c r="N247" s="85" t="n">
        <v>7000</v>
      </c>
      <c r="O247" s="85"/>
      <c r="P247" s="85"/>
      <c r="Q247" s="85"/>
      <c r="R247" s="85"/>
      <c r="S247" s="85"/>
      <c r="T247" s="85"/>
      <c r="U247" s="85"/>
      <c r="V247" s="85"/>
      <c r="W247" s="85"/>
      <c r="X247" s="85" t="n">
        <v>10000</v>
      </c>
      <c r="Y247" s="59" t="n">
        <f aca="false">SUM(M247:X247)</f>
        <v>17000</v>
      </c>
      <c r="Z247" s="59" t="n">
        <v>12</v>
      </c>
      <c r="AA247" s="59" t="n">
        <f aca="false">Z247*800</f>
        <v>9600</v>
      </c>
      <c r="AB247" s="59" t="n">
        <f aca="false">L247+AA247-Y247</f>
        <v>-4400</v>
      </c>
      <c r="AC247" s="60" t="n">
        <v>800</v>
      </c>
      <c r="AD247" s="61"/>
      <c r="AE247" s="62" t="n">
        <f aca="false">AB247+AC247-AD247</f>
        <v>-3600</v>
      </c>
      <c r="AF247" s="60" t="n">
        <v>800</v>
      </c>
      <c r="AG247" s="61"/>
      <c r="AH247" s="62" t="n">
        <f aca="false">AE247+AF247-AG247</f>
        <v>-2800</v>
      </c>
      <c r="AI247" s="60" t="n">
        <v>800</v>
      </c>
      <c r="AJ247" s="61"/>
      <c r="AK247" s="62" t="n">
        <f aca="false">AH247+AI247-AJ247</f>
        <v>-2000</v>
      </c>
      <c r="AL247" s="60" t="n">
        <v>800</v>
      </c>
      <c r="AM247" s="61"/>
      <c r="AN247" s="62" t="n">
        <f aca="false">AK247+AL247-AM247</f>
        <v>-1200</v>
      </c>
    </row>
    <row collapsed="false" customFormat="false" customHeight="false" hidden="false" ht="15" outlineLevel="0" r="248">
      <c r="A248" s="19" t="n">
        <f aca="false">VLOOKUP(B248,справочник!$B$2:$E$322,4,0)</f>
        <v>241</v>
      </c>
      <c r="B248" s="0" t="e">
        <f aca="false">CONCATENATE(C248;D248)</f>
        <v>#VALUE!</v>
      </c>
      <c r="C248" s="24" t="n">
        <v>252</v>
      </c>
      <c r="D248" s="29" t="s">
        <v>208</v>
      </c>
      <c r="E248" s="24" t="s">
        <v>606</v>
      </c>
      <c r="F248" s="30" t="n">
        <v>40677</v>
      </c>
      <c r="G248" s="30" t="n">
        <v>40695</v>
      </c>
      <c r="H248" s="31" t="n">
        <f aca="false">INT(($H$325-G248)/30)</f>
        <v>55</v>
      </c>
      <c r="I248" s="24" t="n">
        <f aca="false">H248*1000</f>
        <v>55000</v>
      </c>
      <c r="J248" s="31" t="n">
        <f aca="false">7000+41000</f>
        <v>48000</v>
      </c>
      <c r="K248" s="31" t="n">
        <v>4800</v>
      </c>
      <c r="L248" s="59" t="n">
        <f aca="false">I248-J248-K248</f>
        <v>2200</v>
      </c>
      <c r="M248" s="85" t="n">
        <v>3000</v>
      </c>
      <c r="N248" s="85" t="n">
        <v>800</v>
      </c>
      <c r="O248" s="85" t="n">
        <v>800</v>
      </c>
      <c r="P248" s="85"/>
      <c r="Q248" s="85"/>
      <c r="R248" s="85" t="n">
        <v>2400</v>
      </c>
      <c r="S248" s="85" t="n">
        <v>800</v>
      </c>
      <c r="T248" s="0" t="n">
        <v>800</v>
      </c>
      <c r="U248" s="85" t="n">
        <v>800</v>
      </c>
      <c r="V248" s="85" t="n">
        <v>800</v>
      </c>
      <c r="W248" s="85" t="n">
        <v>800</v>
      </c>
      <c r="X248" s="85" t="n">
        <v>800</v>
      </c>
      <c r="Y248" s="59" t="n">
        <f aca="false">SUM(M248:X248)</f>
        <v>11800</v>
      </c>
      <c r="Z248" s="59" t="n">
        <v>12</v>
      </c>
      <c r="AA248" s="59" t="n">
        <f aca="false">Z248*800</f>
        <v>9600</v>
      </c>
      <c r="AB248" s="59" t="n">
        <f aca="false">L248+AA248-Y248</f>
        <v>0</v>
      </c>
      <c r="AC248" s="60" t="n">
        <v>800</v>
      </c>
      <c r="AD248" s="73" t="n">
        <v>800</v>
      </c>
      <c r="AE248" s="62" t="n">
        <f aca="false">AB248+AC248-AD248</f>
        <v>0</v>
      </c>
      <c r="AF248" s="60" t="n">
        <v>800</v>
      </c>
      <c r="AG248" s="73" t="n">
        <v>800</v>
      </c>
      <c r="AH248" s="62" t="n">
        <f aca="false">AE248+AF248-AG248</f>
        <v>0</v>
      </c>
      <c r="AI248" s="60" t="n">
        <v>800</v>
      </c>
      <c r="AJ248" s="73" t="n">
        <f aca="false">800+800</f>
        <v>1600</v>
      </c>
      <c r="AK248" s="62" t="n">
        <f aca="false">AH248+AI248-AJ248</f>
        <v>-800</v>
      </c>
      <c r="AL248" s="60" t="n">
        <v>800</v>
      </c>
      <c r="AM248" s="73"/>
      <c r="AN248" s="62" t="n">
        <f aca="false">AK248+AL248-AM248</f>
        <v>0</v>
      </c>
    </row>
    <row collapsed="false" customFormat="false" customHeight="false" hidden="false" ht="15" outlineLevel="0" r="249">
      <c r="A249" s="19" t="n">
        <f aca="false">VLOOKUP(B249,справочник!$B$2:$E$322,4,0)</f>
        <v>161</v>
      </c>
      <c r="B249" s="0" t="e">
        <f aca="false">CONCATENATE(C249;D249)</f>
        <v>#VALUE!</v>
      </c>
      <c r="C249" s="24" t="n">
        <v>169</v>
      </c>
      <c r="D249" s="29" t="s">
        <v>172</v>
      </c>
      <c r="E249" s="24" t="s">
        <v>607</v>
      </c>
      <c r="F249" s="30" t="n">
        <v>41039</v>
      </c>
      <c r="G249" s="30" t="n">
        <v>41030</v>
      </c>
      <c r="H249" s="31" t="n">
        <f aca="false">INT(($H$325-G249)/30)</f>
        <v>44</v>
      </c>
      <c r="I249" s="24" t="n">
        <f aca="false">H249*1000</f>
        <v>44000</v>
      </c>
      <c r="J249" s="31" t="n">
        <v>38000</v>
      </c>
      <c r="K249" s="31"/>
      <c r="L249" s="59" t="n">
        <f aca="false">I249-J249-K249</f>
        <v>6000</v>
      </c>
      <c r="M249" s="85"/>
      <c r="N249" s="85"/>
      <c r="O249" s="85"/>
      <c r="P249" s="85"/>
      <c r="Q249" s="85"/>
      <c r="R249" s="85"/>
      <c r="S249" s="85"/>
      <c r="T249" s="85"/>
      <c r="U249" s="85"/>
      <c r="V249" s="85"/>
      <c r="W249" s="85"/>
      <c r="X249" s="85"/>
      <c r="Y249" s="59" t="n">
        <f aca="false">SUM(M249:X249)</f>
        <v>0</v>
      </c>
      <c r="Z249" s="59" t="n">
        <v>12</v>
      </c>
      <c r="AA249" s="59" t="n">
        <f aca="false">Z249*800</f>
        <v>9600</v>
      </c>
      <c r="AB249" s="59" t="n">
        <f aca="false">L249+AA249-Y249</f>
        <v>15600</v>
      </c>
      <c r="AC249" s="60" t="n">
        <v>800</v>
      </c>
      <c r="AD249" s="61"/>
      <c r="AE249" s="62" t="n">
        <f aca="false">AB249+AC249-AD249</f>
        <v>16400</v>
      </c>
      <c r="AF249" s="60" t="n">
        <v>800</v>
      </c>
      <c r="AG249" s="61"/>
      <c r="AH249" s="62" t="n">
        <f aca="false">AE249+AF249-AG249</f>
        <v>17200</v>
      </c>
      <c r="AI249" s="60" t="n">
        <v>800</v>
      </c>
      <c r="AJ249" s="61"/>
      <c r="AK249" s="62" t="n">
        <f aca="false">AH249+AI249-AJ249</f>
        <v>18000</v>
      </c>
      <c r="AL249" s="60" t="n">
        <v>800</v>
      </c>
      <c r="AM249" s="61"/>
      <c r="AN249" s="62" t="n">
        <f aca="false">AK249+AL249-AM249</f>
        <v>18800</v>
      </c>
    </row>
    <row collapsed="false" customFormat="false" customHeight="false" hidden="false" ht="15" outlineLevel="0" r="250">
      <c r="A250" s="19" t="n">
        <f aca="false">VLOOKUP(B250,справочник!$B$2:$E$322,4,0)</f>
        <v>272</v>
      </c>
      <c r="B250" s="0" t="e">
        <f aca="false">CONCATENATE(C250;D250)</f>
        <v>#VALUE!</v>
      </c>
      <c r="C250" s="24" t="n">
        <v>285</v>
      </c>
      <c r="D250" s="29" t="s">
        <v>177</v>
      </c>
      <c r="E250" s="24" t="s">
        <v>608</v>
      </c>
      <c r="F250" s="30" t="n">
        <v>42044</v>
      </c>
      <c r="G250" s="30" t="n">
        <v>42064</v>
      </c>
      <c r="H250" s="31" t="n">
        <f aca="false">INT(($H$325-G250)/30)</f>
        <v>10</v>
      </c>
      <c r="I250" s="24" t="n">
        <f aca="false">H250*1000</f>
        <v>10000</v>
      </c>
      <c r="J250" s="31" t="n">
        <v>5000</v>
      </c>
      <c r="K250" s="31"/>
      <c r="L250" s="59" t="n">
        <f aca="false">I250-J250-K250</f>
        <v>5000</v>
      </c>
      <c r="M250" s="85"/>
      <c r="N250" s="85"/>
      <c r="O250" s="85"/>
      <c r="P250" s="85"/>
      <c r="Q250" s="85"/>
      <c r="R250" s="85"/>
      <c r="S250" s="85" t="n">
        <v>12000</v>
      </c>
      <c r="T250" s="85"/>
      <c r="U250" s="85"/>
      <c r="V250" s="85"/>
      <c r="W250" s="85"/>
      <c r="X250" s="85"/>
      <c r="Y250" s="59" t="n">
        <f aca="false">SUM(M250:X250)</f>
        <v>12000</v>
      </c>
      <c r="Z250" s="59" t="n">
        <v>12</v>
      </c>
      <c r="AA250" s="59" t="n">
        <f aca="false">Z250*800</f>
        <v>9600</v>
      </c>
      <c r="AB250" s="59" t="n">
        <f aca="false">L250+AA250-Y250</f>
        <v>2600</v>
      </c>
      <c r="AC250" s="60" t="n">
        <v>800</v>
      </c>
      <c r="AD250" s="61"/>
      <c r="AE250" s="62" t="n">
        <f aca="false">AB250+AC250-AD250</f>
        <v>3400</v>
      </c>
      <c r="AF250" s="60" t="n">
        <v>800</v>
      </c>
      <c r="AG250" s="61"/>
      <c r="AH250" s="62" t="n">
        <f aca="false">AE250+AF250-AG250</f>
        <v>4200</v>
      </c>
      <c r="AI250" s="60" t="n">
        <v>800</v>
      </c>
      <c r="AJ250" s="61" t="n">
        <v>1600</v>
      </c>
      <c r="AK250" s="62" t="n">
        <f aca="false">AH250+AI250-AJ250</f>
        <v>3400</v>
      </c>
      <c r="AL250" s="60" t="n">
        <v>800</v>
      </c>
      <c r="AM250" s="61"/>
      <c r="AN250" s="62" t="n">
        <f aca="false">AK250+AL250-AM250</f>
        <v>4200</v>
      </c>
    </row>
    <row collapsed="false" customFormat="false" customHeight="false" hidden="false" ht="15" outlineLevel="0" r="251">
      <c r="A251" s="19" t="n">
        <f aca="false">VLOOKUP(B251,справочник!$B$2:$E$322,4,0)</f>
        <v>19</v>
      </c>
      <c r="B251" s="0" t="e">
        <f aca="false">CONCATENATE(C251;D251)</f>
        <v>#VALUE!</v>
      </c>
      <c r="C251" s="24" t="n">
        <v>19</v>
      </c>
      <c r="D251" s="29" t="s">
        <v>276</v>
      </c>
      <c r="E251" s="24" t="s">
        <v>609</v>
      </c>
      <c r="F251" s="30" t="n">
        <v>41421</v>
      </c>
      <c r="G251" s="30" t="n">
        <v>41456</v>
      </c>
      <c r="H251" s="31" t="n">
        <f aca="false">INT(($H$325-G251)/30)</f>
        <v>30</v>
      </c>
      <c r="I251" s="24" t="n">
        <f aca="false">H251*1000</f>
        <v>30000</v>
      </c>
      <c r="J251" s="31" t="n">
        <v>30000</v>
      </c>
      <c r="K251" s="31"/>
      <c r="L251" s="59" t="n">
        <f aca="false">I251-J251-K251</f>
        <v>0</v>
      </c>
      <c r="M251" s="85"/>
      <c r="N251" s="85"/>
      <c r="O251" s="85"/>
      <c r="P251" s="85"/>
      <c r="Q251" s="85"/>
      <c r="R251" s="85" t="n">
        <v>4000</v>
      </c>
      <c r="S251" s="85"/>
      <c r="T251" s="85"/>
      <c r="U251" s="85"/>
      <c r="V251" s="85" t="n">
        <v>5600</v>
      </c>
      <c r="W251" s="85"/>
      <c r="X251" s="85"/>
      <c r="Y251" s="59" t="n">
        <f aca="false">SUM(M251:X251)</f>
        <v>9600</v>
      </c>
      <c r="Z251" s="59" t="n">
        <v>12</v>
      </c>
      <c r="AA251" s="59" t="n">
        <f aca="false">Z251*800</f>
        <v>9600</v>
      </c>
      <c r="AB251" s="59" t="n">
        <f aca="false">L251+AA251-Y251</f>
        <v>0</v>
      </c>
      <c r="AC251" s="60" t="n">
        <v>800</v>
      </c>
      <c r="AD251" s="61"/>
      <c r="AE251" s="62" t="n">
        <f aca="false">AB251+AC251-AD251</f>
        <v>800</v>
      </c>
      <c r="AF251" s="60" t="n">
        <v>800</v>
      </c>
      <c r="AG251" s="61"/>
      <c r="AH251" s="62" t="n">
        <f aca="false">AE251+AF251-AG251</f>
        <v>1600</v>
      </c>
      <c r="AI251" s="60" t="n">
        <v>800</v>
      </c>
      <c r="AJ251" s="61" t="n">
        <v>4000</v>
      </c>
      <c r="AK251" s="62" t="n">
        <f aca="false">AH251+AI251-AJ251</f>
        <v>-1600</v>
      </c>
      <c r="AL251" s="60" t="n">
        <v>800</v>
      </c>
      <c r="AM251" s="61"/>
      <c r="AN251" s="62" t="n">
        <f aca="false">AK251+AL251-AM251</f>
        <v>-800</v>
      </c>
    </row>
    <row collapsed="false" customFormat="false" customHeight="true" hidden="false" ht="25.5" outlineLevel="0" r="252">
      <c r="A252" s="19" t="n">
        <f aca="false">VLOOKUP(B252,справочник!$B$2:$E$322,4,0)</f>
        <v>310</v>
      </c>
      <c r="B252" s="0" t="e">
        <f aca="false">CONCATENATE(C252;D252)</f>
        <v>#VALUE!</v>
      </c>
      <c r="C252" s="24" t="s">
        <v>610</v>
      </c>
      <c r="D252" s="29" t="s">
        <v>91</v>
      </c>
      <c r="E252" s="24" t="s">
        <v>611</v>
      </c>
      <c r="F252" s="34" t="n">
        <v>40778</v>
      </c>
      <c r="G252" s="34" t="n">
        <v>40787</v>
      </c>
      <c r="H252" s="35" t="n">
        <f aca="false">INT(($H$325-G252)/30)</f>
        <v>52</v>
      </c>
      <c r="I252" s="36" t="n">
        <f aca="false">H252*1000</f>
        <v>52000</v>
      </c>
      <c r="J252" s="35" t="n">
        <v>12000</v>
      </c>
      <c r="K252" s="35"/>
      <c r="L252" s="66" t="n">
        <f aca="false">I252-J252-K252</f>
        <v>40000</v>
      </c>
      <c r="M252" s="85" t="n">
        <v>5000</v>
      </c>
      <c r="N252" s="85"/>
      <c r="O252" s="85" t="n">
        <v>5000</v>
      </c>
      <c r="P252" s="85" t="n">
        <v>4950</v>
      </c>
      <c r="Q252" s="85" t="n">
        <v>5000</v>
      </c>
      <c r="R252" s="85"/>
      <c r="S252" s="85" t="n">
        <v>800</v>
      </c>
      <c r="T252" s="0" t="n">
        <v>3975</v>
      </c>
      <c r="U252" s="85" t="n">
        <v>800</v>
      </c>
      <c r="V252" s="85" t="n">
        <v>800</v>
      </c>
      <c r="W252" s="85"/>
      <c r="X252" s="85"/>
      <c r="Y252" s="59" t="n">
        <f aca="false">SUM(M252:X252)</f>
        <v>26325</v>
      </c>
      <c r="Z252" s="59" t="n">
        <v>12</v>
      </c>
      <c r="AA252" s="59" t="n">
        <f aca="false">Z252*800</f>
        <v>9600</v>
      </c>
      <c r="AB252" s="59" t="n">
        <f aca="false">L252+AA252-Y252</f>
        <v>23275</v>
      </c>
      <c r="AC252" s="60" t="n">
        <v>800</v>
      </c>
      <c r="AD252" s="61"/>
      <c r="AE252" s="62" t="n">
        <f aca="false">AB252+AC252-AD252</f>
        <v>24075</v>
      </c>
      <c r="AF252" s="60" t="n">
        <v>800</v>
      </c>
      <c r="AG252" s="61"/>
      <c r="AH252" s="62" t="n">
        <f aca="false">AE252+AF252-AG252</f>
        <v>24875</v>
      </c>
      <c r="AI252" s="60" t="n">
        <v>800</v>
      </c>
      <c r="AJ252" s="61"/>
      <c r="AK252" s="62" t="n">
        <f aca="false">AH252+AI252-AJ252</f>
        <v>25675</v>
      </c>
      <c r="AL252" s="60" t="n">
        <v>800</v>
      </c>
      <c r="AM252" s="61"/>
      <c r="AN252" s="62" t="n">
        <f aca="false">AK252+AL252-AM252</f>
        <v>26475</v>
      </c>
    </row>
    <row collapsed="false" customFormat="false" customHeight="false" hidden="false" ht="15" outlineLevel="0" r="253">
      <c r="A253" s="19" t="n">
        <f aca="false">VLOOKUP(B253,справочник!$B$2:$E$322,4,0)</f>
        <v>205</v>
      </c>
      <c r="B253" s="0" t="e">
        <f aca="false">CONCATENATE(C253;D253)</f>
        <v>#VALUE!</v>
      </c>
      <c r="C253" s="24" t="n">
        <v>215</v>
      </c>
      <c r="D253" s="29" t="s">
        <v>136</v>
      </c>
      <c r="E253" s="24" t="s">
        <v>612</v>
      </c>
      <c r="F253" s="30" t="n">
        <v>41023</v>
      </c>
      <c r="G253" s="30" t="n">
        <v>41000</v>
      </c>
      <c r="H253" s="31" t="n">
        <f aca="false">INT(($H$325-G253)/30)</f>
        <v>45</v>
      </c>
      <c r="I253" s="24" t="n">
        <f aca="false">H253*1000</f>
        <v>45000</v>
      </c>
      <c r="J253" s="31" t="n">
        <v>33000</v>
      </c>
      <c r="K253" s="31"/>
      <c r="L253" s="59" t="n">
        <f aca="false">I253-J253-K253</f>
        <v>12000</v>
      </c>
      <c r="M253" s="85"/>
      <c r="N253" s="85"/>
      <c r="O253" s="85"/>
      <c r="P253" s="85"/>
      <c r="Q253" s="85"/>
      <c r="R253" s="85"/>
      <c r="S253" s="85" t="n">
        <v>12000</v>
      </c>
      <c r="T253" s="85"/>
      <c r="U253" s="85"/>
      <c r="V253" s="85"/>
      <c r="W253" s="85"/>
      <c r="X253" s="85"/>
      <c r="Y253" s="59" t="n">
        <f aca="false">SUM(M253:X253)</f>
        <v>12000</v>
      </c>
      <c r="Z253" s="59" t="n">
        <v>12</v>
      </c>
      <c r="AA253" s="59" t="n">
        <f aca="false">Z253*800</f>
        <v>9600</v>
      </c>
      <c r="AB253" s="59" t="n">
        <f aca="false">L253+AA253-Y253</f>
        <v>9600</v>
      </c>
      <c r="AC253" s="60" t="n">
        <v>800</v>
      </c>
      <c r="AD253" s="61"/>
      <c r="AE253" s="62" t="n">
        <f aca="false">AB253+AC253-AD253</f>
        <v>10400</v>
      </c>
      <c r="AF253" s="60" t="n">
        <v>800</v>
      </c>
      <c r="AG253" s="61"/>
      <c r="AH253" s="62" t="n">
        <f aca="false">AE253+AF253-AG253</f>
        <v>11200</v>
      </c>
      <c r="AI253" s="60" t="n">
        <v>800</v>
      </c>
      <c r="AJ253" s="61"/>
      <c r="AK253" s="62" t="n">
        <f aca="false">AH253+AI253-AJ253</f>
        <v>12000</v>
      </c>
      <c r="AL253" s="60" t="n">
        <v>800</v>
      </c>
      <c r="AM253" s="61"/>
      <c r="AN253" s="62" t="n">
        <f aca="false">AK253+AL253-AM253</f>
        <v>12800</v>
      </c>
    </row>
    <row collapsed="false" customFormat="false" customHeight="true" hidden="false" ht="25.5" outlineLevel="0" r="254">
      <c r="A254" s="19" t="n">
        <f aca="false">VLOOKUP(B254,справочник!$B$2:$E$322,4,0)</f>
        <v>107</v>
      </c>
      <c r="B254" s="0" t="e">
        <f aca="false">CONCATENATE(C254;D254)</f>
        <v>#VALUE!</v>
      </c>
      <c r="C254" s="24" t="n">
        <v>112</v>
      </c>
      <c r="D254" s="29" t="s">
        <v>267</v>
      </c>
      <c r="E254" s="24" t="s">
        <v>613</v>
      </c>
      <c r="F254" s="30" t="n">
        <v>40932</v>
      </c>
      <c r="G254" s="30" t="n">
        <v>40909</v>
      </c>
      <c r="H254" s="31" t="n">
        <f aca="false">INT(($H$325-G254)/30)</f>
        <v>48</v>
      </c>
      <c r="I254" s="24" t="n">
        <f aca="false">H254*1000</f>
        <v>48000</v>
      </c>
      <c r="J254" s="31" t="n">
        <v>40000</v>
      </c>
      <c r="K254" s="31" t="n">
        <v>4000</v>
      </c>
      <c r="L254" s="59" t="n">
        <f aca="false">I254-J254-K254</f>
        <v>4000</v>
      </c>
      <c r="M254" s="85"/>
      <c r="N254" s="85" t="n">
        <v>2000</v>
      </c>
      <c r="O254" s="85" t="n">
        <v>3600</v>
      </c>
      <c r="P254" s="85" t="n">
        <v>1600</v>
      </c>
      <c r="Q254" s="85"/>
      <c r="R254" s="85" t="n">
        <v>800</v>
      </c>
      <c r="S254" s="85" t="n">
        <v>1600</v>
      </c>
      <c r="T254" s="0" t="n">
        <v>800</v>
      </c>
      <c r="U254" s="85"/>
      <c r="V254" s="85" t="n">
        <v>800</v>
      </c>
      <c r="W254" s="85" t="n">
        <v>800</v>
      </c>
      <c r="X254" s="85"/>
      <c r="Y254" s="59" t="n">
        <f aca="false">SUM(M254:X254)</f>
        <v>12000</v>
      </c>
      <c r="Z254" s="59" t="n">
        <v>12</v>
      </c>
      <c r="AA254" s="59" t="n">
        <f aca="false">Z254*800</f>
        <v>9600</v>
      </c>
      <c r="AB254" s="59" t="n">
        <f aca="false">L254+AA254-Y254</f>
        <v>1600</v>
      </c>
      <c r="AC254" s="60" t="n">
        <v>800</v>
      </c>
      <c r="AD254" s="61"/>
      <c r="AE254" s="62" t="n">
        <f aca="false">AB254+AC254-AD254</f>
        <v>2400</v>
      </c>
      <c r="AF254" s="60" t="n">
        <v>800</v>
      </c>
      <c r="AG254" s="61" t="n">
        <f aca="false">1600+1600</f>
        <v>3200</v>
      </c>
      <c r="AH254" s="62" t="n">
        <f aca="false">AE254+AF254-AG254</f>
        <v>0</v>
      </c>
      <c r="AI254" s="60" t="n">
        <v>800</v>
      </c>
      <c r="AJ254" s="61" t="n">
        <v>800</v>
      </c>
      <c r="AK254" s="62" t="n">
        <f aca="false">AH254+AI254-AJ254</f>
        <v>0</v>
      </c>
      <c r="AL254" s="60" t="n">
        <v>800</v>
      </c>
      <c r="AM254" s="61"/>
      <c r="AN254" s="62" t="n">
        <f aca="false">AK254+AL254-AM254</f>
        <v>800</v>
      </c>
    </row>
    <row collapsed="false" customFormat="false" customHeight="false" hidden="false" ht="15" outlineLevel="0" r="255">
      <c r="A255" s="19" t="n">
        <f aca="false">VLOOKUP(B255,справочник!$B$2:$E$322,4,0)</f>
        <v>48</v>
      </c>
      <c r="B255" s="0" t="e">
        <f aca="false">CONCATENATE(C255;D255)</f>
        <v>#VALUE!</v>
      </c>
      <c r="C255" s="24" t="n">
        <v>48</v>
      </c>
      <c r="D255" s="29" t="s">
        <v>65</v>
      </c>
      <c r="E255" s="24" t="s">
        <v>614</v>
      </c>
      <c r="F255" s="30" t="n">
        <v>40786</v>
      </c>
      <c r="G255" s="30" t="n">
        <v>40787</v>
      </c>
      <c r="H255" s="31" t="n">
        <f aca="false">INT(($H$325-G255)/30)</f>
        <v>52</v>
      </c>
      <c r="I255" s="24" t="n">
        <f aca="false">H255*1000</f>
        <v>52000</v>
      </c>
      <c r="J255" s="31" t="n">
        <f aca="false">1000+22000</f>
        <v>23000</v>
      </c>
      <c r="K255" s="31"/>
      <c r="L255" s="59" t="n">
        <f aca="false">I255-J255-K255</f>
        <v>29000</v>
      </c>
      <c r="M255" s="85"/>
      <c r="N255" s="85"/>
      <c r="O255" s="85"/>
      <c r="P255" s="85"/>
      <c r="Q255" s="85"/>
      <c r="R255" s="85"/>
      <c r="S255" s="85" t="n">
        <v>33800</v>
      </c>
      <c r="T255" s="0" t="n">
        <v>1600</v>
      </c>
      <c r="U255" s="85" t="n">
        <v>1600</v>
      </c>
      <c r="V255" s="85"/>
      <c r="W255" s="85" t="n">
        <v>1600</v>
      </c>
      <c r="X255" s="85"/>
      <c r="Y255" s="59" t="n">
        <f aca="false">SUM(M255:X255)</f>
        <v>38600</v>
      </c>
      <c r="Z255" s="59" t="n">
        <v>12</v>
      </c>
      <c r="AA255" s="59" t="n">
        <f aca="false">Z255*800</f>
        <v>9600</v>
      </c>
      <c r="AB255" s="59" t="n">
        <f aca="false">L255+AA255-Y255</f>
        <v>0</v>
      </c>
      <c r="AC255" s="60" t="n">
        <v>800</v>
      </c>
      <c r="AD255" s="61" t="n">
        <v>1600</v>
      </c>
      <c r="AE255" s="62" t="n">
        <f aca="false">AB255+AC255-AD255</f>
        <v>-800</v>
      </c>
      <c r="AF255" s="60" t="n">
        <v>800</v>
      </c>
      <c r="AG255" s="61"/>
      <c r="AH255" s="62" t="n">
        <f aca="false">AE255+AF255-AG255</f>
        <v>0</v>
      </c>
      <c r="AI255" s="60" t="n">
        <v>800</v>
      </c>
      <c r="AJ255" s="61" t="n">
        <v>1600</v>
      </c>
      <c r="AK255" s="62" t="n">
        <f aca="false">AH255+AI255-AJ255</f>
        <v>-800</v>
      </c>
      <c r="AL255" s="60" t="n">
        <v>800</v>
      </c>
      <c r="AM255" s="61"/>
      <c r="AN255" s="62" t="n">
        <f aca="false">AK255+AL255-AM255</f>
        <v>0</v>
      </c>
    </row>
    <row collapsed="false" customFormat="false" customHeight="false" hidden="false" ht="15" outlineLevel="0" r="256">
      <c r="A256" s="19" t="n">
        <f aca="false">VLOOKUP(B256,справочник!$B$2:$E$322,4,0)</f>
        <v>237</v>
      </c>
      <c r="B256" s="0" t="e">
        <f aca="false">CONCATENATE(C256;D256)</f>
        <v>#VALUE!</v>
      </c>
      <c r="C256" s="24" t="n">
        <v>248</v>
      </c>
      <c r="D256" s="29" t="s">
        <v>235</v>
      </c>
      <c r="E256" s="24" t="s">
        <v>615</v>
      </c>
      <c r="F256" s="30" t="n">
        <v>41036</v>
      </c>
      <c r="G256" s="30" t="n">
        <v>41030</v>
      </c>
      <c r="H256" s="31" t="n">
        <f aca="false">INT(($H$325-G256)/30)</f>
        <v>44</v>
      </c>
      <c r="I256" s="24" t="n">
        <f aca="false">H256*1000</f>
        <v>44000</v>
      </c>
      <c r="J256" s="31" t="n">
        <v>13000</v>
      </c>
      <c r="K256" s="31"/>
      <c r="L256" s="59" t="n">
        <f aca="false">I256-J256-K256</f>
        <v>31000</v>
      </c>
      <c r="M256" s="85" t="n">
        <v>31000</v>
      </c>
      <c r="N256" s="85"/>
      <c r="O256" s="85" t="n">
        <v>2000</v>
      </c>
      <c r="P256" s="85"/>
      <c r="Q256" s="85"/>
      <c r="R256" s="85"/>
      <c r="S256" s="85"/>
      <c r="T256" s="85"/>
      <c r="U256" s="85"/>
      <c r="V256" s="85"/>
      <c r="W256" s="85"/>
      <c r="X256" s="85"/>
      <c r="Y256" s="59" t="n">
        <f aca="false">SUM(M256:X256)</f>
        <v>33000</v>
      </c>
      <c r="Z256" s="59" t="n">
        <v>12</v>
      </c>
      <c r="AA256" s="59" t="n">
        <f aca="false">Z256*800</f>
        <v>9600</v>
      </c>
      <c r="AB256" s="59" t="n">
        <f aca="false">L256+AA256-Y256</f>
        <v>7600</v>
      </c>
      <c r="AC256" s="60" t="n">
        <v>800</v>
      </c>
      <c r="AD256" s="61"/>
      <c r="AE256" s="62" t="n">
        <f aca="false">AB256+AC256-AD256</f>
        <v>8400</v>
      </c>
      <c r="AF256" s="60" t="n">
        <v>800</v>
      </c>
      <c r="AG256" s="61"/>
      <c r="AH256" s="62" t="n">
        <f aca="false">AE256+AF256-AG256</f>
        <v>9200</v>
      </c>
      <c r="AI256" s="60" t="n">
        <v>800</v>
      </c>
      <c r="AJ256" s="61"/>
      <c r="AK256" s="62" t="n">
        <f aca="false">AH256+AI256-AJ256</f>
        <v>10000</v>
      </c>
      <c r="AL256" s="60" t="n">
        <v>800</v>
      </c>
      <c r="AM256" s="61"/>
      <c r="AN256" s="62" t="n">
        <f aca="false">AK256+AL256-AM256</f>
        <v>10800</v>
      </c>
    </row>
    <row collapsed="false" customFormat="false" customHeight="false" hidden="false" ht="15" outlineLevel="0" r="257">
      <c r="A257" s="19" t="n">
        <f aca="false">VLOOKUP(B257,справочник!$B$2:$E$322,4,0)</f>
        <v>263</v>
      </c>
      <c r="B257" s="0" t="e">
        <f aca="false">CONCATENATE(C257;D257)</f>
        <v>#VALUE!</v>
      </c>
      <c r="C257" s="24" t="n">
        <v>276</v>
      </c>
      <c r="D257" s="29" t="s">
        <v>223</v>
      </c>
      <c r="E257" s="24" t="s">
        <v>616</v>
      </c>
      <c r="F257" s="30" t="n">
        <v>41289</v>
      </c>
      <c r="G257" s="30" t="n">
        <v>41306</v>
      </c>
      <c r="H257" s="31" t="n">
        <f aca="false">INT(($H$325-G257)/30)</f>
        <v>35</v>
      </c>
      <c r="I257" s="24" t="n">
        <f aca="false">H257*1000</f>
        <v>35000</v>
      </c>
      <c r="J257" s="31" t="n">
        <v>32000</v>
      </c>
      <c r="K257" s="31"/>
      <c r="L257" s="59" t="n">
        <f aca="false">I257-J257-K257</f>
        <v>3000</v>
      </c>
      <c r="M257" s="85"/>
      <c r="N257" s="85" t="n">
        <v>2600</v>
      </c>
      <c r="O257" s="85" t="n">
        <v>800</v>
      </c>
      <c r="P257" s="85"/>
      <c r="Q257" s="85"/>
      <c r="R257" s="85"/>
      <c r="S257" s="85"/>
      <c r="T257" s="85"/>
      <c r="U257" s="85" t="n">
        <v>2400</v>
      </c>
      <c r="V257" s="85"/>
      <c r="W257" s="85"/>
      <c r="X257" s="85" t="n">
        <v>2400</v>
      </c>
      <c r="Y257" s="59" t="n">
        <f aca="false">SUM(M257:X257)</f>
        <v>8200</v>
      </c>
      <c r="Z257" s="59" t="n">
        <v>12</v>
      </c>
      <c r="AA257" s="59" t="n">
        <f aca="false">Z257*800</f>
        <v>9600</v>
      </c>
      <c r="AB257" s="59" t="n">
        <f aca="false">L257+AA257-Y257</f>
        <v>4400</v>
      </c>
      <c r="AC257" s="60" t="n">
        <v>800</v>
      </c>
      <c r="AD257" s="61"/>
      <c r="AE257" s="62" t="n">
        <f aca="false">AB257+AC257-AD257</f>
        <v>5200</v>
      </c>
      <c r="AF257" s="60" t="n">
        <v>800</v>
      </c>
      <c r="AG257" s="61" t="n">
        <f aca="false">1600+2400</f>
        <v>4000</v>
      </c>
      <c r="AH257" s="62" t="n">
        <f aca="false">AE257+AF257-AG257</f>
        <v>2000</v>
      </c>
      <c r="AI257" s="60" t="n">
        <v>800</v>
      </c>
      <c r="AJ257" s="61"/>
      <c r="AK257" s="62" t="n">
        <f aca="false">AH257+AI257-AJ257</f>
        <v>2800</v>
      </c>
      <c r="AL257" s="60" t="n">
        <v>800</v>
      </c>
      <c r="AM257" s="61"/>
      <c r="AN257" s="62" t="n">
        <f aca="false">AK257+AL257-AM257</f>
        <v>3600</v>
      </c>
    </row>
    <row collapsed="false" customFormat="false" customHeight="false" hidden="false" ht="15" outlineLevel="0" r="258">
      <c r="A258" s="19" t="n">
        <f aca="false">VLOOKUP(B258,справочник!$B$2:$E$322,4,0)</f>
        <v>100</v>
      </c>
      <c r="B258" s="0" t="e">
        <f aca="false">CONCATENATE(C258;D258)</f>
        <v>#VALUE!</v>
      </c>
      <c r="C258" s="24" t="n">
        <v>105</v>
      </c>
      <c r="D258" s="29" t="s">
        <v>157</v>
      </c>
      <c r="E258" s="24" t="s">
        <v>617</v>
      </c>
      <c r="F258" s="30" t="n">
        <v>41065</v>
      </c>
      <c r="G258" s="30" t="n">
        <v>41061</v>
      </c>
      <c r="H258" s="31" t="n">
        <f aca="false">INT(($H$325-G258)/30)</f>
        <v>43</v>
      </c>
      <c r="I258" s="24" t="n">
        <f aca="false">H258*1000</f>
        <v>43000</v>
      </c>
      <c r="J258" s="31" t="n">
        <v>28000</v>
      </c>
      <c r="K258" s="31"/>
      <c r="L258" s="59" t="n">
        <f aca="false">I258-J258-K258</f>
        <v>15000</v>
      </c>
      <c r="M258" s="85" t="n">
        <v>5050.3</v>
      </c>
      <c r="N258" s="85"/>
      <c r="O258" s="85"/>
      <c r="P258" s="85"/>
      <c r="Q258" s="85"/>
      <c r="R258" s="85"/>
      <c r="S258" s="85" t="n">
        <v>2800</v>
      </c>
      <c r="T258" s="0" t="n">
        <v>2000</v>
      </c>
      <c r="U258" s="85"/>
      <c r="V258" s="85"/>
      <c r="W258" s="85"/>
      <c r="X258" s="85"/>
      <c r="Y258" s="59" t="n">
        <f aca="false">SUM(M258:X258)</f>
        <v>9850.3</v>
      </c>
      <c r="Z258" s="59" t="n">
        <v>12</v>
      </c>
      <c r="AA258" s="59" t="n">
        <f aca="false">Z258*800</f>
        <v>9600</v>
      </c>
      <c r="AB258" s="59" t="n">
        <f aca="false">L258+AA258-Y258</f>
        <v>14749.7</v>
      </c>
      <c r="AC258" s="60" t="n">
        <v>800</v>
      </c>
      <c r="AD258" s="61"/>
      <c r="AE258" s="62" t="n">
        <f aca="false">AB258+AC258-AD258</f>
        <v>15549.7</v>
      </c>
      <c r="AF258" s="60" t="n">
        <v>800</v>
      </c>
      <c r="AG258" s="61"/>
      <c r="AH258" s="62" t="n">
        <f aca="false">AE258+AF258-AG258</f>
        <v>16349.7</v>
      </c>
      <c r="AI258" s="60" t="n">
        <v>800</v>
      </c>
      <c r="AJ258" s="61"/>
      <c r="AK258" s="62" t="n">
        <f aca="false">AH258+AI258-AJ258</f>
        <v>17149.7</v>
      </c>
      <c r="AL258" s="60" t="n">
        <v>800</v>
      </c>
      <c r="AM258" s="61"/>
      <c r="AN258" s="62" t="n">
        <f aca="false">AK258+AL258-AM258</f>
        <v>17949.7</v>
      </c>
    </row>
    <row collapsed="false" customFormat="false" customHeight="false" hidden="false" ht="15" outlineLevel="0" r="259">
      <c r="A259" s="19" t="n">
        <f aca="false">VLOOKUP(B259,справочник!$B$2:$E$322,4,0)</f>
        <v>131</v>
      </c>
      <c r="B259" s="0" t="e">
        <f aca="false">CONCATENATE(C259;D259)</f>
        <v>#VALUE!</v>
      </c>
      <c r="C259" s="24" t="n">
        <v>138</v>
      </c>
      <c r="D259" s="29" t="s">
        <v>243</v>
      </c>
      <c r="E259" s="24" t="s">
        <v>618</v>
      </c>
      <c r="F259" s="30" t="n">
        <v>41114</v>
      </c>
      <c r="G259" s="30" t="n">
        <v>41122</v>
      </c>
      <c r="H259" s="31" t="n">
        <f aca="false">INT(($H$325-G259)/30)</f>
        <v>41</v>
      </c>
      <c r="I259" s="24" t="n">
        <f aca="false">H259*1000</f>
        <v>41000</v>
      </c>
      <c r="J259" s="31" t="n">
        <v>23000</v>
      </c>
      <c r="K259" s="31" t="n">
        <v>6000</v>
      </c>
      <c r="L259" s="59" t="n">
        <f aca="false">I259-J259-K259</f>
        <v>12000</v>
      </c>
      <c r="M259" s="85"/>
      <c r="N259" s="85"/>
      <c r="O259" s="85"/>
      <c r="P259" s="85" t="n">
        <v>14400</v>
      </c>
      <c r="Q259" s="85"/>
      <c r="R259" s="85"/>
      <c r="S259" s="85"/>
      <c r="T259" s="85"/>
      <c r="U259" s="85"/>
      <c r="V259" s="85" t="n">
        <v>5600</v>
      </c>
      <c r="W259" s="85"/>
      <c r="X259" s="85" t="n">
        <v>1600</v>
      </c>
      <c r="Y259" s="59" t="n">
        <f aca="false">SUM(M259:X259)</f>
        <v>21600</v>
      </c>
      <c r="Z259" s="59" t="n">
        <v>12</v>
      </c>
      <c r="AA259" s="59" t="n">
        <f aca="false">Z259*800</f>
        <v>9600</v>
      </c>
      <c r="AB259" s="59" t="n">
        <f aca="false">L259+AA259-Y259</f>
        <v>0</v>
      </c>
      <c r="AC259" s="60" t="n">
        <v>800</v>
      </c>
      <c r="AD259" s="61"/>
      <c r="AE259" s="62" t="n">
        <f aca="false">AB259+AC259-AD259</f>
        <v>800</v>
      </c>
      <c r="AF259" s="60" t="n">
        <v>800</v>
      </c>
      <c r="AG259" s="61"/>
      <c r="AH259" s="62" t="n">
        <f aca="false">AE259+AF259-AG259</f>
        <v>1600</v>
      </c>
      <c r="AI259" s="60" t="n">
        <v>800</v>
      </c>
      <c r="AJ259" s="61"/>
      <c r="AK259" s="62" t="n">
        <f aca="false">AH259+AI259-AJ259</f>
        <v>2400</v>
      </c>
      <c r="AL259" s="60" t="n">
        <v>800</v>
      </c>
      <c r="AM259" s="61"/>
      <c r="AN259" s="62" t="n">
        <f aca="false">AK259+AL259-AM259</f>
        <v>3200</v>
      </c>
    </row>
    <row collapsed="false" customFormat="true" customHeight="false" hidden="false" ht="15" outlineLevel="0" r="260" s="64">
      <c r="A260" s="63" t="n">
        <f aca="false">VLOOKUP(B260,справочник!$B$2:$E$322,4,0)</f>
        <v>183</v>
      </c>
      <c r="B260" s="64" t="e">
        <f aca="false">CONCATENATE(C260;D260)</f>
        <v>#VALUE!</v>
      </c>
      <c r="C260" s="36" t="n">
        <v>191</v>
      </c>
      <c r="D260" s="65" t="s">
        <v>32</v>
      </c>
      <c r="E260" s="36" t="s">
        <v>619</v>
      </c>
      <c r="F260" s="34" t="n">
        <v>41505</v>
      </c>
      <c r="G260" s="34" t="n">
        <v>41518</v>
      </c>
      <c r="H260" s="35" t="n">
        <f aca="false">INT(($H$325-G260)/30)</f>
        <v>28</v>
      </c>
      <c r="I260" s="36" t="n">
        <f aca="false">H260*1000</f>
        <v>28000</v>
      </c>
      <c r="J260" s="35" t="n">
        <v>1000</v>
      </c>
      <c r="K260" s="35"/>
      <c r="L260" s="66" t="n">
        <f aca="false">I260-J260-K260</f>
        <v>27000</v>
      </c>
      <c r="M260" s="87" t="n">
        <v>20000</v>
      </c>
      <c r="N260" s="87"/>
      <c r="O260" s="87"/>
      <c r="P260" s="87"/>
      <c r="Q260" s="87"/>
      <c r="R260" s="87"/>
      <c r="S260" s="87"/>
      <c r="T260" s="87" t="n">
        <f aca="false">15393+2250+15000+5000</f>
        <v>37643</v>
      </c>
      <c r="U260" s="87" t="n">
        <v>6000</v>
      </c>
      <c r="V260" s="87"/>
      <c r="W260" s="87"/>
      <c r="X260" s="87"/>
      <c r="Y260" s="66" t="n">
        <f aca="false">SUM(M260:X260)</f>
        <v>63643</v>
      </c>
      <c r="Z260" s="66" t="n">
        <v>12</v>
      </c>
      <c r="AA260" s="66" t="n">
        <f aca="false">Z260*800</f>
        <v>9600</v>
      </c>
      <c r="AB260" s="66" t="n">
        <f aca="false">L260+AA260-Y260</f>
        <v>-27043</v>
      </c>
      <c r="AC260" s="66" t="n">
        <v>800</v>
      </c>
      <c r="AD260" s="67"/>
      <c r="AE260" s="90" t="n">
        <f aca="false">SUM(AB260:AB261)+SUM(AC260:AC261)-SUM(AD260:AD261)</f>
        <v>757</v>
      </c>
      <c r="AF260" s="66" t="n">
        <v>800</v>
      </c>
      <c r="AG260" s="67"/>
      <c r="AH260" s="90" t="n">
        <f aca="false">SUM(AE260:AE261)+SUM(AF260:AF261)-SUM(AG260:AG261)</f>
        <v>1557</v>
      </c>
      <c r="AI260" s="66" t="n">
        <v>800</v>
      </c>
      <c r="AJ260" s="67"/>
      <c r="AK260" s="90" t="n">
        <f aca="false">SUM(AH260:AH261)+SUM(AI260:AI261)-SUM(AJ260:AJ261)</f>
        <v>0</v>
      </c>
      <c r="AL260" s="66" t="n">
        <v>800</v>
      </c>
      <c r="AM260" s="67"/>
      <c r="AN260" s="90" t="n">
        <f aca="false">SUM(AK260:AK261)+SUM(AL260:AL261)-SUM(AM260:AM261)</f>
        <v>800</v>
      </c>
    </row>
    <row collapsed="false" customFormat="false" customHeight="false" hidden="false" ht="15" outlineLevel="0" r="261">
      <c r="A261" s="63" t="n">
        <f aca="false">VLOOKUP(B261,справочник!$B$2:$E$322,4,0)</f>
        <v>183</v>
      </c>
      <c r="B261" s="64" t="e">
        <f aca="false">CONCATENATE(C261;D261)</f>
        <v>#VALUE!</v>
      </c>
      <c r="C261" s="36" t="n">
        <v>192</v>
      </c>
      <c r="D261" s="65" t="s">
        <v>32</v>
      </c>
      <c r="E261" s="36" t="s">
        <v>620</v>
      </c>
      <c r="F261" s="34" t="n">
        <v>41505</v>
      </c>
      <c r="G261" s="34" t="n">
        <v>41518</v>
      </c>
      <c r="H261" s="35" t="n">
        <f aca="false">INT(($H$325-G261)/30)</f>
        <v>28</v>
      </c>
      <c r="I261" s="36" t="n">
        <f aca="false">H261*1000</f>
        <v>28000</v>
      </c>
      <c r="J261" s="35" t="n">
        <v>1000</v>
      </c>
      <c r="K261" s="35"/>
      <c r="L261" s="66" t="n">
        <f aca="false">I261-J261-K261</f>
        <v>27000</v>
      </c>
      <c r="M261" s="87"/>
      <c r="N261" s="87"/>
      <c r="O261" s="87"/>
      <c r="P261" s="87"/>
      <c r="Q261" s="87"/>
      <c r="R261" s="87"/>
      <c r="S261" s="87"/>
      <c r="T261" s="87"/>
      <c r="U261" s="87"/>
      <c r="V261" s="87"/>
      <c r="W261" s="87"/>
      <c r="X261" s="87"/>
      <c r="Y261" s="66" t="n">
        <f aca="false">SUM(M261:X261)</f>
        <v>0</v>
      </c>
      <c r="Z261" s="66" t="n">
        <v>0</v>
      </c>
      <c r="AA261" s="66" t="n">
        <f aca="false">Z261*800</f>
        <v>0</v>
      </c>
      <c r="AB261" s="66" t="n">
        <f aca="false">L261+AA261-Y261</f>
        <v>27000</v>
      </c>
      <c r="AC261" s="66" t="n">
        <v>0</v>
      </c>
      <c r="AD261" s="67"/>
      <c r="AE261" s="90"/>
      <c r="AF261" s="66" t="n">
        <v>0</v>
      </c>
      <c r="AG261" s="67"/>
      <c r="AH261" s="90"/>
      <c r="AI261" s="66" t="n">
        <v>0</v>
      </c>
      <c r="AJ261" s="67" t="n">
        <v>2357</v>
      </c>
      <c r="AK261" s="90"/>
      <c r="AL261" s="66" t="n">
        <v>0</v>
      </c>
      <c r="AM261" s="67"/>
      <c r="AN261" s="90"/>
    </row>
    <row collapsed="false" customFormat="false" customHeight="true" hidden="false" ht="25.5" outlineLevel="0" r="262">
      <c r="A262" s="19" t="n">
        <f aca="false">VLOOKUP(B262,справочник!$B$2:$E$322,4,0)</f>
        <v>21</v>
      </c>
      <c r="B262" s="0" t="e">
        <f aca="false">CONCATENATE(C262;D262)</f>
        <v>#VALUE!</v>
      </c>
      <c r="C262" s="24" t="n">
        <v>21</v>
      </c>
      <c r="D262" s="29" t="s">
        <v>199</v>
      </c>
      <c r="E262" s="24" t="s">
        <v>621</v>
      </c>
      <c r="F262" s="30" t="n">
        <v>41107</v>
      </c>
      <c r="G262" s="30" t="n">
        <v>41091</v>
      </c>
      <c r="H262" s="31" t="n">
        <f aca="false">INT(($H$325-G262)/30)</f>
        <v>42</v>
      </c>
      <c r="I262" s="24" t="n">
        <f aca="false">H262*1000</f>
        <v>42000</v>
      </c>
      <c r="J262" s="31" t="n">
        <v>40000</v>
      </c>
      <c r="K262" s="31"/>
      <c r="L262" s="59" t="n">
        <f aca="false">I262-J262-K262</f>
        <v>2000</v>
      </c>
      <c r="M262" s="85"/>
      <c r="N262" s="85"/>
      <c r="O262" s="85"/>
      <c r="P262" s="85"/>
      <c r="Q262" s="85"/>
      <c r="R262" s="85"/>
      <c r="S262" s="85"/>
      <c r="T262" s="85"/>
      <c r="U262" s="85" t="n">
        <v>10000</v>
      </c>
      <c r="V262" s="85"/>
      <c r="W262" s="85"/>
      <c r="X262" s="85"/>
      <c r="Y262" s="59" t="n">
        <f aca="false">SUM(M262:X262)</f>
        <v>10000</v>
      </c>
      <c r="Z262" s="59" t="n">
        <v>12</v>
      </c>
      <c r="AA262" s="59" t="n">
        <f aca="false">Z262*800</f>
        <v>9600</v>
      </c>
      <c r="AB262" s="59" t="n">
        <f aca="false">L262+AA262-Y262</f>
        <v>1600</v>
      </c>
      <c r="AC262" s="60" t="n">
        <v>800</v>
      </c>
      <c r="AD262" s="61" t="n">
        <v>4000</v>
      </c>
      <c r="AE262" s="62" t="n">
        <f aca="false">AB262+AC262-AD262</f>
        <v>-1600</v>
      </c>
      <c r="AF262" s="60" t="n">
        <v>800</v>
      </c>
      <c r="AG262" s="61"/>
      <c r="AH262" s="62" t="n">
        <f aca="false">AE262+AF262-AG262</f>
        <v>-800</v>
      </c>
      <c r="AI262" s="60" t="n">
        <v>800</v>
      </c>
      <c r="AJ262" s="61"/>
      <c r="AK262" s="62" t="n">
        <f aca="false">AH262+AI262-AJ262</f>
        <v>0</v>
      </c>
      <c r="AL262" s="60" t="n">
        <v>800</v>
      </c>
      <c r="AM262" s="61"/>
      <c r="AN262" s="62" t="n">
        <f aca="false">AK262+AL262-AM262</f>
        <v>800</v>
      </c>
    </row>
    <row collapsed="false" customFormat="false" customHeight="false" hidden="false" ht="15" outlineLevel="0" r="263">
      <c r="A263" s="19" t="n">
        <f aca="false">VLOOKUP(B263,справочник!$B$2:$E$322,4,0)</f>
        <v>298</v>
      </c>
      <c r="B263" s="0" t="e">
        <f aca="false">CONCATENATE(C263;D263)</f>
        <v>#VALUE!</v>
      </c>
      <c r="C263" s="24" t="n">
        <v>313</v>
      </c>
      <c r="D263" s="29" t="s">
        <v>278</v>
      </c>
      <c r="E263" s="24" t="s">
        <v>622</v>
      </c>
      <c r="F263" s="30" t="n">
        <v>41994</v>
      </c>
      <c r="G263" s="30" t="n">
        <v>42005</v>
      </c>
      <c r="H263" s="31" t="n">
        <f aca="false">INT(($H$325-G263)/30)</f>
        <v>12</v>
      </c>
      <c r="I263" s="24" t="n">
        <f aca="false">H263*1000</f>
        <v>12000</v>
      </c>
      <c r="J263" s="31" t="n">
        <v>12000</v>
      </c>
      <c r="K263" s="31"/>
      <c r="L263" s="59" t="n">
        <f aca="false">I263-J263-K263</f>
        <v>0</v>
      </c>
      <c r="M263" s="85"/>
      <c r="N263" s="85" t="n">
        <v>4800</v>
      </c>
      <c r="O263" s="85"/>
      <c r="P263" s="85"/>
      <c r="Q263" s="85"/>
      <c r="R263" s="85"/>
      <c r="S263" s="85"/>
      <c r="T263" s="85"/>
      <c r="U263" s="85" t="n">
        <v>5000</v>
      </c>
      <c r="V263" s="85"/>
      <c r="W263" s="85"/>
      <c r="X263" s="85"/>
      <c r="Y263" s="59" t="n">
        <f aca="false">SUM(M263:X263)</f>
        <v>9800</v>
      </c>
      <c r="Z263" s="59" t="n">
        <v>12</v>
      </c>
      <c r="AA263" s="59" t="n">
        <f aca="false">Z263*800</f>
        <v>9600</v>
      </c>
      <c r="AB263" s="59" t="n">
        <f aca="false">L263+AA263-Y263</f>
        <v>-200</v>
      </c>
      <c r="AC263" s="60" t="n">
        <v>800</v>
      </c>
      <c r="AD263" s="61"/>
      <c r="AE263" s="62" t="n">
        <f aca="false">AB263+AC263-AD263</f>
        <v>600</v>
      </c>
      <c r="AF263" s="60" t="n">
        <v>800</v>
      </c>
      <c r="AG263" s="61"/>
      <c r="AH263" s="62" t="n">
        <f aca="false">AE263+AF263-AG263</f>
        <v>1400</v>
      </c>
      <c r="AI263" s="60" t="n">
        <v>800</v>
      </c>
      <c r="AJ263" s="61"/>
      <c r="AK263" s="62" t="n">
        <f aca="false">AH263+AI263-AJ263</f>
        <v>2200</v>
      </c>
      <c r="AL263" s="60" t="n">
        <v>800</v>
      </c>
      <c r="AM263" s="61" t="n">
        <v>3600</v>
      </c>
      <c r="AN263" s="62" t="n">
        <f aca="false">AK263+AL263-AM263</f>
        <v>-600</v>
      </c>
    </row>
    <row collapsed="false" customFormat="false" customHeight="false" hidden="false" ht="15" outlineLevel="0" r="264">
      <c r="A264" s="19" t="n">
        <f aca="false">VLOOKUP(B264,справочник!$B$2:$E$322,4,0)</f>
        <v>91</v>
      </c>
      <c r="B264" s="0" t="e">
        <f aca="false">CONCATENATE(C264;D264)</f>
        <v>#VALUE!</v>
      </c>
      <c r="C264" s="24" t="n">
        <v>96</v>
      </c>
      <c r="D264" s="29" t="s">
        <v>58</v>
      </c>
      <c r="E264" s="24" t="s">
        <v>623</v>
      </c>
      <c r="F264" s="30" t="n">
        <v>41070</v>
      </c>
      <c r="G264" s="30" t="n">
        <v>41061</v>
      </c>
      <c r="H264" s="31" t="n">
        <f aca="false">INT(($H$325-G264)/30)</f>
        <v>43</v>
      </c>
      <c r="I264" s="24" t="n">
        <f aca="false">H264*1000</f>
        <v>43000</v>
      </c>
      <c r="J264" s="31" t="n">
        <v>12000</v>
      </c>
      <c r="K264" s="31"/>
      <c r="L264" s="59" t="n">
        <f aca="false">I264-J264-K264</f>
        <v>31000</v>
      </c>
      <c r="M264" s="85"/>
      <c r="N264" s="85"/>
      <c r="O264" s="85"/>
      <c r="P264" s="85"/>
      <c r="Q264" s="85"/>
      <c r="R264" s="85"/>
      <c r="S264" s="85" t="n">
        <v>15000</v>
      </c>
      <c r="T264" s="85"/>
      <c r="U264" s="85"/>
      <c r="V264" s="85"/>
      <c r="W264" s="85"/>
      <c r="X264" s="85"/>
      <c r="Y264" s="59" t="n">
        <f aca="false">SUM(M264:X264)</f>
        <v>15000</v>
      </c>
      <c r="Z264" s="59" t="n">
        <v>12</v>
      </c>
      <c r="AA264" s="59" t="n">
        <f aca="false">Z264*800</f>
        <v>9600</v>
      </c>
      <c r="AB264" s="59" t="n">
        <f aca="false">L264+AA264-Y264</f>
        <v>25600</v>
      </c>
      <c r="AC264" s="60" t="n">
        <v>800</v>
      </c>
      <c r="AD264" s="61"/>
      <c r="AE264" s="62" t="n">
        <f aca="false">AB264+AC264-AD264</f>
        <v>26400</v>
      </c>
      <c r="AF264" s="60" t="n">
        <v>800</v>
      </c>
      <c r="AG264" s="61"/>
      <c r="AH264" s="62" t="n">
        <f aca="false">AE264+AF264-AG264</f>
        <v>27200</v>
      </c>
      <c r="AI264" s="60" t="n">
        <v>800</v>
      </c>
      <c r="AJ264" s="61"/>
      <c r="AK264" s="62" t="n">
        <f aca="false">AH264+AI264-AJ264</f>
        <v>28000</v>
      </c>
      <c r="AL264" s="60" t="n">
        <v>800</v>
      </c>
      <c r="AM264" s="61"/>
      <c r="AN264" s="62" t="n">
        <f aca="false">AK264+AL264-AM264</f>
        <v>28800</v>
      </c>
    </row>
    <row collapsed="false" customFormat="true" customHeight="false" hidden="false" ht="15" outlineLevel="0" r="265" s="64">
      <c r="A265" s="63" t="n">
        <f aca="false">VLOOKUP(B265,справочник!$B$2:$E$322,4,0)</f>
        <v>54</v>
      </c>
      <c r="B265" s="64" t="e">
        <f aca="false">CONCATENATE(C265;D265)</f>
        <v>#VALUE!</v>
      </c>
      <c r="C265" s="36" t="n">
        <v>56</v>
      </c>
      <c r="D265" s="65" t="s">
        <v>205</v>
      </c>
      <c r="E265" s="36" t="s">
        <v>625</v>
      </c>
      <c r="F265" s="34" t="n">
        <v>41184</v>
      </c>
      <c r="G265" s="34" t="n">
        <v>41214</v>
      </c>
      <c r="H265" s="35" t="n">
        <f aca="false">INT(($H$325-G265)/30)</f>
        <v>38</v>
      </c>
      <c r="I265" s="36" t="n">
        <f aca="false">H265*1000</f>
        <v>38000</v>
      </c>
      <c r="J265" s="35" t="n">
        <v>38000</v>
      </c>
      <c r="K265" s="35"/>
      <c r="L265" s="66" t="n">
        <f aca="false">I265-J265-K265</f>
        <v>0</v>
      </c>
      <c r="M265" s="87"/>
      <c r="N265" s="87"/>
      <c r="O265" s="87"/>
      <c r="P265" s="87"/>
      <c r="Q265" s="87"/>
      <c r="R265" s="87"/>
      <c r="S265" s="87"/>
      <c r="T265" s="87"/>
      <c r="U265" s="87"/>
      <c r="V265" s="87"/>
      <c r="W265" s="87"/>
      <c r="X265" s="87"/>
      <c r="Y265" s="66" t="n">
        <f aca="false">SUM(M265:X265)</f>
        <v>0</v>
      </c>
      <c r="Z265" s="66" t="n">
        <v>0</v>
      </c>
      <c r="AA265" s="66" t="n">
        <f aca="false">Z265*800</f>
        <v>0</v>
      </c>
      <c r="AB265" s="66" t="n">
        <f aca="false">L265+AA265-Y265</f>
        <v>0</v>
      </c>
      <c r="AC265" s="66" t="n">
        <v>0</v>
      </c>
      <c r="AD265" s="67"/>
      <c r="AE265" s="71" t="n">
        <f aca="false">AB265+AC265-AD265</f>
        <v>0</v>
      </c>
      <c r="AF265" s="66" t="n">
        <v>0</v>
      </c>
      <c r="AG265" s="67"/>
      <c r="AH265" s="71" t="n">
        <f aca="false">AE265+AF265-AG265</f>
        <v>0</v>
      </c>
      <c r="AI265" s="66" t="n">
        <v>0</v>
      </c>
      <c r="AJ265" s="67"/>
      <c r="AK265" s="71" t="n">
        <f aca="false">AH265+AI265-AJ265</f>
        <v>0</v>
      </c>
      <c r="AL265" s="66" t="n">
        <v>0</v>
      </c>
      <c r="AM265" s="67"/>
      <c r="AN265" s="71" t="n">
        <f aca="false">AK265+AL265-AM265</f>
        <v>0</v>
      </c>
    </row>
    <row collapsed="false" customFormat="true" customHeight="false" hidden="false" ht="15" outlineLevel="0" r="266" s="64">
      <c r="A266" s="63" t="n">
        <f aca="false">VLOOKUP(B266,справочник!$B$2:$E$322,4,0)</f>
        <v>317</v>
      </c>
      <c r="B266" s="64" t="e">
        <f aca="false">CONCATENATE(C266;D266)</f>
        <v>#VALUE!</v>
      </c>
      <c r="C266" s="36" t="s">
        <v>624</v>
      </c>
      <c r="D266" s="65" t="s">
        <v>205</v>
      </c>
      <c r="E266" s="36" t="s">
        <v>626</v>
      </c>
      <c r="F266" s="34" t="n">
        <v>41184</v>
      </c>
      <c r="G266" s="34" t="n">
        <v>41214</v>
      </c>
      <c r="H266" s="35" t="n">
        <f aca="false">INT(($H$325-G266)/30)*2</f>
        <v>76</v>
      </c>
      <c r="I266" s="36" t="n">
        <v>89000</v>
      </c>
      <c r="J266" s="35" t="n">
        <v>89000</v>
      </c>
      <c r="K266" s="35"/>
      <c r="L266" s="66" t="n">
        <f aca="false">I266-J266-K266</f>
        <v>0</v>
      </c>
      <c r="M266" s="87"/>
      <c r="N266" s="87"/>
      <c r="O266" s="87"/>
      <c r="P266" s="87"/>
      <c r="Q266" s="87"/>
      <c r="R266" s="87"/>
      <c r="S266" s="87"/>
      <c r="T266" s="87"/>
      <c r="U266" s="87" t="n">
        <v>6400</v>
      </c>
      <c r="V266" s="87"/>
      <c r="W266" s="87"/>
      <c r="X266" s="87"/>
      <c r="Y266" s="66" t="n">
        <f aca="false">SUM(M266:X266)</f>
        <v>6400</v>
      </c>
      <c r="Z266" s="66" t="n">
        <v>12</v>
      </c>
      <c r="AA266" s="66" t="n">
        <f aca="false">Z266*800</f>
        <v>9600</v>
      </c>
      <c r="AB266" s="66" t="n">
        <f aca="false">L266+AA266-Y266</f>
        <v>3200</v>
      </c>
      <c r="AC266" s="66" t="n">
        <v>800</v>
      </c>
      <c r="AD266" s="67"/>
      <c r="AE266" s="71" t="n">
        <f aca="false">AB266+AC266-AD266</f>
        <v>4000</v>
      </c>
      <c r="AF266" s="66" t="n">
        <v>800</v>
      </c>
      <c r="AG266" s="67" t="n">
        <v>4800</v>
      </c>
      <c r="AH266" s="71" t="n">
        <f aca="false">AE266+AF266-AG266</f>
        <v>0</v>
      </c>
      <c r="AI266" s="66" t="n">
        <v>800</v>
      </c>
      <c r="AJ266" s="67" t="n">
        <v>800</v>
      </c>
      <c r="AK266" s="71" t="n">
        <f aca="false">AH266+AI266-AJ266</f>
        <v>0</v>
      </c>
      <c r="AL266" s="66" t="n">
        <v>800</v>
      </c>
      <c r="AM266" s="67"/>
      <c r="AN266" s="71" t="n">
        <f aca="false">AK266+AL266-AM266</f>
        <v>800</v>
      </c>
    </row>
    <row collapsed="false" customFormat="false" customHeight="false" hidden="false" ht="15" outlineLevel="0" r="267">
      <c r="A267" s="19" t="n">
        <f aca="false">VLOOKUP(B267,справочник!$B$2:$E$322,4,0)</f>
        <v>268</v>
      </c>
      <c r="B267" s="0" t="e">
        <f aca="false">CONCATENATE(C267;D267)</f>
        <v>#VALUE!</v>
      </c>
      <c r="C267" s="24" t="n">
        <v>281</v>
      </c>
      <c r="D267" s="29" t="s">
        <v>200</v>
      </c>
      <c r="E267" s="24" t="s">
        <v>627</v>
      </c>
      <c r="F267" s="30" t="n">
        <v>41184</v>
      </c>
      <c r="G267" s="30" t="n">
        <v>41214</v>
      </c>
      <c r="H267" s="31" t="n">
        <f aca="false">INT(($H$325-G267)/30)</f>
        <v>38</v>
      </c>
      <c r="I267" s="24" t="n">
        <f aca="false">H267*1000</f>
        <v>38000</v>
      </c>
      <c r="J267" s="31" t="n">
        <v>28000</v>
      </c>
      <c r="K267" s="31"/>
      <c r="L267" s="59" t="n">
        <f aca="false">I267-J267-K267</f>
        <v>10000</v>
      </c>
      <c r="M267" s="85" t="n">
        <v>3000</v>
      </c>
      <c r="N267" s="85"/>
      <c r="O267" s="85"/>
      <c r="P267" s="85" t="n">
        <v>3000</v>
      </c>
      <c r="Q267" s="85"/>
      <c r="R267" s="85" t="n">
        <v>3000</v>
      </c>
      <c r="S267" s="85"/>
      <c r="T267" s="85"/>
      <c r="U267" s="85" t="n">
        <v>3000</v>
      </c>
      <c r="V267" s="85"/>
      <c r="W267" s="85"/>
      <c r="X267" s="85"/>
      <c r="Y267" s="59" t="n">
        <f aca="false">SUM(M267:X267)</f>
        <v>12000</v>
      </c>
      <c r="Z267" s="59" t="n">
        <v>12</v>
      </c>
      <c r="AA267" s="59" t="n">
        <f aca="false">Z267*800</f>
        <v>9600</v>
      </c>
      <c r="AB267" s="59" t="n">
        <f aca="false">L267+AA267-Y267</f>
        <v>7600</v>
      </c>
      <c r="AC267" s="60" t="n">
        <v>800</v>
      </c>
      <c r="AD267" s="61"/>
      <c r="AE267" s="62" t="n">
        <f aca="false">AB267+AC267-AD267</f>
        <v>8400</v>
      </c>
      <c r="AF267" s="60" t="n">
        <v>800</v>
      </c>
      <c r="AG267" s="61" t="n">
        <v>3000</v>
      </c>
      <c r="AH267" s="62" t="n">
        <f aca="false">AE267+AF267-AG267</f>
        <v>6200</v>
      </c>
      <c r="AI267" s="60" t="n">
        <v>800</v>
      </c>
      <c r="AJ267" s="61"/>
      <c r="AK267" s="62" t="n">
        <f aca="false">AH267+AI267-AJ267</f>
        <v>7000</v>
      </c>
      <c r="AL267" s="60" t="n">
        <v>800</v>
      </c>
      <c r="AM267" s="61"/>
      <c r="AN267" s="62" t="n">
        <f aca="false">AK267+AL267-AM267</f>
        <v>7800</v>
      </c>
    </row>
    <row collapsed="false" customFormat="false" customHeight="false" hidden="false" ht="15" outlineLevel="0" r="268">
      <c r="A268" s="19" t="n">
        <f aca="false">VLOOKUP(B268,справочник!$B$2:$E$322,4,0)</f>
        <v>172</v>
      </c>
      <c r="B268" s="0" t="e">
        <f aca="false">CONCATENATE(C268;D268)</f>
        <v>#VALUE!</v>
      </c>
      <c r="C268" s="24" t="n">
        <v>180</v>
      </c>
      <c r="D268" s="29" t="s">
        <v>47</v>
      </c>
      <c r="E268" s="24" t="s">
        <v>628</v>
      </c>
      <c r="F268" s="30" t="n">
        <v>40809</v>
      </c>
      <c r="G268" s="30" t="n">
        <v>40787</v>
      </c>
      <c r="H268" s="31" t="n">
        <f aca="false">INT(($H$325-G268)/30)</f>
        <v>52</v>
      </c>
      <c r="I268" s="24" t="n">
        <f aca="false">H268*1000</f>
        <v>52000</v>
      </c>
      <c r="J268" s="31" t="n">
        <f aca="false">13000+1000</f>
        <v>14000</v>
      </c>
      <c r="K268" s="31"/>
      <c r="L268" s="59" t="n">
        <f aca="false">I268-J268-K268</f>
        <v>38000</v>
      </c>
      <c r="M268" s="85"/>
      <c r="N268" s="85"/>
      <c r="O268" s="85"/>
      <c r="P268" s="85"/>
      <c r="Q268" s="85"/>
      <c r="R268" s="85"/>
      <c r="S268" s="85"/>
      <c r="T268" s="85"/>
      <c r="U268" s="85"/>
      <c r="V268" s="85" t="n">
        <v>10200</v>
      </c>
      <c r="W268" s="85"/>
      <c r="X268" s="85"/>
      <c r="Y268" s="59" t="n">
        <f aca="false">SUM(M268:X268)</f>
        <v>10200</v>
      </c>
      <c r="Z268" s="59" t="n">
        <v>12</v>
      </c>
      <c r="AA268" s="59" t="n">
        <f aca="false">Z268*800</f>
        <v>9600</v>
      </c>
      <c r="AB268" s="59" t="n">
        <f aca="false">L268+AA268-Y268</f>
        <v>37400</v>
      </c>
      <c r="AC268" s="60" t="n">
        <v>800</v>
      </c>
      <c r="AD268" s="61"/>
      <c r="AE268" s="62" t="n">
        <f aca="false">AB268+AC268-AD268</f>
        <v>38200</v>
      </c>
      <c r="AF268" s="60" t="n">
        <v>800</v>
      </c>
      <c r="AG268" s="61"/>
      <c r="AH268" s="62" t="n">
        <f aca="false">AE268+AF268-AG268</f>
        <v>39000</v>
      </c>
      <c r="AI268" s="60" t="n">
        <v>800</v>
      </c>
      <c r="AJ268" s="61"/>
      <c r="AK268" s="62" t="n">
        <f aca="false">AH268+AI268-AJ268</f>
        <v>39800</v>
      </c>
      <c r="AL268" s="60" t="n">
        <v>800</v>
      </c>
      <c r="AM268" s="61"/>
      <c r="AN268" s="62" t="n">
        <f aca="false">AK268+AL268-AM268</f>
        <v>40600</v>
      </c>
    </row>
    <row collapsed="false" customFormat="false" customHeight="false" hidden="false" ht="15" outlineLevel="0" r="269">
      <c r="A269" s="19" t="n">
        <f aca="false">VLOOKUP(B269,справочник!$B$2:$E$322,4,0)</f>
        <v>116</v>
      </c>
      <c r="B269" s="0" t="e">
        <f aca="false">CONCATENATE(C269;D269)</f>
        <v>#VALUE!</v>
      </c>
      <c r="C269" s="24" t="n">
        <v>121</v>
      </c>
      <c r="D269" s="29" t="s">
        <v>237</v>
      </c>
      <c r="E269" s="24" t="s">
        <v>629</v>
      </c>
      <c r="F269" s="30" t="n">
        <v>41531</v>
      </c>
      <c r="G269" s="30" t="n">
        <v>41518</v>
      </c>
      <c r="H269" s="31" t="n">
        <f aca="false">INT(($H$325-G269)/30)</f>
        <v>28</v>
      </c>
      <c r="I269" s="24" t="n">
        <f aca="false">H269*1000</f>
        <v>28000</v>
      </c>
      <c r="J269" s="31" t="n">
        <v>20000</v>
      </c>
      <c r="K269" s="31"/>
      <c r="L269" s="59" t="n">
        <f aca="false">I269-J269-K269</f>
        <v>8000</v>
      </c>
      <c r="M269" s="85"/>
      <c r="N269" s="85"/>
      <c r="O269" s="85" t="n">
        <v>10000</v>
      </c>
      <c r="P269" s="85"/>
      <c r="Q269" s="85"/>
      <c r="R269" s="85"/>
      <c r="S269" s="85"/>
      <c r="T269" s="85"/>
      <c r="U269" s="85"/>
      <c r="V269" s="85"/>
      <c r="W269" s="85"/>
      <c r="X269" s="85"/>
      <c r="Y269" s="59" t="n">
        <f aca="false">SUM(M269:X269)</f>
        <v>10000</v>
      </c>
      <c r="Z269" s="59" t="n">
        <v>12</v>
      </c>
      <c r="AA269" s="59" t="n">
        <f aca="false">Z269*800</f>
        <v>9600</v>
      </c>
      <c r="AB269" s="59" t="n">
        <f aca="false">L269+AA269-Y269</f>
        <v>7600</v>
      </c>
      <c r="AC269" s="60" t="n">
        <v>800</v>
      </c>
      <c r="AD269" s="61"/>
      <c r="AE269" s="62" t="n">
        <f aca="false">AB269+AC269-AD269</f>
        <v>8400</v>
      </c>
      <c r="AF269" s="60" t="n">
        <v>800</v>
      </c>
      <c r="AG269" s="61"/>
      <c r="AH269" s="62" t="n">
        <f aca="false">AE269+AF269-AG269</f>
        <v>9200</v>
      </c>
      <c r="AI269" s="60" t="n">
        <v>800</v>
      </c>
      <c r="AJ269" s="61"/>
      <c r="AK269" s="62" t="n">
        <f aca="false">AH269+AI269-AJ269</f>
        <v>10000</v>
      </c>
      <c r="AL269" s="60" t="n">
        <v>800</v>
      </c>
      <c r="AM269" s="61"/>
      <c r="AN269" s="62" t="n">
        <f aca="false">AK269+AL269-AM269</f>
        <v>10800</v>
      </c>
    </row>
    <row collapsed="false" customFormat="false" customHeight="false" hidden="false" ht="15" outlineLevel="0" r="270">
      <c r="A270" s="19" t="n">
        <f aca="false">VLOOKUP(B270,справочник!$B$2:$E$322,4,0)</f>
        <v>57</v>
      </c>
      <c r="B270" s="0" t="e">
        <f aca="false">CONCATENATE(C270;D270)</f>
        <v>#VALUE!</v>
      </c>
      <c r="C270" s="24" t="n">
        <v>59</v>
      </c>
      <c r="D270" s="29" t="s">
        <v>153</v>
      </c>
      <c r="E270" s="24" t="s">
        <v>630</v>
      </c>
      <c r="F270" s="30" t="n">
        <v>41044</v>
      </c>
      <c r="G270" s="30" t="n">
        <v>41030</v>
      </c>
      <c r="H270" s="31" t="n">
        <f aca="false">INT(($H$325-G270)/30)</f>
        <v>44</v>
      </c>
      <c r="I270" s="24" t="n">
        <f aca="false">H270*1000</f>
        <v>44000</v>
      </c>
      <c r="J270" s="31" t="n">
        <v>34000</v>
      </c>
      <c r="K270" s="31"/>
      <c r="L270" s="59" t="n">
        <f aca="false">I270-J270-K270</f>
        <v>10000</v>
      </c>
      <c r="M270" s="85"/>
      <c r="N270" s="85"/>
      <c r="O270" s="85"/>
      <c r="P270" s="85" t="n">
        <v>10000</v>
      </c>
      <c r="Q270" s="85"/>
      <c r="R270" s="85"/>
      <c r="S270" s="85"/>
      <c r="T270" s="85"/>
      <c r="U270" s="85"/>
      <c r="V270" s="85"/>
      <c r="W270" s="85"/>
      <c r="X270" s="85"/>
      <c r="Y270" s="59" t="n">
        <f aca="false">SUM(M270:X270)</f>
        <v>10000</v>
      </c>
      <c r="Z270" s="59" t="n">
        <v>0</v>
      </c>
      <c r="AA270" s="59" t="n">
        <f aca="false">Z270*800</f>
        <v>0</v>
      </c>
      <c r="AB270" s="59" t="n">
        <f aca="false">L270+AA270-Y270</f>
        <v>0</v>
      </c>
      <c r="AC270" s="60" t="n">
        <v>0</v>
      </c>
      <c r="AD270" s="61"/>
      <c r="AE270" s="62" t="n">
        <f aca="false">AB270+AC270-AD270</f>
        <v>0</v>
      </c>
      <c r="AF270" s="60" t="n">
        <v>0</v>
      </c>
      <c r="AG270" s="61"/>
      <c r="AH270" s="62" t="n">
        <f aca="false">AE270+AF270-AG270</f>
        <v>0</v>
      </c>
      <c r="AI270" s="60" t="n">
        <v>0</v>
      </c>
      <c r="AJ270" s="61"/>
      <c r="AK270" s="62" t="n">
        <f aca="false">AH270+AI270-AJ270</f>
        <v>0</v>
      </c>
      <c r="AL270" s="60" t="n">
        <v>0</v>
      </c>
      <c r="AM270" s="61"/>
      <c r="AN270" s="62" t="n">
        <f aca="false">AK270+AL270-AM270</f>
        <v>0</v>
      </c>
    </row>
    <row collapsed="false" customFormat="false" customHeight="false" hidden="false" ht="15" outlineLevel="0" r="271">
      <c r="A271" s="19" t="n">
        <f aca="false">VLOOKUP(B271,справочник!$B$2:$E$322,4,0)</f>
        <v>46</v>
      </c>
      <c r="B271" s="0" t="e">
        <f aca="false">CONCATENATE(C271;D271)</f>
        <v>#VALUE!</v>
      </c>
      <c r="C271" s="24" t="n">
        <v>46</v>
      </c>
      <c r="D271" s="29" t="s">
        <v>121</v>
      </c>
      <c r="E271" s="24" t="s">
        <v>631</v>
      </c>
      <c r="F271" s="30" t="n">
        <v>41382</v>
      </c>
      <c r="G271" s="30" t="n">
        <v>41395</v>
      </c>
      <c r="H271" s="31" t="n">
        <f aca="false">INT(($H$325-G271)/30)</f>
        <v>32</v>
      </c>
      <c r="I271" s="24" t="n">
        <f aca="false">H271*1000</f>
        <v>32000</v>
      </c>
      <c r="J271" s="31" t="n">
        <v>17000</v>
      </c>
      <c r="K271" s="31"/>
      <c r="L271" s="59" t="n">
        <f aca="false">I271-J271-K271</f>
        <v>15000</v>
      </c>
      <c r="M271" s="85"/>
      <c r="N271" s="85"/>
      <c r="O271" s="85"/>
      <c r="P271" s="85"/>
      <c r="Q271" s="85"/>
      <c r="R271" s="85"/>
      <c r="S271" s="85"/>
      <c r="T271" s="85"/>
      <c r="U271" s="85"/>
      <c r="V271" s="85"/>
      <c r="W271" s="85"/>
      <c r="X271" s="85"/>
      <c r="Y271" s="59" t="n">
        <f aca="false">SUM(M271:X271)</f>
        <v>0</v>
      </c>
      <c r="Z271" s="59" t="n">
        <v>12</v>
      </c>
      <c r="AA271" s="59" t="n">
        <f aca="false">Z271*800</f>
        <v>9600</v>
      </c>
      <c r="AB271" s="59" t="n">
        <f aca="false">L271+AA271-Y271</f>
        <v>24600</v>
      </c>
      <c r="AC271" s="60" t="n">
        <v>800</v>
      </c>
      <c r="AD271" s="61"/>
      <c r="AE271" s="62" t="n">
        <f aca="false">AB271+AC271-AD271</f>
        <v>25400</v>
      </c>
      <c r="AF271" s="60" t="n">
        <v>800</v>
      </c>
      <c r="AG271" s="61"/>
      <c r="AH271" s="62" t="n">
        <f aca="false">AE271+AF271-AG271</f>
        <v>26200</v>
      </c>
      <c r="AI271" s="60" t="n">
        <v>800</v>
      </c>
      <c r="AJ271" s="61"/>
      <c r="AK271" s="62" t="n">
        <f aca="false">AH271+AI271-AJ271</f>
        <v>27000</v>
      </c>
      <c r="AL271" s="60" t="n">
        <v>800</v>
      </c>
      <c r="AM271" s="61"/>
      <c r="AN271" s="62" t="n">
        <f aca="false">AK271+AL271-AM271</f>
        <v>27800</v>
      </c>
    </row>
    <row collapsed="false" customFormat="false" customHeight="false" hidden="false" ht="15" outlineLevel="0" r="272">
      <c r="A272" s="19" t="n">
        <f aca="false">VLOOKUP(B272,справочник!$B$2:$E$322,4,0)</f>
        <v>73</v>
      </c>
      <c r="B272" s="0" t="e">
        <f aca="false">CONCATENATE(C272;D272)</f>
        <v>#VALUE!</v>
      </c>
      <c r="C272" s="24" t="n">
        <v>79</v>
      </c>
      <c r="D272" s="29" t="s">
        <v>148</v>
      </c>
      <c r="E272" s="24" t="s">
        <v>632</v>
      </c>
      <c r="F272" s="30" t="n">
        <v>41382</v>
      </c>
      <c r="G272" s="30" t="n">
        <v>41395</v>
      </c>
      <c r="H272" s="31" t="n">
        <f aca="false">INT(($H$325-G272)/30)</f>
        <v>32</v>
      </c>
      <c r="I272" s="24" t="n">
        <f aca="false">H272*1000</f>
        <v>32000</v>
      </c>
      <c r="J272" s="31" t="n">
        <v>21000</v>
      </c>
      <c r="K272" s="31"/>
      <c r="L272" s="59" t="n">
        <f aca="false">I272-J272-K272</f>
        <v>11000</v>
      </c>
      <c r="M272" s="85"/>
      <c r="N272" s="85"/>
      <c r="O272" s="85"/>
      <c r="P272" s="85"/>
      <c r="Q272" s="85"/>
      <c r="R272" s="85"/>
      <c r="S272" s="85"/>
      <c r="T272" s="85"/>
      <c r="U272" s="85"/>
      <c r="V272" s="85"/>
      <c r="W272" s="85"/>
      <c r="X272" s="85"/>
      <c r="Y272" s="59" t="n">
        <f aca="false">SUM(M272:X272)</f>
        <v>0</v>
      </c>
      <c r="Z272" s="59" t="n">
        <v>12</v>
      </c>
      <c r="AA272" s="59" t="n">
        <f aca="false">Z272*800</f>
        <v>9600</v>
      </c>
      <c r="AB272" s="59" t="n">
        <f aca="false">L272+AA272-Y272</f>
        <v>20600</v>
      </c>
      <c r="AC272" s="60" t="n">
        <v>800</v>
      </c>
      <c r="AD272" s="61"/>
      <c r="AE272" s="62" t="n">
        <f aca="false">AB272+AC272-AD272</f>
        <v>21400</v>
      </c>
      <c r="AF272" s="60" t="n">
        <v>800</v>
      </c>
      <c r="AG272" s="61"/>
      <c r="AH272" s="62" t="n">
        <f aca="false">AE272+AF272-AG272</f>
        <v>22200</v>
      </c>
      <c r="AI272" s="60" t="n">
        <v>800</v>
      </c>
      <c r="AJ272" s="61"/>
      <c r="AK272" s="62" t="n">
        <f aca="false">AH272+AI272-AJ272</f>
        <v>23000</v>
      </c>
      <c r="AL272" s="60" t="n">
        <v>800</v>
      </c>
      <c r="AM272" s="61"/>
      <c r="AN272" s="62" t="n">
        <f aca="false">AK272+AL272-AM272</f>
        <v>23800</v>
      </c>
    </row>
    <row collapsed="false" customFormat="false" customHeight="false" hidden="false" ht="15" outlineLevel="0" r="273">
      <c r="A273" s="19" t="n">
        <f aca="false">VLOOKUP(B273,справочник!$B$2:$E$322,4,0)</f>
        <v>162</v>
      </c>
      <c r="B273" s="0" t="e">
        <f aca="false">CONCATENATE(C273;D273)</f>
        <v>#VALUE!</v>
      </c>
      <c r="C273" s="24" t="n">
        <v>170</v>
      </c>
      <c r="D273" s="29" t="s">
        <v>306</v>
      </c>
      <c r="E273" s="24" t="s">
        <v>633</v>
      </c>
      <c r="F273" s="30" t="n">
        <v>41800</v>
      </c>
      <c r="G273" s="30" t="n">
        <v>41821</v>
      </c>
      <c r="H273" s="31" t="n">
        <f aca="false">INT(($H$325-G273)/30)</f>
        <v>18</v>
      </c>
      <c r="I273" s="24" t="n">
        <f aca="false">H273*1000</f>
        <v>18000</v>
      </c>
      <c r="J273" s="31" t="n">
        <v>12000</v>
      </c>
      <c r="K273" s="31"/>
      <c r="L273" s="59" t="n">
        <f aca="false">I273-J273-K273</f>
        <v>6000</v>
      </c>
      <c r="M273" s="85"/>
      <c r="N273" s="85"/>
      <c r="O273" s="85"/>
      <c r="P273" s="85"/>
      <c r="Q273" s="85" t="n">
        <v>12000</v>
      </c>
      <c r="R273" s="85"/>
      <c r="S273" s="85"/>
      <c r="T273" s="85"/>
      <c r="U273" s="85"/>
      <c r="V273" s="85"/>
      <c r="W273" s="85"/>
      <c r="X273" s="85"/>
      <c r="Y273" s="59" t="n">
        <f aca="false">SUM(M273:X273)</f>
        <v>12000</v>
      </c>
      <c r="Z273" s="59" t="n">
        <v>12</v>
      </c>
      <c r="AA273" s="59" t="n">
        <f aca="false">Z273*800</f>
        <v>9600</v>
      </c>
      <c r="AB273" s="59" t="n">
        <f aca="false">L273+AA273-Y273</f>
        <v>3600</v>
      </c>
      <c r="AC273" s="60" t="n">
        <v>800</v>
      </c>
      <c r="AD273" s="61"/>
      <c r="AE273" s="62" t="n">
        <f aca="false">AB273+AC273-AD273</f>
        <v>4400</v>
      </c>
      <c r="AF273" s="60" t="n">
        <v>800</v>
      </c>
      <c r="AG273" s="61"/>
      <c r="AH273" s="62" t="n">
        <f aca="false">AE273+AF273-AG273</f>
        <v>5200</v>
      </c>
      <c r="AI273" s="60" t="n">
        <v>800</v>
      </c>
      <c r="AJ273" s="61"/>
      <c r="AK273" s="62" t="n">
        <f aca="false">AH273+AI273-AJ273</f>
        <v>6000</v>
      </c>
      <c r="AL273" s="60" t="n">
        <v>800</v>
      </c>
      <c r="AM273" s="61"/>
      <c r="AN273" s="62" t="n">
        <f aca="false">AK273+AL273-AM273</f>
        <v>6800</v>
      </c>
    </row>
    <row collapsed="false" customFormat="true" customHeight="false" hidden="false" ht="15" outlineLevel="0" r="274" s="64">
      <c r="A274" s="63" t="n">
        <f aca="false">VLOOKUP(B274,справочник!$B$2:$E$322,4,0)</f>
        <v>252</v>
      </c>
      <c r="B274" s="64" t="e">
        <f aca="false">CONCATENATE(C274;D274)</f>
        <v>#VALUE!</v>
      </c>
      <c r="C274" s="36" t="n">
        <v>263</v>
      </c>
      <c r="D274" s="65" t="s">
        <v>171</v>
      </c>
      <c r="E274" s="36" t="s">
        <v>634</v>
      </c>
      <c r="F274" s="34" t="n">
        <v>41967</v>
      </c>
      <c r="G274" s="34" t="n">
        <v>41974</v>
      </c>
      <c r="H274" s="35" t="n">
        <f aca="false">INT(($H$325-G274)/30)</f>
        <v>13</v>
      </c>
      <c r="I274" s="36" t="n">
        <f aca="false">H274*1000</f>
        <v>13000</v>
      </c>
      <c r="J274" s="35" t="n">
        <v>8000</v>
      </c>
      <c r="K274" s="35"/>
      <c r="L274" s="66" t="n">
        <f aca="false">I274-J274-K274</f>
        <v>5000</v>
      </c>
      <c r="M274" s="87"/>
      <c r="N274" s="87" t="n">
        <v>800</v>
      </c>
      <c r="O274" s="87" t="n">
        <v>1600</v>
      </c>
      <c r="P274" s="87"/>
      <c r="Q274" s="87" t="n">
        <v>1600</v>
      </c>
      <c r="R274" s="87"/>
      <c r="S274" s="87" t="n">
        <v>1600</v>
      </c>
      <c r="T274" s="64" t="n">
        <v>800</v>
      </c>
      <c r="U274" s="87" t="n">
        <v>800</v>
      </c>
      <c r="V274" s="87"/>
      <c r="W274" s="64" t="n">
        <v>800</v>
      </c>
      <c r="X274" s="87" t="n">
        <f aca="false">800+800</f>
        <v>1600</v>
      </c>
      <c r="Y274" s="66" t="n">
        <f aca="false">SUM(M274:X274)</f>
        <v>9600</v>
      </c>
      <c r="Z274" s="66" t="n">
        <v>12</v>
      </c>
      <c r="AA274" s="66" t="n">
        <f aca="false">Z274*800</f>
        <v>9600</v>
      </c>
      <c r="AB274" s="66" t="n">
        <f aca="false">L274+AA274-Y274</f>
        <v>5000</v>
      </c>
      <c r="AC274" s="66" t="n">
        <v>800</v>
      </c>
      <c r="AD274" s="67"/>
      <c r="AE274" s="89" t="n">
        <f aca="false">SUM(AB274:AB275)+SUM(AC274:AC275)-SUM(AD274:AD275)</f>
        <v>10800</v>
      </c>
      <c r="AF274" s="66" t="n">
        <v>800</v>
      </c>
      <c r="AG274" s="67" t="n">
        <v>800</v>
      </c>
      <c r="AH274" s="89" t="n">
        <f aca="false">SUM(AE274:AE275)+SUM(AF274:AF275)-SUM(AG274:AG275)</f>
        <v>10800</v>
      </c>
      <c r="AI274" s="66" t="n">
        <v>800</v>
      </c>
      <c r="AJ274" s="67" t="n">
        <v>800</v>
      </c>
      <c r="AK274" s="89" t="n">
        <f aca="false">SUM(AH274:AH275)+SUM(AI274:AI275)-SUM(AJ274:AJ275)</f>
        <v>10800</v>
      </c>
      <c r="AL274" s="66" t="n">
        <v>800</v>
      </c>
      <c r="AM274" s="67" t="n">
        <v>4565.43</v>
      </c>
      <c r="AN274" s="89" t="n">
        <f aca="false">SUM(AK274:AK275)+SUM(AL274:AL275)-SUM(AM274:AM275)</f>
        <v>7034.57</v>
      </c>
    </row>
    <row collapsed="false" customFormat="false" customHeight="false" hidden="false" ht="15" outlineLevel="0" r="275">
      <c r="A275" s="63" t="n">
        <f aca="false">VLOOKUP(B275,справочник!$B$2:$E$322,4,0)</f>
        <v>252</v>
      </c>
      <c r="B275" s="64" t="e">
        <f aca="false">CONCATENATE(C275;D275)</f>
        <v>#VALUE!</v>
      </c>
      <c r="C275" s="36" t="n">
        <v>264</v>
      </c>
      <c r="D275" s="65" t="s">
        <v>171</v>
      </c>
      <c r="E275" s="36" t="s">
        <v>635</v>
      </c>
      <c r="F275" s="34" t="n">
        <v>41967</v>
      </c>
      <c r="G275" s="34" t="n">
        <v>41974</v>
      </c>
      <c r="H275" s="35" t="n">
        <f aca="false">INT(($H$325-G275)/30)</f>
        <v>13</v>
      </c>
      <c r="I275" s="36" t="n">
        <f aca="false">H275*1000</f>
        <v>13000</v>
      </c>
      <c r="J275" s="35" t="n">
        <v>8000</v>
      </c>
      <c r="K275" s="35"/>
      <c r="L275" s="66" t="n">
        <f aca="false">I275-J275-K275</f>
        <v>5000</v>
      </c>
      <c r="M275" s="87"/>
      <c r="N275" s="87"/>
      <c r="O275" s="87"/>
      <c r="P275" s="87"/>
      <c r="Q275" s="87"/>
      <c r="R275" s="87"/>
      <c r="S275" s="87"/>
      <c r="T275" s="87"/>
      <c r="U275" s="87"/>
      <c r="V275" s="87"/>
      <c r="W275" s="87"/>
      <c r="X275" s="87"/>
      <c r="Y275" s="66" t="n">
        <f aca="false">SUM(M275:X275)</f>
        <v>0</v>
      </c>
      <c r="Z275" s="66" t="n">
        <v>0</v>
      </c>
      <c r="AA275" s="66" t="n">
        <f aca="false">Z275*800</f>
        <v>0</v>
      </c>
      <c r="AB275" s="66" t="n">
        <f aca="false">L275+AA275-Y275</f>
        <v>5000</v>
      </c>
      <c r="AC275" s="66" t="n">
        <v>0</v>
      </c>
      <c r="AD275" s="67"/>
      <c r="AE275" s="89"/>
      <c r="AF275" s="66" t="n">
        <v>0</v>
      </c>
      <c r="AG275" s="67"/>
      <c r="AH275" s="89"/>
      <c r="AI275" s="66" t="n">
        <v>0</v>
      </c>
      <c r="AJ275" s="67"/>
      <c r="AK275" s="89"/>
      <c r="AL275" s="66" t="n">
        <v>0</v>
      </c>
      <c r="AM275" s="67"/>
      <c r="AN275" s="89"/>
    </row>
    <row collapsed="false" customFormat="false" customHeight="true" hidden="false" ht="25.5" outlineLevel="0" r="276">
      <c r="A276" s="19" t="n">
        <f aca="false">VLOOKUP(B276,справочник!$B$2:$E$322,4,0)</f>
        <v>45</v>
      </c>
      <c r="B276" s="0" t="e">
        <f aca="false">CONCATENATE(C276;D276)</f>
        <v>#VALUE!</v>
      </c>
      <c r="C276" s="24" t="n">
        <v>45</v>
      </c>
      <c r="D276" s="29" t="s">
        <v>289</v>
      </c>
      <c r="E276" s="24" t="s">
        <v>636</v>
      </c>
      <c r="F276" s="30" t="n">
        <v>41044</v>
      </c>
      <c r="G276" s="30" t="n">
        <v>41030</v>
      </c>
      <c r="H276" s="31" t="n">
        <f aca="false">INT(($H$325-G276)/30)</f>
        <v>44</v>
      </c>
      <c r="I276" s="24" t="n">
        <f aca="false">H276*1000</f>
        <v>44000</v>
      </c>
      <c r="J276" s="31" t="n">
        <f aca="false">27000+8000</f>
        <v>35000</v>
      </c>
      <c r="K276" s="31" t="n">
        <v>9000</v>
      </c>
      <c r="L276" s="59" t="n">
        <f aca="false">I276-J276-K276</f>
        <v>0</v>
      </c>
      <c r="M276" s="85" t="n">
        <v>800</v>
      </c>
      <c r="N276" s="85" t="n">
        <v>800</v>
      </c>
      <c r="O276" s="85" t="n">
        <v>800</v>
      </c>
      <c r="P276" s="85" t="n">
        <v>800</v>
      </c>
      <c r="Q276" s="85" t="n">
        <v>800</v>
      </c>
      <c r="R276" s="85" t="n">
        <v>800</v>
      </c>
      <c r="S276" s="85" t="n">
        <v>800</v>
      </c>
      <c r="T276" s="0" t="n">
        <v>800</v>
      </c>
      <c r="U276" s="85" t="n">
        <v>3200</v>
      </c>
      <c r="V276" s="85" t="n">
        <v>2600</v>
      </c>
      <c r="W276" s="85"/>
      <c r="X276" s="85"/>
      <c r="Y276" s="59" t="n">
        <f aca="false">SUM(M276:X276)</f>
        <v>12200</v>
      </c>
      <c r="Z276" s="59" t="n">
        <v>12</v>
      </c>
      <c r="AA276" s="59" t="n">
        <f aca="false">Z276*800</f>
        <v>9600</v>
      </c>
      <c r="AB276" s="59" t="n">
        <f aca="false">L276+AA276-Y276</f>
        <v>-2600</v>
      </c>
      <c r="AC276" s="60" t="n">
        <v>800</v>
      </c>
      <c r="AD276" s="61"/>
      <c r="AE276" s="62" t="n">
        <f aca="false">AB276+AC276-AD276</f>
        <v>-1800</v>
      </c>
      <c r="AF276" s="60" t="n">
        <v>800</v>
      </c>
      <c r="AG276" s="61" t="n">
        <v>1600</v>
      </c>
      <c r="AH276" s="62" t="n">
        <f aca="false">AE276+AF276-AG276</f>
        <v>-2600</v>
      </c>
      <c r="AI276" s="60" t="n">
        <v>800</v>
      </c>
      <c r="AJ276" s="61"/>
      <c r="AK276" s="62" t="n">
        <f aca="false">AH276+AI276-AJ276</f>
        <v>-1800</v>
      </c>
      <c r="AL276" s="60" t="n">
        <v>800</v>
      </c>
      <c r="AM276" s="61" t="n">
        <v>2400</v>
      </c>
      <c r="AN276" s="62" t="n">
        <f aca="false">AK276+AL276-AM276</f>
        <v>-3400</v>
      </c>
    </row>
    <row collapsed="false" customFormat="false" customHeight="false" hidden="false" ht="15" outlineLevel="0" r="277">
      <c r="A277" s="19" t="n">
        <f aca="false">VLOOKUP(B277,справочник!$B$2:$E$322,4,0)</f>
        <v>319</v>
      </c>
      <c r="B277" s="0" t="e">
        <f aca="false">CONCATENATE(C277;D277)</f>
        <v>#VALUE!</v>
      </c>
      <c r="C277" s="24" t="s">
        <v>637</v>
      </c>
      <c r="D277" s="29" t="s">
        <v>318</v>
      </c>
      <c r="E277" s="24" t="s">
        <v>638</v>
      </c>
      <c r="F277" s="30" t="n">
        <v>40774</v>
      </c>
      <c r="G277" s="30" t="n">
        <v>40787</v>
      </c>
      <c r="H277" s="31" t="n">
        <f aca="false">INT(($H$325-G277)/30)</f>
        <v>52</v>
      </c>
      <c r="I277" s="24" t="n">
        <v>76000</v>
      </c>
      <c r="J277" s="31" t="n">
        <f aca="false">8000+68000</f>
        <v>76000</v>
      </c>
      <c r="K277" s="31"/>
      <c r="L277" s="59" t="n">
        <f aca="false">I277-J277-K277</f>
        <v>0</v>
      </c>
      <c r="M277" s="85"/>
      <c r="N277" s="85" t="n">
        <v>2000</v>
      </c>
      <c r="O277" s="85"/>
      <c r="P277" s="85" t="n">
        <v>4000</v>
      </c>
      <c r="Q277" s="85" t="n">
        <v>4000</v>
      </c>
      <c r="R277" s="85"/>
      <c r="S277" s="85"/>
      <c r="T277" s="0" t="n">
        <v>4000</v>
      </c>
      <c r="U277" s="85"/>
      <c r="V277" s="85" t="n">
        <v>4000</v>
      </c>
      <c r="W277" s="18" t="n">
        <v>4000</v>
      </c>
      <c r="X277" s="85"/>
      <c r="Y277" s="59" t="n">
        <f aca="false">SUM(M277:X277)</f>
        <v>22000</v>
      </c>
      <c r="Z277" s="59" t="n">
        <v>12</v>
      </c>
      <c r="AA277" s="59" t="n">
        <f aca="false">Z277*800</f>
        <v>9600</v>
      </c>
      <c r="AB277" s="59" t="n">
        <f aca="false">L277+AA277-Y277</f>
        <v>-12400</v>
      </c>
      <c r="AC277" s="60" t="n">
        <v>800</v>
      </c>
      <c r="AD277" s="61"/>
      <c r="AE277" s="62" t="n">
        <f aca="false">AB277+AC277-AD277</f>
        <v>-11600</v>
      </c>
      <c r="AF277" s="60" t="n">
        <v>800</v>
      </c>
      <c r="AG277" s="61" t="n">
        <v>4000</v>
      </c>
      <c r="AH277" s="62" t="n">
        <f aca="false">AE277+AF277-AG277</f>
        <v>-14800</v>
      </c>
      <c r="AI277" s="60" t="n">
        <v>800</v>
      </c>
      <c r="AJ277" s="61"/>
      <c r="AK277" s="62" t="n">
        <f aca="false">AH277+AI277-AJ277</f>
        <v>-14000</v>
      </c>
      <c r="AL277" s="60" t="n">
        <v>800</v>
      </c>
      <c r="AM277" s="61"/>
      <c r="AN277" s="62" t="n">
        <f aca="false">AK277+AL277-AM277</f>
        <v>-13200</v>
      </c>
    </row>
    <row collapsed="false" customFormat="false" customHeight="false" hidden="false" ht="15" outlineLevel="0" r="278">
      <c r="A278" s="19" t="n">
        <f aca="false">VLOOKUP(B278,справочник!$B$2:$E$322,4,0)</f>
        <v>93</v>
      </c>
      <c r="B278" s="0" t="e">
        <f aca="false">CONCATENATE(C278;D278)</f>
        <v>#VALUE!</v>
      </c>
      <c r="C278" s="24" t="n">
        <v>98</v>
      </c>
      <c r="D278" s="29" t="s">
        <v>107</v>
      </c>
      <c r="E278" s="24" t="s">
        <v>639</v>
      </c>
      <c r="F278" s="30" t="n">
        <v>40774</v>
      </c>
      <c r="G278" s="30" t="n">
        <v>40787</v>
      </c>
      <c r="H278" s="31" t="n">
        <f aca="false">INT(($H$325-G278)/30)</f>
        <v>52</v>
      </c>
      <c r="I278" s="24" t="n">
        <f aca="false">H278*1000</f>
        <v>52000</v>
      </c>
      <c r="J278" s="31" t="n">
        <f aca="false">4000+30000</f>
        <v>34000</v>
      </c>
      <c r="K278" s="31"/>
      <c r="L278" s="59" t="n">
        <f aca="false">I278-J278-K278</f>
        <v>18000</v>
      </c>
      <c r="M278" s="85"/>
      <c r="N278" s="85"/>
      <c r="O278" s="85"/>
      <c r="P278" s="85"/>
      <c r="Q278" s="85"/>
      <c r="R278" s="85"/>
      <c r="S278" s="85"/>
      <c r="T278" s="85"/>
      <c r="U278" s="85"/>
      <c r="V278" s="85"/>
      <c r="W278" s="85"/>
      <c r="X278" s="85"/>
      <c r="Y278" s="59" t="n">
        <f aca="false">SUM(M278:X278)</f>
        <v>0</v>
      </c>
      <c r="Z278" s="59" t="n">
        <v>12</v>
      </c>
      <c r="AA278" s="59" t="n">
        <f aca="false">Z278*800</f>
        <v>9600</v>
      </c>
      <c r="AB278" s="59" t="n">
        <f aca="false">L278+AA278-Y278</f>
        <v>27600</v>
      </c>
      <c r="AC278" s="60" t="n">
        <v>800</v>
      </c>
      <c r="AD278" s="61"/>
      <c r="AE278" s="62" t="n">
        <f aca="false">AB278+AC278-AD278</f>
        <v>28400</v>
      </c>
      <c r="AF278" s="60" t="n">
        <v>800</v>
      </c>
      <c r="AG278" s="61"/>
      <c r="AH278" s="62" t="n">
        <f aca="false">AE278+AF278-AG278</f>
        <v>29200</v>
      </c>
      <c r="AI278" s="60" t="n">
        <v>800</v>
      </c>
      <c r="AJ278" s="61"/>
      <c r="AK278" s="62" t="n">
        <f aca="false">AH278+AI278-AJ278</f>
        <v>30000</v>
      </c>
      <c r="AL278" s="60" t="n">
        <v>800</v>
      </c>
      <c r="AM278" s="61"/>
      <c r="AN278" s="62" t="n">
        <f aca="false">AK278+AL278-AM278</f>
        <v>30800</v>
      </c>
    </row>
    <row collapsed="false" customFormat="false" customHeight="false" hidden="false" ht="15" outlineLevel="0" r="279">
      <c r="A279" s="19" t="n">
        <f aca="false">VLOOKUP(B279,справочник!$B$2:$E$322,4,0)</f>
        <v>255</v>
      </c>
      <c r="B279" s="0" t="e">
        <f aca="false">CONCATENATE(C279;D279)</f>
        <v>#VALUE!</v>
      </c>
      <c r="C279" s="24" t="n">
        <v>268</v>
      </c>
      <c r="D279" s="29" t="s">
        <v>308</v>
      </c>
      <c r="E279" s="24" t="s">
        <v>640</v>
      </c>
      <c r="F279" s="30" t="n">
        <v>40959</v>
      </c>
      <c r="G279" s="30" t="n">
        <v>40969</v>
      </c>
      <c r="H279" s="31" t="n">
        <f aca="false">INT(($H$325-G279)/30)</f>
        <v>46</v>
      </c>
      <c r="I279" s="24" t="n">
        <f aca="false">H279*1000</f>
        <v>46000</v>
      </c>
      <c r="J279" s="31" t="n">
        <f aca="false">37000+9000</f>
        <v>46000</v>
      </c>
      <c r="K279" s="31"/>
      <c r="L279" s="59" t="n">
        <f aca="false">I279-J279-K279</f>
        <v>0</v>
      </c>
      <c r="M279" s="85"/>
      <c r="N279" s="85"/>
      <c r="O279" s="85" t="n">
        <v>3200</v>
      </c>
      <c r="P279" s="85"/>
      <c r="Q279" s="85" t="n">
        <v>3200</v>
      </c>
      <c r="R279" s="85"/>
      <c r="S279" s="85"/>
      <c r="T279" s="85"/>
      <c r="U279" s="85"/>
      <c r="V279" s="85"/>
      <c r="W279" s="85" t="n">
        <v>3200</v>
      </c>
      <c r="X279" s="85"/>
      <c r="Y279" s="59" t="n">
        <f aca="false">SUM(M279:X279)</f>
        <v>9600</v>
      </c>
      <c r="Z279" s="59" t="n">
        <v>12</v>
      </c>
      <c r="AA279" s="59" t="n">
        <f aca="false">Z279*800</f>
        <v>9600</v>
      </c>
      <c r="AB279" s="59" t="n">
        <f aca="false">L279+AA279-Y279</f>
        <v>0</v>
      </c>
      <c r="AC279" s="60" t="n">
        <v>800</v>
      </c>
      <c r="AD279" s="61"/>
      <c r="AE279" s="62" t="n">
        <f aca="false">AB279+AC279-AD279</f>
        <v>800</v>
      </c>
      <c r="AF279" s="60" t="n">
        <v>800</v>
      </c>
      <c r="AG279" s="61"/>
      <c r="AH279" s="62" t="n">
        <f aca="false">AE279+AF279-AG279</f>
        <v>1600</v>
      </c>
      <c r="AI279" s="60" t="n">
        <v>800</v>
      </c>
      <c r="AJ279" s="61" t="n">
        <v>4800</v>
      </c>
      <c r="AK279" s="62" t="n">
        <f aca="false">AH279+AI279-AJ279</f>
        <v>-2400</v>
      </c>
      <c r="AL279" s="60" t="n">
        <v>800</v>
      </c>
      <c r="AM279" s="61"/>
      <c r="AN279" s="62" t="n">
        <f aca="false">AK279+AL279-AM279</f>
        <v>-1600</v>
      </c>
    </row>
    <row collapsed="false" customFormat="false" customHeight="false" hidden="false" ht="15" outlineLevel="0" r="280">
      <c r="A280" s="19" t="n">
        <f aca="false">VLOOKUP(B280,справочник!$B$2:$E$322,4,0)</f>
        <v>167</v>
      </c>
      <c r="B280" s="0" t="e">
        <f aca="false">CONCATENATE(C280;D280)</f>
        <v>#VALUE!</v>
      </c>
      <c r="C280" s="24" t="n">
        <v>175</v>
      </c>
      <c r="D280" s="29" t="s">
        <v>137</v>
      </c>
      <c r="E280" s="24" t="s">
        <v>641</v>
      </c>
      <c r="F280" s="30" t="n">
        <v>41613</v>
      </c>
      <c r="G280" s="30" t="n">
        <v>41640</v>
      </c>
      <c r="H280" s="31" t="n">
        <f aca="false">INT(($H$325-G280)/30)</f>
        <v>24</v>
      </c>
      <c r="I280" s="24" t="n">
        <f aca="false">H280*1000</f>
        <v>24000</v>
      </c>
      <c r="J280" s="31" t="n">
        <v>12000</v>
      </c>
      <c r="K280" s="31"/>
      <c r="L280" s="59" t="n">
        <f aca="false">I280-J280-K280</f>
        <v>12000</v>
      </c>
      <c r="M280" s="85"/>
      <c r="N280" s="85"/>
      <c r="O280" s="85"/>
      <c r="P280" s="85"/>
      <c r="Q280" s="85"/>
      <c r="R280" s="85"/>
      <c r="S280" s="85"/>
      <c r="T280" s="85"/>
      <c r="U280" s="85"/>
      <c r="V280" s="85"/>
      <c r="W280" s="85"/>
      <c r="X280" s="85"/>
      <c r="Y280" s="59" t="n">
        <f aca="false">SUM(M280:X280)</f>
        <v>0</v>
      </c>
      <c r="Z280" s="59" t="n">
        <v>12</v>
      </c>
      <c r="AA280" s="59" t="n">
        <f aca="false">Z280*800</f>
        <v>9600</v>
      </c>
      <c r="AB280" s="59" t="n">
        <f aca="false">L280+AA280-Y280</f>
        <v>21600</v>
      </c>
      <c r="AC280" s="60" t="n">
        <v>800</v>
      </c>
      <c r="AD280" s="61"/>
      <c r="AE280" s="62" t="n">
        <f aca="false">AB280+AC280-AD280</f>
        <v>22400</v>
      </c>
      <c r="AF280" s="60" t="n">
        <v>800</v>
      </c>
      <c r="AG280" s="61"/>
      <c r="AH280" s="62" t="n">
        <f aca="false">AE280+AF280-AG280</f>
        <v>23200</v>
      </c>
      <c r="AI280" s="60" t="n">
        <v>800</v>
      </c>
      <c r="AJ280" s="61"/>
      <c r="AK280" s="62" t="n">
        <f aca="false">AH280+AI280-AJ280</f>
        <v>24000</v>
      </c>
      <c r="AL280" s="60" t="n">
        <v>800</v>
      </c>
      <c r="AM280" s="61"/>
      <c r="AN280" s="62" t="n">
        <f aca="false">AK280+AL280-AM280</f>
        <v>24800</v>
      </c>
    </row>
    <row collapsed="false" customFormat="false" customHeight="true" hidden="false" ht="25.5" outlineLevel="0" r="281">
      <c r="A281" s="19" t="n">
        <f aca="false">VLOOKUP(B281,справочник!$B$2:$E$322,4,0)</f>
        <v>99</v>
      </c>
      <c r="B281" s="0" t="e">
        <f aca="false">CONCATENATE(C281;D281)</f>
        <v>#VALUE!</v>
      </c>
      <c r="C281" s="24" t="n">
        <v>104</v>
      </c>
      <c r="D281" s="29" t="s">
        <v>64</v>
      </c>
      <c r="E281" s="24" t="s">
        <v>642</v>
      </c>
      <c r="F281" s="30" t="n">
        <v>41104</v>
      </c>
      <c r="G281" s="30" t="n">
        <v>41091</v>
      </c>
      <c r="H281" s="31" t="n">
        <f aca="false">INT(($H$325-G281)/30)</f>
        <v>42</v>
      </c>
      <c r="I281" s="24" t="n">
        <f aca="false">H281*1000</f>
        <v>42000</v>
      </c>
      <c r="J281" s="31" t="n">
        <v>13000</v>
      </c>
      <c r="K281" s="31"/>
      <c r="L281" s="59" t="n">
        <f aca="false">I281-J281-K281</f>
        <v>29000</v>
      </c>
      <c r="M281" s="85"/>
      <c r="N281" s="85"/>
      <c r="O281" s="85"/>
      <c r="P281" s="85"/>
      <c r="Q281" s="85"/>
      <c r="R281" s="85"/>
      <c r="S281" s="85"/>
      <c r="T281" s="85"/>
      <c r="U281" s="85"/>
      <c r="V281" s="85"/>
      <c r="W281" s="85"/>
      <c r="X281" s="85"/>
      <c r="Y281" s="59" t="n">
        <f aca="false">SUM(M281:X281)</f>
        <v>0</v>
      </c>
      <c r="Z281" s="59" t="n">
        <v>12</v>
      </c>
      <c r="AA281" s="59" t="n">
        <f aca="false">Z281*800</f>
        <v>9600</v>
      </c>
      <c r="AB281" s="59" t="n">
        <f aca="false">L281+AA281-Y281</f>
        <v>38600</v>
      </c>
      <c r="AC281" s="60" t="n">
        <v>800</v>
      </c>
      <c r="AD281" s="61"/>
      <c r="AE281" s="62" t="n">
        <f aca="false">AB281+AC281-AD281</f>
        <v>39400</v>
      </c>
      <c r="AF281" s="60" t="n">
        <v>800</v>
      </c>
      <c r="AG281" s="61"/>
      <c r="AH281" s="62" t="n">
        <f aca="false">AE281+AF281-AG281</f>
        <v>40200</v>
      </c>
      <c r="AI281" s="60" t="n">
        <v>800</v>
      </c>
      <c r="AJ281" s="61"/>
      <c r="AK281" s="62" t="n">
        <f aca="false">AH281+AI281-AJ281</f>
        <v>41000</v>
      </c>
      <c r="AL281" s="60" t="n">
        <v>800</v>
      </c>
      <c r="AM281" s="61"/>
      <c r="AN281" s="62" t="n">
        <f aca="false">AK281+AL281-AM281</f>
        <v>41800</v>
      </c>
    </row>
    <row collapsed="false" customFormat="false" customHeight="false" hidden="false" ht="15" outlineLevel="0" r="282">
      <c r="A282" s="19" t="n">
        <f aca="false">VLOOKUP(B282,справочник!$B$2:$E$322,4,0)</f>
        <v>146</v>
      </c>
      <c r="B282" s="0" t="e">
        <f aca="false">CONCATENATE(C282;D282)</f>
        <v>#VALUE!</v>
      </c>
      <c r="C282" s="24" t="n">
        <v>154</v>
      </c>
      <c r="D282" s="29" t="s">
        <v>265</v>
      </c>
      <c r="E282" s="24" t="s">
        <v>643</v>
      </c>
      <c r="F282" s="30" t="n">
        <v>40757</v>
      </c>
      <c r="G282" s="30" t="n">
        <v>40756</v>
      </c>
      <c r="H282" s="31" t="n">
        <f aca="false">INT(($H$325-G282)/30)</f>
        <v>53</v>
      </c>
      <c r="I282" s="24" t="n">
        <f aca="false">H282*1000</f>
        <v>53000</v>
      </c>
      <c r="J282" s="31" t="n">
        <f aca="false">31000</f>
        <v>31000</v>
      </c>
      <c r="K282" s="31"/>
      <c r="L282" s="59" t="n">
        <f aca="false">I282-J282-K282</f>
        <v>22000</v>
      </c>
      <c r="M282" s="85"/>
      <c r="N282" s="85"/>
      <c r="O282" s="85"/>
      <c r="P282" s="85"/>
      <c r="Q282" s="85"/>
      <c r="R282" s="85" t="n">
        <v>26000</v>
      </c>
      <c r="S282" s="85"/>
      <c r="T282" s="85"/>
      <c r="U282" s="85"/>
      <c r="V282" s="85"/>
      <c r="W282" s="85"/>
      <c r="X282" s="85"/>
      <c r="Y282" s="59" t="n">
        <f aca="false">SUM(M282:X282)</f>
        <v>26000</v>
      </c>
      <c r="Z282" s="59" t="n">
        <v>12</v>
      </c>
      <c r="AA282" s="59" t="n">
        <f aca="false">Z282*800</f>
        <v>9600</v>
      </c>
      <c r="AB282" s="59" t="n">
        <f aca="false">L282+AA282-Y282</f>
        <v>5600</v>
      </c>
      <c r="AC282" s="60" t="n">
        <v>800</v>
      </c>
      <c r="AD282" s="61"/>
      <c r="AE282" s="62" t="n">
        <f aca="false">AB282+AC282-AD282</f>
        <v>6400</v>
      </c>
      <c r="AF282" s="60" t="n">
        <v>800</v>
      </c>
      <c r="AG282" s="61"/>
      <c r="AH282" s="62" t="n">
        <f aca="false">AE282+AF282-AG282</f>
        <v>7200</v>
      </c>
      <c r="AI282" s="60" t="n">
        <v>800</v>
      </c>
      <c r="AJ282" s="61"/>
      <c r="AK282" s="62" t="n">
        <f aca="false">AH282+AI282-AJ282</f>
        <v>8000</v>
      </c>
      <c r="AL282" s="60" t="n">
        <v>800</v>
      </c>
      <c r="AM282" s="61"/>
      <c r="AN282" s="62" t="n">
        <f aca="false">AK282+AL282-AM282</f>
        <v>8800</v>
      </c>
    </row>
    <row collapsed="false" customFormat="false" customHeight="false" hidden="false" ht="15" outlineLevel="0" r="283">
      <c r="A283" s="19" t="e">
        <f aca="false">VLOOKUP(B283,справочник!$B$2:$E$322,4,0)</f>
        <v>#VALUE!</v>
      </c>
      <c r="B283" s="0" t="e">
        <f aca="false">CONCATENATE(C283;D283)</f>
        <v>#VALUE!</v>
      </c>
      <c r="C283" s="24" t="n">
        <v>29</v>
      </c>
      <c r="D283" s="53" t="s">
        <v>713</v>
      </c>
      <c r="E283" s="24"/>
      <c r="F283" s="30" t="n">
        <v>41130</v>
      </c>
      <c r="G283" s="30" t="n">
        <v>41122</v>
      </c>
      <c r="H283" s="31" t="n">
        <f aca="false">INT(($H$325-G283)/30)</f>
        <v>41</v>
      </c>
      <c r="I283" s="24" t="n">
        <f aca="false">H283*1000</f>
        <v>41000</v>
      </c>
      <c r="J283" s="31" t="n">
        <v>32000</v>
      </c>
      <c r="K283" s="31"/>
      <c r="L283" s="59" t="n">
        <f aca="false">I283-J283-K283</f>
        <v>9000</v>
      </c>
      <c r="M283" s="85" t="n">
        <v>9000</v>
      </c>
      <c r="N283" s="85" t="n">
        <v>1600</v>
      </c>
      <c r="O283" s="85" t="n">
        <v>800</v>
      </c>
      <c r="P283" s="85" t="n">
        <v>1600</v>
      </c>
      <c r="Q283" s="85"/>
      <c r="R283" s="85"/>
      <c r="S283" s="85" t="n">
        <v>2400</v>
      </c>
      <c r="T283" s="85"/>
      <c r="U283" s="85" t="n">
        <v>800</v>
      </c>
      <c r="V283" s="85" t="n">
        <v>1600</v>
      </c>
      <c r="W283" s="85"/>
      <c r="X283" s="85" t="n">
        <v>1600</v>
      </c>
      <c r="Y283" s="59" t="n">
        <f aca="false">SUM(M283:X283)</f>
        <v>19400</v>
      </c>
      <c r="Z283" s="59" t="n">
        <v>12</v>
      </c>
      <c r="AA283" s="59" t="n">
        <f aca="false">Z283*800</f>
        <v>9600</v>
      </c>
      <c r="AB283" s="59" t="n">
        <f aca="false">L283+AA283-Y283</f>
        <v>-800</v>
      </c>
      <c r="AC283" s="60" t="n">
        <v>800</v>
      </c>
      <c r="AD283" s="61"/>
      <c r="AE283" s="62" t="n">
        <f aca="false">AB283+AC283-AD283</f>
        <v>0</v>
      </c>
      <c r="AF283" s="60" t="n">
        <v>800</v>
      </c>
      <c r="AG283" s="61"/>
      <c r="AH283" s="62" t="n">
        <f aca="false">AE283+AF283-AG283</f>
        <v>800</v>
      </c>
      <c r="AI283" s="60" t="n">
        <v>800</v>
      </c>
      <c r="AJ283" s="61" t="n">
        <v>1600</v>
      </c>
      <c r="AK283" s="62" t="n">
        <f aca="false">AH283+AI283-AJ283</f>
        <v>0</v>
      </c>
      <c r="AL283" s="60" t="n">
        <v>800</v>
      </c>
      <c r="AM283" s="61" t="n">
        <v>800</v>
      </c>
      <c r="AN283" s="62" t="n">
        <f aca="false">AK283+AL283-AM283</f>
        <v>0</v>
      </c>
    </row>
    <row collapsed="false" customFormat="false" customHeight="false" hidden="false" ht="15" outlineLevel="0" r="284">
      <c r="A284" s="19" t="n">
        <f aca="false">VLOOKUP(B284,справочник!$B$2:$E$322,4,0)</f>
        <v>28</v>
      </c>
      <c r="B284" s="0" t="e">
        <f aca="false">CONCATENATE(C284;D284)</f>
        <v>#VALUE!</v>
      </c>
      <c r="C284" s="24" t="n">
        <v>28</v>
      </c>
      <c r="D284" s="29" t="s">
        <v>254</v>
      </c>
      <c r="E284" s="24" t="s">
        <v>645</v>
      </c>
      <c r="F284" s="30" t="n">
        <v>41039</v>
      </c>
      <c r="G284" s="30" t="n">
        <v>41030</v>
      </c>
      <c r="H284" s="31" t="n">
        <f aca="false">INT(($H$325-G284)/30)</f>
        <v>44</v>
      </c>
      <c r="I284" s="24" t="n">
        <f aca="false">H284*1000</f>
        <v>44000</v>
      </c>
      <c r="J284" s="31" t="n">
        <f aca="false">33000+8000</f>
        <v>41000</v>
      </c>
      <c r="K284" s="31"/>
      <c r="L284" s="59" t="n">
        <f aca="false">I284-J284-K284</f>
        <v>3000</v>
      </c>
      <c r="M284" s="85"/>
      <c r="N284" s="85" t="n">
        <v>4000</v>
      </c>
      <c r="O284" s="85"/>
      <c r="P284" s="85" t="n">
        <v>2400</v>
      </c>
      <c r="Q284" s="85"/>
      <c r="R284" s="85"/>
      <c r="S284" s="85"/>
      <c r="T284" s="85"/>
      <c r="U284" s="85" t="n">
        <v>5600</v>
      </c>
      <c r="V284" s="85"/>
      <c r="W284" s="85"/>
      <c r="X284" s="85"/>
      <c r="Y284" s="59" t="n">
        <f aca="false">SUM(M284:X284)</f>
        <v>12000</v>
      </c>
      <c r="Z284" s="59" t="n">
        <v>12</v>
      </c>
      <c r="AA284" s="59" t="n">
        <f aca="false">Z284*800</f>
        <v>9600</v>
      </c>
      <c r="AB284" s="59" t="n">
        <f aca="false">L284+AA284-Y284</f>
        <v>600</v>
      </c>
      <c r="AC284" s="60" t="n">
        <v>800</v>
      </c>
      <c r="AD284" s="61"/>
      <c r="AE284" s="62" t="n">
        <f aca="false">AB284+AC284-AD284</f>
        <v>1400</v>
      </c>
      <c r="AF284" s="60" t="n">
        <v>800</v>
      </c>
      <c r="AG284" s="61"/>
      <c r="AH284" s="62" t="n">
        <f aca="false">AE284+AF284-AG284</f>
        <v>2200</v>
      </c>
      <c r="AI284" s="60" t="n">
        <v>800</v>
      </c>
      <c r="AJ284" s="61"/>
      <c r="AK284" s="62" t="n">
        <f aca="false">AH284+AI284-AJ284</f>
        <v>3000</v>
      </c>
      <c r="AL284" s="60" t="n">
        <v>800</v>
      </c>
      <c r="AM284" s="61" t="n">
        <v>4800</v>
      </c>
      <c r="AN284" s="62" t="n">
        <f aca="false">AK284+AL284-AM284</f>
        <v>-1000</v>
      </c>
    </row>
    <row collapsed="false" customFormat="false" customHeight="false" hidden="false" ht="15" outlineLevel="0" r="285">
      <c r="A285" s="19" t="n">
        <f aca="false">VLOOKUP(B285,справочник!$B$2:$E$322,4,0)</f>
        <v>27</v>
      </c>
      <c r="B285" s="0" t="e">
        <f aca="false">CONCATENATE(C285;D285)</f>
        <v>#VALUE!</v>
      </c>
      <c r="C285" s="24" t="n">
        <v>27</v>
      </c>
      <c r="D285" s="29" t="s">
        <v>141</v>
      </c>
      <c r="E285" s="24" t="s">
        <v>646</v>
      </c>
      <c r="F285" s="30" t="n">
        <v>41260</v>
      </c>
      <c r="G285" s="30" t="n">
        <v>41275</v>
      </c>
      <c r="H285" s="31" t="n">
        <f aca="false">INT(($H$325-G285)/30)</f>
        <v>36</v>
      </c>
      <c r="I285" s="24" t="n">
        <f aca="false">H285*1000</f>
        <v>36000</v>
      </c>
      <c r="J285" s="31" t="n">
        <v>24000</v>
      </c>
      <c r="K285" s="31"/>
      <c r="L285" s="59" t="n">
        <f aca="false">I285-J285-K285</f>
        <v>12000</v>
      </c>
      <c r="M285" s="85"/>
      <c r="N285" s="85"/>
      <c r="O285" s="85"/>
      <c r="P285" s="85"/>
      <c r="Q285" s="85"/>
      <c r="R285" s="85"/>
      <c r="S285" s="85"/>
      <c r="T285" s="85"/>
      <c r="U285" s="85"/>
      <c r="V285" s="85"/>
      <c r="W285" s="85"/>
      <c r="X285" s="85"/>
      <c r="Y285" s="59" t="n">
        <f aca="false">SUM(M285:X285)</f>
        <v>0</v>
      </c>
      <c r="Z285" s="59" t="n">
        <v>12</v>
      </c>
      <c r="AA285" s="59" t="n">
        <f aca="false">Z285*800</f>
        <v>9600</v>
      </c>
      <c r="AB285" s="59" t="n">
        <f aca="false">L285+AA285-Y285</f>
        <v>21600</v>
      </c>
      <c r="AC285" s="60" t="n">
        <v>800</v>
      </c>
      <c r="AD285" s="61"/>
      <c r="AE285" s="62" t="n">
        <f aca="false">AB285+AC285-AD285</f>
        <v>22400</v>
      </c>
      <c r="AF285" s="60" t="n">
        <v>800</v>
      </c>
      <c r="AG285" s="61"/>
      <c r="AH285" s="62" t="n">
        <f aca="false">AE285+AF285-AG285</f>
        <v>23200</v>
      </c>
      <c r="AI285" s="60" t="n">
        <v>800</v>
      </c>
      <c r="AJ285" s="61"/>
      <c r="AK285" s="62" t="n">
        <f aca="false">AH285+AI285-AJ285</f>
        <v>24000</v>
      </c>
      <c r="AL285" s="60" t="n">
        <v>800</v>
      </c>
      <c r="AM285" s="61"/>
      <c r="AN285" s="62" t="n">
        <f aca="false">AK285+AL285-AM285</f>
        <v>24800</v>
      </c>
    </row>
    <row collapsed="false" customFormat="true" customHeight="false" hidden="false" ht="15" outlineLevel="0" r="286" s="64">
      <c r="A286" s="63" t="n">
        <f aca="false">VLOOKUP(B286,справочник!$B$2:$E$322,4,0)</f>
        <v>135</v>
      </c>
      <c r="B286" s="64" t="e">
        <f aca="false">CONCATENATE(C286;D286)</f>
        <v>#VALUE!</v>
      </c>
      <c r="C286" s="36" t="s">
        <v>647</v>
      </c>
      <c r="D286" s="65" t="s">
        <v>60</v>
      </c>
      <c r="E286" s="36" t="s">
        <v>648</v>
      </c>
      <c r="F286" s="34" t="n">
        <v>40834</v>
      </c>
      <c r="G286" s="34" t="n">
        <v>40817</v>
      </c>
      <c r="H286" s="35" t="n">
        <v>11</v>
      </c>
      <c r="I286" s="36" t="n">
        <f aca="false">H286*1000</f>
        <v>11000</v>
      </c>
      <c r="J286" s="35" t="n">
        <v>1000</v>
      </c>
      <c r="K286" s="35"/>
      <c r="L286" s="66" t="n">
        <f aca="false">I286-J286-K286</f>
        <v>10000</v>
      </c>
      <c r="M286" s="87"/>
      <c r="N286" s="87"/>
      <c r="O286" s="87" t="n">
        <v>8000</v>
      </c>
      <c r="P286" s="87"/>
      <c r="Q286" s="87"/>
      <c r="R286" s="87" t="n">
        <v>21000</v>
      </c>
      <c r="S286" s="87"/>
      <c r="T286" s="87"/>
      <c r="U286" s="87"/>
      <c r="V286" s="87"/>
      <c r="W286" s="87"/>
      <c r="X286" s="87"/>
      <c r="Y286" s="66" t="n">
        <f aca="false">SUM(M286:X286)</f>
        <v>29000</v>
      </c>
      <c r="Z286" s="66" t="n">
        <v>12</v>
      </c>
      <c r="AA286" s="66" t="n">
        <f aca="false">Z286*800</f>
        <v>9600</v>
      </c>
      <c r="AB286" s="66" t="n">
        <f aca="false">L286+AA286-Y286</f>
        <v>-9400</v>
      </c>
      <c r="AC286" s="66" t="n">
        <v>800</v>
      </c>
      <c r="AD286" s="67"/>
      <c r="AE286" s="68" t="n">
        <f aca="false">SUM(AB286:AB288)+SUM(AC286:AC288)-SUM(AD286:AD288)</f>
        <v>1400</v>
      </c>
      <c r="AF286" s="66" t="n">
        <v>800</v>
      </c>
      <c r="AG286" s="67"/>
      <c r="AH286" s="68" t="n">
        <f aca="false">SUM(AE286:AE288)+SUM(AF286:AF288)-SUM(AG286:AG288)</f>
        <v>2200</v>
      </c>
      <c r="AI286" s="66" t="n">
        <v>800</v>
      </c>
      <c r="AJ286" s="67"/>
      <c r="AK286" s="68" t="n">
        <f aca="false">SUM(AH286:AH288)+SUM(AI286:AI288)-SUM(AJ286:AJ288)</f>
        <v>3000</v>
      </c>
      <c r="AL286" s="66" t="n">
        <v>800</v>
      </c>
      <c r="AM286" s="67"/>
      <c r="AN286" s="68" t="n">
        <f aca="false">SUM(AK286:AK288)+SUM(AL286:AL288)-SUM(AM286:AM288)</f>
        <v>3800</v>
      </c>
    </row>
    <row collapsed="false" customFormat="false" customHeight="false" hidden="false" ht="15" outlineLevel="0" r="287">
      <c r="A287" s="63" t="n">
        <f aca="false">VLOOKUP(B287,справочник!$B$2:$E$322,4,0)</f>
        <v>135</v>
      </c>
      <c r="B287" s="64" t="e">
        <f aca="false">CONCATENATE(C287;D287)</f>
        <v>#VALUE!</v>
      </c>
      <c r="C287" s="36" t="s">
        <v>647</v>
      </c>
      <c r="D287" s="65" t="s">
        <v>60</v>
      </c>
      <c r="E287" s="36"/>
      <c r="F287" s="34" t="n">
        <v>40834</v>
      </c>
      <c r="G287" s="34" t="n">
        <v>40817</v>
      </c>
      <c r="H287" s="35" t="n">
        <v>11</v>
      </c>
      <c r="I287" s="36" t="n">
        <f aca="false">H287*1000</f>
        <v>11000</v>
      </c>
      <c r="J287" s="35" t="n">
        <v>1000</v>
      </c>
      <c r="K287" s="35"/>
      <c r="L287" s="66" t="n">
        <f aca="false">I287-J287-K287</f>
        <v>10000</v>
      </c>
      <c r="M287" s="87"/>
      <c r="N287" s="87"/>
      <c r="O287" s="87"/>
      <c r="P287" s="87"/>
      <c r="Q287" s="87"/>
      <c r="R287" s="87"/>
      <c r="S287" s="87"/>
      <c r="T287" s="87"/>
      <c r="U287" s="87"/>
      <c r="V287" s="87"/>
      <c r="W287" s="87"/>
      <c r="X287" s="87"/>
      <c r="Y287" s="66" t="n">
        <f aca="false">SUM(M287:X287)</f>
        <v>0</v>
      </c>
      <c r="Z287" s="66" t="n">
        <v>0</v>
      </c>
      <c r="AA287" s="66" t="n">
        <f aca="false">Z287*800</f>
        <v>0</v>
      </c>
      <c r="AB287" s="66" t="n">
        <f aca="false">L287+AA287-Y287</f>
        <v>10000</v>
      </c>
      <c r="AC287" s="66" t="n">
        <v>0</v>
      </c>
      <c r="AD287" s="67"/>
      <c r="AE287" s="68"/>
      <c r="AF287" s="66" t="n">
        <v>0</v>
      </c>
      <c r="AG287" s="67"/>
      <c r="AH287" s="68"/>
      <c r="AI287" s="66" t="n">
        <v>0</v>
      </c>
      <c r="AJ287" s="67"/>
      <c r="AK287" s="68"/>
      <c r="AL287" s="66" t="n">
        <v>0</v>
      </c>
      <c r="AM287" s="67"/>
      <c r="AN287" s="68"/>
    </row>
    <row collapsed="false" customFormat="false" customHeight="false" hidden="false" ht="15" outlineLevel="0" r="288">
      <c r="A288" s="63" t="n">
        <f aca="false">VLOOKUP(B288,справочник!$B$2:$E$322,4,0)</f>
        <v>135</v>
      </c>
      <c r="B288" s="64" t="e">
        <f aca="false">CONCATENATE(C288;D288)</f>
        <v>#VALUE!</v>
      </c>
      <c r="C288" s="36" t="s">
        <v>647</v>
      </c>
      <c r="D288" s="65" t="s">
        <v>60</v>
      </c>
      <c r="E288" s="36"/>
      <c r="F288" s="34" t="n">
        <v>41183</v>
      </c>
      <c r="G288" s="34" t="n">
        <v>41183</v>
      </c>
      <c r="H288" s="35"/>
      <c r="I288" s="36" t="n">
        <f aca="false">H288*1000</f>
        <v>0</v>
      </c>
      <c r="J288" s="35"/>
      <c r="K288" s="35"/>
      <c r="L288" s="66" t="n">
        <f aca="false">I288-J288-K288</f>
        <v>0</v>
      </c>
      <c r="M288" s="87"/>
      <c r="N288" s="87"/>
      <c r="O288" s="87"/>
      <c r="P288" s="87"/>
      <c r="Q288" s="87"/>
      <c r="R288" s="87"/>
      <c r="S288" s="87"/>
      <c r="T288" s="87"/>
      <c r="U288" s="87"/>
      <c r="V288" s="87"/>
      <c r="W288" s="87"/>
      <c r="X288" s="87"/>
      <c r="Y288" s="66" t="n">
        <f aca="false">SUM(M288:X288)</f>
        <v>0</v>
      </c>
      <c r="Z288" s="66" t="n">
        <v>0</v>
      </c>
      <c r="AA288" s="66" t="n">
        <f aca="false">Z288*800</f>
        <v>0</v>
      </c>
      <c r="AB288" s="66" t="n">
        <f aca="false">L288+AA288-Y288</f>
        <v>0</v>
      </c>
      <c r="AC288" s="66" t="n">
        <v>0</v>
      </c>
      <c r="AD288" s="67"/>
      <c r="AE288" s="68"/>
      <c r="AF288" s="66" t="n">
        <v>0</v>
      </c>
      <c r="AG288" s="67"/>
      <c r="AH288" s="68"/>
      <c r="AI288" s="66" t="n">
        <v>0</v>
      </c>
      <c r="AJ288" s="67"/>
      <c r="AK288" s="68"/>
      <c r="AL288" s="66" t="n">
        <v>0</v>
      </c>
      <c r="AM288" s="67"/>
      <c r="AN288" s="68"/>
    </row>
    <row collapsed="false" customFormat="false" customHeight="false" hidden="false" ht="15" outlineLevel="0" r="289">
      <c r="A289" s="19" t="n">
        <f aca="false">VLOOKUP(B289,справочник!$B$2:$E$322,4,0)</f>
        <v>59</v>
      </c>
      <c r="B289" s="0" t="e">
        <f aca="false">CONCATENATE(C289;D289)</f>
        <v>#VALUE!</v>
      </c>
      <c r="C289" s="24" t="n">
        <v>61</v>
      </c>
      <c r="D289" s="29" t="s">
        <v>246</v>
      </c>
      <c r="E289" s="24" t="s">
        <v>649</v>
      </c>
      <c r="F289" s="30" t="n">
        <v>40868</v>
      </c>
      <c r="G289" s="30" t="n">
        <v>40848</v>
      </c>
      <c r="H289" s="31" t="n">
        <f aca="false">INT(($H$325-G289)/30)</f>
        <v>50</v>
      </c>
      <c r="I289" s="24" t="n">
        <f aca="false">H289*1000</f>
        <v>50000</v>
      </c>
      <c r="J289" s="31" t="n">
        <f aca="false">1000+49000</f>
        <v>50000</v>
      </c>
      <c r="K289" s="31"/>
      <c r="L289" s="59" t="n">
        <f aca="false">I289-J289-K289</f>
        <v>0</v>
      </c>
      <c r="M289" s="85" t="n">
        <v>2400</v>
      </c>
      <c r="N289" s="85"/>
      <c r="O289" s="85"/>
      <c r="P289" s="85"/>
      <c r="Q289" s="85"/>
      <c r="R289" s="85"/>
      <c r="S289" s="85"/>
      <c r="T289" s="85"/>
      <c r="U289" s="85"/>
      <c r="V289" s="85"/>
      <c r="W289" s="85"/>
      <c r="X289" s="85"/>
      <c r="Y289" s="59" t="n">
        <f aca="false">SUM(M289:X289)</f>
        <v>2400</v>
      </c>
      <c r="Z289" s="59" t="n">
        <v>12</v>
      </c>
      <c r="AA289" s="59" t="n">
        <f aca="false">Z289*800</f>
        <v>9600</v>
      </c>
      <c r="AB289" s="59" t="n">
        <f aca="false">L289+AA289-Y289</f>
        <v>7200</v>
      </c>
      <c r="AC289" s="60" t="n">
        <v>800</v>
      </c>
      <c r="AD289" s="61"/>
      <c r="AE289" s="62" t="n">
        <f aca="false">AB289+AC289-AD289</f>
        <v>8000</v>
      </c>
      <c r="AF289" s="60" t="n">
        <v>800</v>
      </c>
      <c r="AG289" s="61"/>
      <c r="AH289" s="62" t="n">
        <f aca="false">AE289+AF289-AG289</f>
        <v>8800</v>
      </c>
      <c r="AI289" s="60" t="n">
        <v>800</v>
      </c>
      <c r="AJ289" s="61"/>
      <c r="AK289" s="62" t="n">
        <f aca="false">AH289+AI289-AJ289</f>
        <v>9600</v>
      </c>
      <c r="AL289" s="60" t="n">
        <v>800</v>
      </c>
      <c r="AM289" s="61" t="n">
        <v>16800</v>
      </c>
      <c r="AN289" s="62" t="n">
        <f aca="false">AK289+AL289-AM289</f>
        <v>-6400</v>
      </c>
    </row>
    <row collapsed="false" customFormat="false" customHeight="false" hidden="false" ht="15" outlineLevel="0" r="290">
      <c r="A290" s="19" t="n">
        <f aca="false">VLOOKUP(B290,справочник!$B$2:$E$322,4,0)</f>
        <v>60</v>
      </c>
      <c r="B290" s="0" t="e">
        <f aca="false">CONCATENATE(C290;D290)</f>
        <v>#VALUE!</v>
      </c>
      <c r="C290" s="24" t="n">
        <v>62</v>
      </c>
      <c r="D290" s="29" t="s">
        <v>323</v>
      </c>
      <c r="E290" s="24" t="s">
        <v>650</v>
      </c>
      <c r="F290" s="30" t="n">
        <v>40885</v>
      </c>
      <c r="G290" s="30" t="n">
        <v>40878</v>
      </c>
      <c r="H290" s="31" t="n">
        <f aca="false">INT(($H$325-G290)/30)</f>
        <v>49</v>
      </c>
      <c r="I290" s="24" t="n">
        <f aca="false">H290*1000</f>
        <v>49000</v>
      </c>
      <c r="J290" s="31" t="n">
        <f aca="false">8000+54000</f>
        <v>62000</v>
      </c>
      <c r="K290" s="31"/>
      <c r="L290" s="59" t="n">
        <f aca="false">I290-J290-K290</f>
        <v>-13000</v>
      </c>
      <c r="M290" s="85"/>
      <c r="N290" s="85"/>
      <c r="O290" s="85"/>
      <c r="P290" s="85"/>
      <c r="Q290" s="85"/>
      <c r="R290" s="85"/>
      <c r="S290" s="85"/>
      <c r="T290" s="85"/>
      <c r="U290" s="85"/>
      <c r="V290" s="85"/>
      <c r="W290" s="85"/>
      <c r="X290" s="85"/>
      <c r="Y290" s="59" t="n">
        <f aca="false">SUM(M290:X290)</f>
        <v>0</v>
      </c>
      <c r="Z290" s="59" t="n">
        <v>12</v>
      </c>
      <c r="AA290" s="59" t="n">
        <f aca="false">Z290*800</f>
        <v>9600</v>
      </c>
      <c r="AB290" s="59" t="n">
        <f aca="false">L290+AA290-Y290</f>
        <v>-3400</v>
      </c>
      <c r="AC290" s="60" t="n">
        <v>800</v>
      </c>
      <c r="AD290" s="61"/>
      <c r="AE290" s="62" t="n">
        <f aca="false">AB290+AC290-AD290</f>
        <v>-2600</v>
      </c>
      <c r="AF290" s="60" t="n">
        <v>800</v>
      </c>
      <c r="AG290" s="61"/>
      <c r="AH290" s="62" t="n">
        <f aca="false">AE290+AF290-AG290</f>
        <v>-1800</v>
      </c>
      <c r="AI290" s="60" t="n">
        <v>800</v>
      </c>
      <c r="AJ290" s="61"/>
      <c r="AK290" s="62" t="n">
        <f aca="false">AH290+AI290-AJ290</f>
        <v>-1000</v>
      </c>
      <c r="AL290" s="60" t="n">
        <v>800</v>
      </c>
      <c r="AM290" s="61"/>
      <c r="AN290" s="62" t="n">
        <f aca="false">AK290+AL290-AM290</f>
        <v>-200</v>
      </c>
    </row>
    <row collapsed="false" customFormat="false" customHeight="false" hidden="false" ht="15" outlineLevel="0" r="291">
      <c r="A291" s="19" t="n">
        <f aca="false">VLOOKUP(B291,справочник!$B$2:$E$322,4,0)</f>
        <v>248</v>
      </c>
      <c r="B291" s="0" t="e">
        <f aca="false">CONCATENATE(C291;D291)</f>
        <v>#VALUE!</v>
      </c>
      <c r="C291" s="24" t="n">
        <v>259</v>
      </c>
      <c r="D291" s="29" t="s">
        <v>201</v>
      </c>
      <c r="E291" s="24" t="s">
        <v>651</v>
      </c>
      <c r="F291" s="30" t="n">
        <v>41628</v>
      </c>
      <c r="G291" s="30" t="n">
        <v>41640</v>
      </c>
      <c r="H291" s="31" t="n">
        <f aca="false">INT(($H$325-G291)/30)</f>
        <v>24</v>
      </c>
      <c r="I291" s="24" t="n">
        <f aca="false">H291*1000</f>
        <v>24000</v>
      </c>
      <c r="J291" s="31" t="n">
        <v>21300</v>
      </c>
      <c r="K291" s="31"/>
      <c r="L291" s="59" t="n">
        <f aca="false">I291-J291-K291</f>
        <v>2700</v>
      </c>
      <c r="M291" s="85"/>
      <c r="N291" s="85"/>
      <c r="O291" s="85"/>
      <c r="P291" s="85"/>
      <c r="Q291" s="85"/>
      <c r="R291" s="85" t="n">
        <v>1700</v>
      </c>
      <c r="S291" s="85" t="n">
        <v>1000</v>
      </c>
      <c r="T291" s="85"/>
      <c r="U291" s="85" t="n">
        <v>1600</v>
      </c>
      <c r="V291" s="85"/>
      <c r="W291" s="18" t="n">
        <v>8000</v>
      </c>
      <c r="X291" s="85"/>
      <c r="Y291" s="59" t="n">
        <f aca="false">SUM(M291:X291)</f>
        <v>12300</v>
      </c>
      <c r="Z291" s="59" t="n">
        <v>12</v>
      </c>
      <c r="AA291" s="59" t="n">
        <f aca="false">Z291*800</f>
        <v>9600</v>
      </c>
      <c r="AB291" s="59" t="n">
        <f aca="false">L291+AA291-Y291</f>
        <v>0</v>
      </c>
      <c r="AC291" s="60" t="n">
        <v>800</v>
      </c>
      <c r="AD291" s="61"/>
      <c r="AE291" s="62" t="n">
        <f aca="false">AB291+AC291-AD291</f>
        <v>800</v>
      </c>
      <c r="AF291" s="60" t="n">
        <v>800</v>
      </c>
      <c r="AG291" s="61"/>
      <c r="AH291" s="62" t="n">
        <f aca="false">AE291+AF291-AG291</f>
        <v>1600</v>
      </c>
      <c r="AI291" s="60" t="n">
        <v>800</v>
      </c>
      <c r="AJ291" s="61"/>
      <c r="AK291" s="62" t="n">
        <f aca="false">AH291+AI291-AJ291</f>
        <v>2400</v>
      </c>
      <c r="AL291" s="60" t="n">
        <v>800</v>
      </c>
      <c r="AM291" s="61"/>
      <c r="AN291" s="62" t="n">
        <f aca="false">AK291+AL291-AM291</f>
        <v>3200</v>
      </c>
    </row>
    <row collapsed="false" customFormat="false" customHeight="false" hidden="false" ht="15" outlineLevel="0" r="292">
      <c r="A292" s="19" t="n">
        <f aca="false">VLOOKUP(B292,справочник!$B$2:$E$322,4,0)</f>
        <v>247</v>
      </c>
      <c r="B292" s="0" t="e">
        <f aca="false">CONCATENATE(C292;D292)</f>
        <v>#VALUE!</v>
      </c>
      <c r="C292" s="24" t="n">
        <v>258</v>
      </c>
      <c r="D292" s="29" t="s">
        <v>147</v>
      </c>
      <c r="E292" s="24" t="s">
        <v>652</v>
      </c>
      <c r="F292" s="30" t="n">
        <v>41628</v>
      </c>
      <c r="G292" s="30" t="n">
        <v>41640</v>
      </c>
      <c r="H292" s="31" t="n">
        <f aca="false">INT(($H$325-G292)/30)</f>
        <v>24</v>
      </c>
      <c r="I292" s="24" t="n">
        <f aca="false">H292*1000</f>
        <v>24000</v>
      </c>
      <c r="J292" s="31" t="n">
        <v>13000</v>
      </c>
      <c r="K292" s="31"/>
      <c r="L292" s="59" t="n">
        <f aca="false">I292-J292-K292</f>
        <v>11000</v>
      </c>
      <c r="M292" s="85"/>
      <c r="N292" s="85"/>
      <c r="O292" s="85"/>
      <c r="P292" s="85"/>
      <c r="Q292" s="85"/>
      <c r="R292" s="85"/>
      <c r="S292" s="85"/>
      <c r="T292" s="85"/>
      <c r="U292" s="85"/>
      <c r="V292" s="85"/>
      <c r="W292" s="18" t="n">
        <v>20000</v>
      </c>
      <c r="X292" s="85"/>
      <c r="Y292" s="59" t="n">
        <f aca="false">SUM(M292:X292)</f>
        <v>20000</v>
      </c>
      <c r="Z292" s="59" t="n">
        <v>12</v>
      </c>
      <c r="AA292" s="59" t="n">
        <f aca="false">Z292*800</f>
        <v>9600</v>
      </c>
      <c r="AB292" s="59" t="n">
        <f aca="false">L292+AA292-Y292</f>
        <v>600</v>
      </c>
      <c r="AC292" s="60" t="n">
        <v>800</v>
      </c>
      <c r="AD292" s="61"/>
      <c r="AE292" s="62" t="n">
        <f aca="false">AB292+AC292-AD292</f>
        <v>1400</v>
      </c>
      <c r="AF292" s="60" t="n">
        <v>800</v>
      </c>
      <c r="AG292" s="61"/>
      <c r="AH292" s="62" t="n">
        <f aca="false">AE292+AF292-AG292</f>
        <v>2200</v>
      </c>
      <c r="AI292" s="60" t="n">
        <v>800</v>
      </c>
      <c r="AJ292" s="61"/>
      <c r="AK292" s="62" t="n">
        <f aca="false">AH292+AI292-AJ292</f>
        <v>3000</v>
      </c>
      <c r="AL292" s="60" t="n">
        <v>800</v>
      </c>
      <c r="AM292" s="61"/>
      <c r="AN292" s="62" t="n">
        <f aca="false">AK292+AL292-AM292</f>
        <v>3800</v>
      </c>
    </row>
    <row collapsed="false" customFormat="false" customHeight="false" hidden="false" ht="15" outlineLevel="0" r="293">
      <c r="A293" s="19" t="n">
        <f aca="false">VLOOKUP(B293,справочник!$B$2:$E$322,4,0)</f>
        <v>103</v>
      </c>
      <c r="B293" s="0" t="e">
        <f aca="false">CONCATENATE(C293;D293)</f>
        <v>#VALUE!</v>
      </c>
      <c r="C293" s="24" t="n">
        <v>108</v>
      </c>
      <c r="D293" s="29" t="s">
        <v>297</v>
      </c>
      <c r="E293" s="24" t="s">
        <v>653</v>
      </c>
      <c r="F293" s="30" t="n">
        <v>40715</v>
      </c>
      <c r="G293" s="30" t="n">
        <v>40725</v>
      </c>
      <c r="H293" s="31" t="n">
        <f aca="false">INT(($H$325-G293)/30)</f>
        <v>54</v>
      </c>
      <c r="I293" s="24" t="n">
        <f aca="false">H293*1000</f>
        <v>54000</v>
      </c>
      <c r="J293" s="31" t="n">
        <f aca="false">2000+45000</f>
        <v>47000</v>
      </c>
      <c r="K293" s="31"/>
      <c r="L293" s="59" t="n">
        <f aca="false">I293-J293-K293</f>
        <v>7000</v>
      </c>
      <c r="M293" s="85" t="n">
        <v>6000</v>
      </c>
      <c r="N293" s="85"/>
      <c r="O293" s="85" t="n">
        <v>6000</v>
      </c>
      <c r="P293" s="85"/>
      <c r="Q293" s="85"/>
      <c r="R293" s="85"/>
      <c r="S293" s="85"/>
      <c r="T293" s="85"/>
      <c r="U293" s="85"/>
      <c r="V293" s="85"/>
      <c r="W293" s="18" t="n">
        <v>6000</v>
      </c>
      <c r="X293" s="85"/>
      <c r="Y293" s="59" t="n">
        <f aca="false">SUM(M293:X293)</f>
        <v>18000</v>
      </c>
      <c r="Z293" s="59" t="n">
        <v>12</v>
      </c>
      <c r="AA293" s="59" t="n">
        <f aca="false">Z293*800</f>
        <v>9600</v>
      </c>
      <c r="AB293" s="59" t="n">
        <f aca="false">L293+AA293-Y293</f>
        <v>-1400</v>
      </c>
      <c r="AC293" s="60" t="n">
        <v>800</v>
      </c>
      <c r="AD293" s="61"/>
      <c r="AE293" s="62" t="n">
        <f aca="false">AB293+AC293-AD293</f>
        <v>-600</v>
      </c>
      <c r="AF293" s="60" t="n">
        <v>800</v>
      </c>
      <c r="AG293" s="61"/>
      <c r="AH293" s="62" t="n">
        <f aca="false">AE293+AF293-AG293</f>
        <v>200</v>
      </c>
      <c r="AI293" s="60" t="n">
        <v>800</v>
      </c>
      <c r="AJ293" s="61"/>
      <c r="AK293" s="62" t="n">
        <f aca="false">AH293+AI293-AJ293</f>
        <v>1000</v>
      </c>
      <c r="AL293" s="60" t="n">
        <v>800</v>
      </c>
      <c r="AM293" s="61"/>
      <c r="AN293" s="62" t="n">
        <f aca="false">AK293+AL293-AM293</f>
        <v>1800</v>
      </c>
    </row>
    <row collapsed="false" customFormat="false" customHeight="true" hidden="false" ht="25.5" outlineLevel="0" r="294">
      <c r="A294" s="19" t="n">
        <f aca="false">VLOOKUP(B294,справочник!$B$2:$E$322,4,0)</f>
        <v>275</v>
      </c>
      <c r="B294" s="0" t="e">
        <f aca="false">CONCATENATE(C294;D294)</f>
        <v>#VALUE!</v>
      </c>
      <c r="C294" s="24" t="n">
        <v>288</v>
      </c>
      <c r="D294" s="29" t="s">
        <v>256</v>
      </c>
      <c r="E294" s="24" t="s">
        <v>654</v>
      </c>
      <c r="F294" s="30" t="n">
        <v>41999</v>
      </c>
      <c r="G294" s="30" t="n">
        <v>42005</v>
      </c>
      <c r="H294" s="31" t="n">
        <f aca="false">INT(($H$325-G294)/30)</f>
        <v>12</v>
      </c>
      <c r="I294" s="24" t="n">
        <f aca="false">H294*1000</f>
        <v>12000</v>
      </c>
      <c r="J294" s="31"/>
      <c r="K294" s="31"/>
      <c r="L294" s="59" t="n">
        <f aca="false">I294-J294-K294</f>
        <v>12000</v>
      </c>
      <c r="M294" s="85"/>
      <c r="N294" s="85"/>
      <c r="O294" s="85"/>
      <c r="P294" s="85"/>
      <c r="Q294" s="85"/>
      <c r="R294" s="85" t="n">
        <v>16000</v>
      </c>
      <c r="S294" s="85" t="n">
        <v>800</v>
      </c>
      <c r="T294" s="0" t="n">
        <v>800</v>
      </c>
      <c r="U294" s="85" t="n">
        <v>800</v>
      </c>
      <c r="V294" s="85" t="n">
        <v>800</v>
      </c>
      <c r="W294" s="18" t="n">
        <v>800</v>
      </c>
      <c r="X294" s="85"/>
      <c r="Y294" s="59" t="n">
        <f aca="false">SUM(M294:X294)</f>
        <v>20000</v>
      </c>
      <c r="Z294" s="59" t="n">
        <v>12</v>
      </c>
      <c r="AA294" s="59" t="n">
        <f aca="false">Z294*800</f>
        <v>9600</v>
      </c>
      <c r="AB294" s="59" t="n">
        <f aca="false">L294+AA294-Y294</f>
        <v>1600</v>
      </c>
      <c r="AC294" s="60" t="n">
        <v>800</v>
      </c>
      <c r="AD294" s="73" t="n">
        <v>1600</v>
      </c>
      <c r="AE294" s="62" t="n">
        <f aca="false">AB294+AC294-AD294</f>
        <v>800</v>
      </c>
      <c r="AF294" s="60" t="n">
        <v>800</v>
      </c>
      <c r="AG294" s="73" t="n">
        <v>800</v>
      </c>
      <c r="AH294" s="62" t="n">
        <f aca="false">AE294+AF294-AG294</f>
        <v>800</v>
      </c>
      <c r="AI294" s="60" t="n">
        <v>800</v>
      </c>
      <c r="AJ294" s="73" t="n">
        <v>800</v>
      </c>
      <c r="AK294" s="62" t="n">
        <f aca="false">AH294+AI294-AJ294</f>
        <v>800</v>
      </c>
      <c r="AL294" s="60" t="n">
        <v>800</v>
      </c>
      <c r="AM294" s="73" t="n">
        <v>800</v>
      </c>
      <c r="AN294" s="62" t="n">
        <f aca="false">AK294+AL294-AM294</f>
        <v>800</v>
      </c>
    </row>
    <row collapsed="false" customFormat="false" customHeight="false" hidden="false" ht="15" outlineLevel="0" r="295">
      <c r="A295" s="19" t="n">
        <f aca="false">VLOOKUP(B295,справочник!$B$2:$E$322,4,0)</f>
        <v>22</v>
      </c>
      <c r="B295" s="0" t="e">
        <f aca="false">CONCATENATE(C295;D295)</f>
        <v>#VALUE!</v>
      </c>
      <c r="C295" s="24" t="n">
        <v>22</v>
      </c>
      <c r="D295" s="29" t="s">
        <v>198</v>
      </c>
      <c r="E295" s="24" t="s">
        <v>655</v>
      </c>
      <c r="F295" s="30" t="n">
        <v>41107</v>
      </c>
      <c r="G295" s="30" t="n">
        <v>41091</v>
      </c>
      <c r="H295" s="31" t="n">
        <f aca="false">INT(($H$325-G295)/30)</f>
        <v>42</v>
      </c>
      <c r="I295" s="24" t="n">
        <f aca="false">H295*1000</f>
        <v>42000</v>
      </c>
      <c r="J295" s="31" t="n">
        <f aca="false">34000+6000</f>
        <v>40000</v>
      </c>
      <c r="K295" s="31"/>
      <c r="L295" s="59" t="n">
        <f aca="false">I295-J295-K295</f>
        <v>2000</v>
      </c>
      <c r="M295" s="85"/>
      <c r="N295" s="85"/>
      <c r="O295" s="85"/>
      <c r="P295" s="85"/>
      <c r="Q295" s="85"/>
      <c r="R295" s="85"/>
      <c r="S295" s="85"/>
      <c r="T295" s="85"/>
      <c r="U295" s="85" t="n">
        <v>10000</v>
      </c>
      <c r="V295" s="85"/>
      <c r="W295" s="85"/>
      <c r="X295" s="85"/>
      <c r="Y295" s="59" t="n">
        <f aca="false">SUM(M295:X295)</f>
        <v>10000</v>
      </c>
      <c r="Z295" s="59" t="n">
        <v>12</v>
      </c>
      <c r="AA295" s="59" t="n">
        <f aca="false">Z295*800</f>
        <v>9600</v>
      </c>
      <c r="AB295" s="59" t="n">
        <f aca="false">L295+AA295-Y295</f>
        <v>1600</v>
      </c>
      <c r="AC295" s="60" t="n">
        <v>800</v>
      </c>
      <c r="AD295" s="61" t="n">
        <v>4000</v>
      </c>
      <c r="AE295" s="62" t="n">
        <f aca="false">AB295+AC295-AD295</f>
        <v>-1600</v>
      </c>
      <c r="AF295" s="60" t="n">
        <v>800</v>
      </c>
      <c r="AG295" s="61"/>
      <c r="AH295" s="62" t="n">
        <f aca="false">AE295+AF295-AG295</f>
        <v>-800</v>
      </c>
      <c r="AI295" s="60" t="n">
        <v>800</v>
      </c>
      <c r="AJ295" s="61"/>
      <c r="AK295" s="62" t="n">
        <f aca="false">AH295+AI295-AJ295</f>
        <v>0</v>
      </c>
      <c r="AL295" s="60" t="n">
        <v>800</v>
      </c>
      <c r="AM295" s="61"/>
      <c r="AN295" s="62" t="n">
        <f aca="false">AK295+AL295-AM295</f>
        <v>800</v>
      </c>
    </row>
    <row collapsed="false" customFormat="false" customHeight="false" hidden="false" ht="15" outlineLevel="0" r="296">
      <c r="A296" s="19" t="n">
        <f aca="false">VLOOKUP(B296,справочник!$B$2:$E$322,4,0)</f>
        <v>20</v>
      </c>
      <c r="B296" s="0" t="e">
        <f aca="false">CONCATENATE(C296;D296)</f>
        <v>#VALUE!</v>
      </c>
      <c r="C296" s="24" t="n">
        <v>20</v>
      </c>
      <c r="D296" s="29" t="s">
        <v>111</v>
      </c>
      <c r="E296" s="24" t="s">
        <v>656</v>
      </c>
      <c r="F296" s="30" t="n">
        <v>41443</v>
      </c>
      <c r="G296" s="30" t="n">
        <v>41487</v>
      </c>
      <c r="H296" s="31" t="n">
        <f aca="false">INT(($H$325-G296)/30)</f>
        <v>29</v>
      </c>
      <c r="I296" s="24" t="n">
        <f aca="false">H296*1000</f>
        <v>29000</v>
      </c>
      <c r="J296" s="31" t="n">
        <v>12000</v>
      </c>
      <c r="K296" s="31"/>
      <c r="L296" s="59" t="n">
        <f aca="false">I296-J296-K296</f>
        <v>17000</v>
      </c>
      <c r="M296" s="85"/>
      <c r="N296" s="85"/>
      <c r="O296" s="85"/>
      <c r="P296" s="85"/>
      <c r="Q296" s="85"/>
      <c r="R296" s="85"/>
      <c r="S296" s="85"/>
      <c r="T296" s="85"/>
      <c r="U296" s="85"/>
      <c r="V296" s="85"/>
      <c r="W296" s="85"/>
      <c r="X296" s="85"/>
      <c r="Y296" s="59" t="n">
        <f aca="false">SUM(M296:X296)</f>
        <v>0</v>
      </c>
      <c r="Z296" s="59" t="n">
        <v>12</v>
      </c>
      <c r="AA296" s="59" t="n">
        <f aca="false">Z296*800</f>
        <v>9600</v>
      </c>
      <c r="AB296" s="59" t="n">
        <f aca="false">L296+AA296-Y296</f>
        <v>26600</v>
      </c>
      <c r="AC296" s="60" t="n">
        <v>800</v>
      </c>
      <c r="AD296" s="61"/>
      <c r="AE296" s="62" t="n">
        <f aca="false">AB296+AC296-AD296</f>
        <v>27400</v>
      </c>
      <c r="AF296" s="60" t="n">
        <v>800</v>
      </c>
      <c r="AG296" s="61" t="n">
        <v>3000</v>
      </c>
      <c r="AH296" s="62" t="n">
        <f aca="false">AE296+AF296-AG296</f>
        <v>25200</v>
      </c>
      <c r="AI296" s="60" t="n">
        <v>800</v>
      </c>
      <c r="AJ296" s="61"/>
      <c r="AK296" s="62" t="n">
        <f aca="false">AH296+AI296-AJ296</f>
        <v>26000</v>
      </c>
      <c r="AL296" s="60" t="n">
        <v>800</v>
      </c>
      <c r="AM296" s="61" t="n">
        <v>2000</v>
      </c>
      <c r="AN296" s="62" t="n">
        <f aca="false">AK296+AL296-AM296</f>
        <v>24800</v>
      </c>
    </row>
    <row collapsed="false" customFormat="false" customHeight="false" hidden="false" ht="15" outlineLevel="0" r="297">
      <c r="A297" s="19" t="n">
        <f aca="false">VLOOKUP(B297,справочник!$B$2:$E$322,4,0)</f>
        <v>233</v>
      </c>
      <c r="B297" s="0" t="e">
        <f aca="false">CONCATENATE(C297;D297)</f>
        <v>#VALUE!</v>
      </c>
      <c r="C297" s="24" t="n">
        <v>242</v>
      </c>
      <c r="D297" s="29" t="s">
        <v>260</v>
      </c>
      <c r="E297" s="24" t="s">
        <v>657</v>
      </c>
      <c r="F297" s="30" t="n">
        <v>41382</v>
      </c>
      <c r="G297" s="30" t="n">
        <v>41395</v>
      </c>
      <c r="H297" s="31" t="n">
        <f aca="false">INT(($H$325-G297)/30)</f>
        <v>32</v>
      </c>
      <c r="I297" s="24" t="n">
        <f aca="false">H297*1000</f>
        <v>32000</v>
      </c>
      <c r="J297" s="31" t="n">
        <v>29000</v>
      </c>
      <c r="K297" s="31"/>
      <c r="L297" s="59" t="n">
        <f aca="false">I297-J297-K297</f>
        <v>3000</v>
      </c>
      <c r="M297" s="85"/>
      <c r="N297" s="85"/>
      <c r="O297" s="85"/>
      <c r="P297" s="85"/>
      <c r="Q297" s="85"/>
      <c r="R297" s="85" t="n">
        <v>7000</v>
      </c>
      <c r="S297" s="85"/>
      <c r="T297" s="85"/>
      <c r="U297" s="85"/>
      <c r="V297" s="85"/>
      <c r="W297" s="18" t="n">
        <v>4000</v>
      </c>
      <c r="X297" s="85"/>
      <c r="Y297" s="59" t="n">
        <f aca="false">SUM(M297:X297)</f>
        <v>11000</v>
      </c>
      <c r="Z297" s="59" t="n">
        <v>12</v>
      </c>
      <c r="AA297" s="59" t="n">
        <f aca="false">Z297*800</f>
        <v>9600</v>
      </c>
      <c r="AB297" s="59" t="n">
        <f aca="false">L297+AA297-Y297</f>
        <v>1600</v>
      </c>
      <c r="AC297" s="60" t="n">
        <v>800</v>
      </c>
      <c r="AD297" s="61"/>
      <c r="AE297" s="62" t="n">
        <f aca="false">AB297+AC297-AD297</f>
        <v>2400</v>
      </c>
      <c r="AF297" s="60" t="n">
        <v>800</v>
      </c>
      <c r="AG297" s="61"/>
      <c r="AH297" s="62" t="n">
        <f aca="false">AE297+AF297-AG297</f>
        <v>3200</v>
      </c>
      <c r="AI297" s="60" t="n">
        <v>800</v>
      </c>
      <c r="AJ297" s="61" t="n">
        <v>4000</v>
      </c>
      <c r="AK297" s="62" t="n">
        <f aca="false">AH297+AI297-AJ297</f>
        <v>0</v>
      </c>
      <c r="AL297" s="60" t="n">
        <v>800</v>
      </c>
      <c r="AM297" s="61"/>
      <c r="AN297" s="62" t="n">
        <f aca="false">AK297+AL297-AM297</f>
        <v>800</v>
      </c>
    </row>
    <row collapsed="false" customFormat="false" customHeight="false" hidden="false" ht="15" outlineLevel="0" r="298">
      <c r="A298" s="19" t="n">
        <f aca="false">VLOOKUP(B298,справочник!$B$2:$E$322,4,0)</f>
        <v>256</v>
      </c>
      <c r="B298" s="0" t="e">
        <f aca="false">CONCATENATE(C298;D298)</f>
        <v>#VALUE!</v>
      </c>
      <c r="C298" s="24" t="n">
        <v>269</v>
      </c>
      <c r="D298" s="29" t="s">
        <v>234</v>
      </c>
      <c r="E298" s="24" t="s">
        <v>658</v>
      </c>
      <c r="F298" s="30" t="n">
        <v>41012</v>
      </c>
      <c r="G298" s="30" t="n">
        <v>41000</v>
      </c>
      <c r="H298" s="31" t="n">
        <f aca="false">INT(($H$325-G298)/30)</f>
        <v>45</v>
      </c>
      <c r="I298" s="24" t="n">
        <f aca="false">H298*1000</f>
        <v>45000</v>
      </c>
      <c r="J298" s="31" t="n">
        <f aca="false">32000+7000</f>
        <v>39000</v>
      </c>
      <c r="K298" s="31" t="n">
        <v>8000</v>
      </c>
      <c r="L298" s="59" t="n">
        <f aca="false">I298-J298-K298</f>
        <v>-2000</v>
      </c>
      <c r="M298" s="85"/>
      <c r="N298" s="85"/>
      <c r="O298" s="85"/>
      <c r="P298" s="85"/>
      <c r="Q298" s="85"/>
      <c r="R298" s="85"/>
      <c r="S298" s="85"/>
      <c r="T298" s="85"/>
      <c r="U298" s="85"/>
      <c r="V298" s="85"/>
      <c r="W298" s="85"/>
      <c r="X298" s="85"/>
      <c r="Y298" s="59" t="n">
        <f aca="false">SUM(M298:X298)</f>
        <v>0</v>
      </c>
      <c r="Z298" s="59" t="n">
        <v>12</v>
      </c>
      <c r="AA298" s="59" t="n">
        <f aca="false">Z298*800</f>
        <v>9600</v>
      </c>
      <c r="AB298" s="59" t="n">
        <f aca="false">L298+AA298-Y298</f>
        <v>7600</v>
      </c>
      <c r="AC298" s="60" t="n">
        <v>800</v>
      </c>
      <c r="AD298" s="61"/>
      <c r="AE298" s="62" t="n">
        <f aca="false">AB298+AC298-AD298</f>
        <v>8400</v>
      </c>
      <c r="AF298" s="60" t="n">
        <v>800</v>
      </c>
      <c r="AG298" s="61"/>
      <c r="AH298" s="62" t="n">
        <f aca="false">AE298+AF298-AG298</f>
        <v>9200</v>
      </c>
      <c r="AI298" s="60" t="n">
        <v>800</v>
      </c>
      <c r="AJ298" s="61"/>
      <c r="AK298" s="62" t="n">
        <f aca="false">AH298+AI298-AJ298</f>
        <v>10000</v>
      </c>
      <c r="AL298" s="60" t="n">
        <v>800</v>
      </c>
      <c r="AM298" s="61"/>
      <c r="AN298" s="62" t="n">
        <f aca="false">AK298+AL298-AM298</f>
        <v>10800</v>
      </c>
    </row>
    <row collapsed="false" customFormat="true" customHeight="true" hidden="false" ht="25.5" outlineLevel="0" r="299" s="64">
      <c r="A299" s="63" t="n">
        <f aca="false">VLOOKUP(B299,справочник!$B$2:$E$322,4,0)</f>
        <v>113</v>
      </c>
      <c r="B299" s="64" t="e">
        <f aca="false">CONCATENATE(C299;D299)</f>
        <v>#VALUE!</v>
      </c>
      <c r="C299" s="36" t="s">
        <v>659</v>
      </c>
      <c r="D299" s="65" t="s">
        <v>120</v>
      </c>
      <c r="E299" s="36" t="s">
        <v>660</v>
      </c>
      <c r="F299" s="34" t="n">
        <v>41107</v>
      </c>
      <c r="G299" s="34" t="n">
        <v>41122</v>
      </c>
      <c r="H299" s="35" t="n">
        <f aca="false">INT(($H$325-G299)/30)</f>
        <v>41</v>
      </c>
      <c r="I299" s="36" t="n">
        <f aca="false">H299*1000</f>
        <v>41000</v>
      </c>
      <c r="J299" s="35" t="n">
        <v>41000</v>
      </c>
      <c r="K299" s="35"/>
      <c r="L299" s="66" t="n">
        <f aca="false">I299-J299-K299</f>
        <v>0</v>
      </c>
      <c r="M299" s="87"/>
      <c r="N299" s="87"/>
      <c r="O299" s="87"/>
      <c r="P299" s="87"/>
      <c r="Q299" s="87"/>
      <c r="R299" s="87"/>
      <c r="S299" s="87"/>
      <c r="T299" s="87"/>
      <c r="U299" s="87"/>
      <c r="V299" s="87"/>
      <c r="X299" s="87"/>
      <c r="Y299" s="66" t="n">
        <f aca="false">SUM(M299:X299)</f>
        <v>0</v>
      </c>
      <c r="Z299" s="66" t="n">
        <v>0</v>
      </c>
      <c r="AA299" s="66" t="n">
        <f aca="false">Z299*800</f>
        <v>0</v>
      </c>
      <c r="AB299" s="66" t="n">
        <f aca="false">L299+AA299-Y299</f>
        <v>0</v>
      </c>
      <c r="AC299" s="66" t="n">
        <v>0</v>
      </c>
      <c r="AD299" s="67"/>
      <c r="AE299" s="71" t="n">
        <v>0</v>
      </c>
      <c r="AF299" s="66" t="n">
        <v>0</v>
      </c>
      <c r="AG299" s="67"/>
      <c r="AH299" s="71" t="n">
        <f aca="false">AE299+AF299-AG299</f>
        <v>0</v>
      </c>
      <c r="AI299" s="66" t="n">
        <v>0</v>
      </c>
      <c r="AJ299" s="67"/>
      <c r="AK299" s="71" t="n">
        <f aca="false">AH299+AI299-AJ299</f>
        <v>0</v>
      </c>
      <c r="AL299" s="66" t="n">
        <v>0</v>
      </c>
      <c r="AM299" s="67"/>
      <c r="AN299" s="71" t="n">
        <f aca="false">AK299+AL299-AM299</f>
        <v>0</v>
      </c>
    </row>
    <row collapsed="false" customFormat="false" customHeight="false" hidden="false" ht="25.5" outlineLevel="0" r="300">
      <c r="A300" s="63" t="n">
        <f aca="false">VLOOKUP(B300,справочник!$B$2:$E$322,4,0)</f>
        <v>113</v>
      </c>
      <c r="B300" s="64" t="e">
        <f aca="false">CONCATENATE(C300;D300)</f>
        <v>#VALUE!</v>
      </c>
      <c r="C300" s="36" t="s">
        <v>659</v>
      </c>
      <c r="D300" s="65" t="s">
        <v>120</v>
      </c>
      <c r="E300" s="36" t="s">
        <v>660</v>
      </c>
      <c r="F300" s="34" t="n">
        <v>41107</v>
      </c>
      <c r="G300" s="34" t="n">
        <v>41122</v>
      </c>
      <c r="H300" s="35" t="n">
        <f aca="false">INT(($H$325-G300)/30)</f>
        <v>41</v>
      </c>
      <c r="I300" s="36" t="n">
        <f aca="false">H300*1000</f>
        <v>41000</v>
      </c>
      <c r="J300" s="35" t="n">
        <v>20000</v>
      </c>
      <c r="K300" s="35"/>
      <c r="L300" s="66" t="n">
        <f aca="false">I300-J300-K300</f>
        <v>21000</v>
      </c>
      <c r="M300" s="87"/>
      <c r="N300" s="87"/>
      <c r="O300" s="87"/>
      <c r="P300" s="87"/>
      <c r="Q300" s="87"/>
      <c r="R300" s="87"/>
      <c r="S300" s="87"/>
      <c r="T300" s="87"/>
      <c r="U300" s="87"/>
      <c r="V300" s="87"/>
      <c r="W300" s="87"/>
      <c r="X300" s="87"/>
      <c r="Y300" s="66" t="n">
        <f aca="false">SUM(M300:X300)</f>
        <v>0</v>
      </c>
      <c r="Z300" s="66" t="n">
        <v>0</v>
      </c>
      <c r="AA300" s="66" t="n">
        <f aca="false">Z300*800</f>
        <v>0</v>
      </c>
      <c r="AB300" s="66" t="n">
        <f aca="false">L300+AA300-Y300</f>
        <v>21000</v>
      </c>
      <c r="AC300" s="66" t="n">
        <v>0</v>
      </c>
      <c r="AD300" s="67"/>
      <c r="AE300" s="89" t="n">
        <f aca="false">SUM(AB300:AB301)+SUM(AC300:AC301)-SUM(AD300:AD301)</f>
        <v>57400</v>
      </c>
      <c r="AF300" s="66" t="n">
        <v>0</v>
      </c>
      <c r="AG300" s="67"/>
      <c r="AH300" s="89" t="n">
        <f aca="false">SUM(AE300:AE301)+SUM(AF300:AF301)-SUM(AG300:AG301)</f>
        <v>55200</v>
      </c>
      <c r="AI300" s="66" t="n">
        <v>0</v>
      </c>
      <c r="AJ300" s="67"/>
      <c r="AK300" s="89" t="n">
        <f aca="false">SUM(AH300:AH301)+SUM(AI300:AI301)-SUM(AJ300:AJ301)</f>
        <v>56000</v>
      </c>
      <c r="AL300" s="66" t="n">
        <v>0</v>
      </c>
      <c r="AM300" s="67"/>
      <c r="AN300" s="89" t="n">
        <f aca="false">SUM(AK300:AK301)+SUM(AL300:AL301)-SUM(AM300:AM301)</f>
        <v>53800</v>
      </c>
    </row>
    <row collapsed="false" customFormat="false" customHeight="false" hidden="false" ht="25.5" outlineLevel="0" r="301">
      <c r="A301" s="63" t="n">
        <f aca="false">VLOOKUP(B301,справочник!$B$2:$E$322,4,0)</f>
        <v>113</v>
      </c>
      <c r="B301" s="64" t="e">
        <f aca="false">CONCATENATE(C301;D301)</f>
        <v>#VALUE!</v>
      </c>
      <c r="C301" s="36" t="s">
        <v>659</v>
      </c>
      <c r="D301" s="65" t="s">
        <v>120</v>
      </c>
      <c r="E301" s="36" t="s">
        <v>660</v>
      </c>
      <c r="F301" s="34" t="n">
        <v>41107</v>
      </c>
      <c r="G301" s="34" t="n">
        <v>41122</v>
      </c>
      <c r="H301" s="35" t="n">
        <f aca="false">INT(($H$325-G301)/30)</f>
        <v>41</v>
      </c>
      <c r="I301" s="36" t="n">
        <f aca="false">H301*1000</f>
        <v>41000</v>
      </c>
      <c r="J301" s="35"/>
      <c r="K301" s="35"/>
      <c r="L301" s="66" t="n">
        <f aca="false">I301-J301-K301</f>
        <v>41000</v>
      </c>
      <c r="M301" s="87" t="n">
        <v>6000</v>
      </c>
      <c r="N301" s="87"/>
      <c r="O301" s="87"/>
      <c r="P301" s="87" t="n">
        <v>3000</v>
      </c>
      <c r="Q301" s="87"/>
      <c r="R301" s="87" t="n">
        <v>3000</v>
      </c>
      <c r="S301" s="87"/>
      <c r="T301" s="87"/>
      <c r="U301" s="87"/>
      <c r="V301" s="87"/>
      <c r="W301" s="64" t="n">
        <v>3000</v>
      </c>
      <c r="X301" s="87"/>
      <c r="Y301" s="66" t="n">
        <f aca="false">SUM(M301:X301)</f>
        <v>15000</v>
      </c>
      <c r="Z301" s="66" t="n">
        <v>12</v>
      </c>
      <c r="AA301" s="66" t="n">
        <f aca="false">Z301*800</f>
        <v>9600</v>
      </c>
      <c r="AB301" s="66" t="n">
        <f aca="false">L301+AA301-Y301</f>
        <v>35600</v>
      </c>
      <c r="AC301" s="66" t="n">
        <v>800</v>
      </c>
      <c r="AD301" s="67"/>
      <c r="AE301" s="89"/>
      <c r="AF301" s="66" t="n">
        <v>800</v>
      </c>
      <c r="AG301" s="67" t="n">
        <v>3000</v>
      </c>
      <c r="AH301" s="89"/>
      <c r="AI301" s="66" t="n">
        <v>800</v>
      </c>
      <c r="AJ301" s="67"/>
      <c r="AK301" s="89"/>
      <c r="AL301" s="66" t="n">
        <v>800</v>
      </c>
      <c r="AM301" s="67" t="n">
        <v>3000</v>
      </c>
      <c r="AN301" s="89"/>
    </row>
    <row collapsed="false" customFormat="false" customHeight="true" hidden="false" ht="25.5" outlineLevel="0" r="302">
      <c r="A302" s="19" t="n">
        <f aca="false">VLOOKUP(B302,справочник!$B$2:$E$322,4,0)</f>
        <v>180</v>
      </c>
      <c r="B302" s="0" t="e">
        <f aca="false">CONCATENATE(C302;D302)</f>
        <v>#VALUE!</v>
      </c>
      <c r="C302" s="24" t="n">
        <v>188</v>
      </c>
      <c r="D302" s="29" t="s">
        <v>282</v>
      </c>
      <c r="E302" s="24" t="s">
        <v>661</v>
      </c>
      <c r="F302" s="30" t="n">
        <v>41786</v>
      </c>
      <c r="G302" s="30" t="n">
        <v>41791</v>
      </c>
      <c r="H302" s="31" t="n">
        <f aca="false">INT(($H$325-G302)/30)</f>
        <v>19</v>
      </c>
      <c r="I302" s="24" t="n">
        <f aca="false">H302*1000</f>
        <v>19000</v>
      </c>
      <c r="J302" s="31" t="n">
        <v>19000</v>
      </c>
      <c r="K302" s="31"/>
      <c r="L302" s="59" t="n">
        <f aca="false">I302-J302-K302</f>
        <v>0</v>
      </c>
      <c r="M302" s="85"/>
      <c r="N302" s="85"/>
      <c r="O302" s="85"/>
      <c r="P302" s="85"/>
      <c r="Q302" s="85" t="n">
        <v>4800</v>
      </c>
      <c r="R302" s="85"/>
      <c r="S302" s="85"/>
      <c r="T302" s="85"/>
      <c r="U302" s="85"/>
      <c r="V302" s="85"/>
      <c r="W302" s="85"/>
      <c r="X302" s="85"/>
      <c r="Y302" s="59" t="n">
        <f aca="false">SUM(M302:X302)</f>
        <v>4800</v>
      </c>
      <c r="Z302" s="59" t="n">
        <v>12</v>
      </c>
      <c r="AA302" s="59" t="n">
        <f aca="false">Z302*800</f>
        <v>9600</v>
      </c>
      <c r="AB302" s="59" t="n">
        <f aca="false">L302+AA302-Y302</f>
        <v>4800</v>
      </c>
      <c r="AC302" s="60" t="n">
        <v>800</v>
      </c>
      <c r="AD302" s="61"/>
      <c r="AE302" s="62" t="n">
        <f aca="false">AB302+AC302-AD302</f>
        <v>5600</v>
      </c>
      <c r="AF302" s="60" t="n">
        <v>800</v>
      </c>
      <c r="AG302" s="61"/>
      <c r="AH302" s="62" t="n">
        <f aca="false">AE302+AF302-AG302</f>
        <v>6400</v>
      </c>
      <c r="AI302" s="60" t="n">
        <v>800</v>
      </c>
      <c r="AJ302" s="61"/>
      <c r="AK302" s="62" t="n">
        <f aca="false">AH302+AI302-AJ302</f>
        <v>7200</v>
      </c>
      <c r="AL302" s="60" t="n">
        <v>800</v>
      </c>
      <c r="AM302" s="61"/>
      <c r="AN302" s="62" t="n">
        <f aca="false">AK302+AL302-AM302</f>
        <v>8000</v>
      </c>
    </row>
    <row collapsed="false" customFormat="false" customHeight="false" hidden="false" ht="15" outlineLevel="0" r="303">
      <c r="A303" s="19" t="n">
        <f aca="false">VLOOKUP(B303,справочник!$B$2:$E$322,4,0)</f>
        <v>2</v>
      </c>
      <c r="B303" s="0" t="e">
        <f aca="false">CONCATENATE(C303;D303)</f>
        <v>#VALUE!</v>
      </c>
      <c r="C303" s="24" t="n">
        <v>2</v>
      </c>
      <c r="D303" s="29" t="s">
        <v>161</v>
      </c>
      <c r="E303" s="24" t="s">
        <v>662</v>
      </c>
      <c r="F303" s="30" t="n">
        <v>41737</v>
      </c>
      <c r="G303" s="30" t="n">
        <v>41760</v>
      </c>
      <c r="H303" s="31" t="n">
        <f aca="false">INT(($H$325-G303)/30)</f>
        <v>20</v>
      </c>
      <c r="I303" s="24" t="n">
        <f aca="false">H303*1000</f>
        <v>20000</v>
      </c>
      <c r="J303" s="31" t="n">
        <v>11000</v>
      </c>
      <c r="K303" s="31"/>
      <c r="L303" s="59" t="n">
        <f aca="false">I303-J303-K303</f>
        <v>9000</v>
      </c>
      <c r="M303" s="85"/>
      <c r="N303" s="85"/>
      <c r="O303" s="85"/>
      <c r="P303" s="85"/>
      <c r="Q303" s="85"/>
      <c r="R303" s="85"/>
      <c r="S303" s="85"/>
      <c r="T303" s="85"/>
      <c r="U303" s="85"/>
      <c r="V303" s="85" t="n">
        <v>1000</v>
      </c>
      <c r="W303" s="85"/>
      <c r="X303" s="85"/>
      <c r="Y303" s="59" t="n">
        <f aca="false">SUM(M303:X303)</f>
        <v>1000</v>
      </c>
      <c r="Z303" s="59" t="n">
        <v>12</v>
      </c>
      <c r="AA303" s="59" t="n">
        <f aca="false">Z303*800</f>
        <v>9600</v>
      </c>
      <c r="AB303" s="59" t="n">
        <f aca="false">L303+AA303-Y303</f>
        <v>17600</v>
      </c>
      <c r="AC303" s="60" t="n">
        <v>800</v>
      </c>
      <c r="AD303" s="61"/>
      <c r="AE303" s="62" t="n">
        <f aca="false">AB303+AC303-AD303</f>
        <v>18400</v>
      </c>
      <c r="AF303" s="60" t="n">
        <v>800</v>
      </c>
      <c r="AG303" s="61"/>
      <c r="AH303" s="62" t="n">
        <f aca="false">AE303+AF303-AG303</f>
        <v>19200</v>
      </c>
      <c r="AI303" s="60" t="n">
        <v>800</v>
      </c>
      <c r="AJ303" s="61"/>
      <c r="AK303" s="62" t="n">
        <f aca="false">AH303+AI303-AJ303</f>
        <v>20000</v>
      </c>
      <c r="AL303" s="60" t="n">
        <v>800</v>
      </c>
      <c r="AM303" s="61"/>
      <c r="AN303" s="62" t="n">
        <f aca="false">AK303+AL303-AM303</f>
        <v>20800</v>
      </c>
    </row>
    <row collapsed="false" customFormat="false" customHeight="false" hidden="false" ht="25.5" outlineLevel="0" r="304">
      <c r="A304" s="19" t="n">
        <f aca="false">VLOOKUP(B304,справочник!$B$2:$E$322,4,0)</f>
        <v>23</v>
      </c>
      <c r="B304" s="0" t="e">
        <f aca="false">CONCATENATE(C304;D304)</f>
        <v>#VALUE!</v>
      </c>
      <c r="C304" s="24" t="n">
        <v>23</v>
      </c>
      <c r="D304" s="29" t="s">
        <v>319</v>
      </c>
      <c r="E304" s="24" t="s">
        <v>663</v>
      </c>
      <c r="F304" s="30" t="n">
        <v>41422</v>
      </c>
      <c r="G304" s="30" t="n">
        <v>41456</v>
      </c>
      <c r="H304" s="31" t="n">
        <f aca="false">INT(($H$325-G304)/30)</f>
        <v>30</v>
      </c>
      <c r="I304" s="24" t="n">
        <f aca="false">H304*1000</f>
        <v>30000</v>
      </c>
      <c r="J304" s="31" t="n">
        <v>30000</v>
      </c>
      <c r="K304" s="31"/>
      <c r="L304" s="59" t="n">
        <f aca="false">I304-J304-K304</f>
        <v>0</v>
      </c>
      <c r="M304" s="85" t="n">
        <v>11600</v>
      </c>
      <c r="N304" s="85"/>
      <c r="O304" s="85"/>
      <c r="P304" s="85"/>
      <c r="Q304" s="85"/>
      <c r="R304" s="85"/>
      <c r="S304" s="85"/>
      <c r="T304" s="85"/>
      <c r="U304" s="85"/>
      <c r="V304" s="85"/>
      <c r="W304" s="85"/>
      <c r="X304" s="85" t="n">
        <v>9600</v>
      </c>
      <c r="Y304" s="59" t="n">
        <f aca="false">SUM(M304:X304)</f>
        <v>21200</v>
      </c>
      <c r="Z304" s="59" t="n">
        <v>12</v>
      </c>
      <c r="AA304" s="59" t="n">
        <f aca="false">Z304*800</f>
        <v>9600</v>
      </c>
      <c r="AB304" s="59" t="n">
        <f aca="false">L304+AA304-Y304</f>
        <v>-11600</v>
      </c>
      <c r="AC304" s="60" t="n">
        <v>800</v>
      </c>
      <c r="AD304" s="61"/>
      <c r="AE304" s="62" t="n">
        <f aca="false">AB304+AC304-AD304</f>
        <v>-10800</v>
      </c>
      <c r="AF304" s="60" t="n">
        <v>800</v>
      </c>
      <c r="AG304" s="61"/>
      <c r="AH304" s="62" t="n">
        <f aca="false">AE304+AF304-AG304</f>
        <v>-10000</v>
      </c>
      <c r="AI304" s="60" t="n">
        <v>800</v>
      </c>
      <c r="AJ304" s="61"/>
      <c r="AK304" s="62" t="n">
        <f aca="false">AH304+AI304-AJ304</f>
        <v>-9200</v>
      </c>
      <c r="AL304" s="60" t="n">
        <v>800</v>
      </c>
      <c r="AM304" s="61"/>
      <c r="AN304" s="62" t="n">
        <f aca="false">AK304+AL304-AM304</f>
        <v>-8400</v>
      </c>
    </row>
    <row collapsed="false" customFormat="false" customHeight="false" hidden="false" ht="15" outlineLevel="0" r="305">
      <c r="A305" s="19" t="n">
        <f aca="false">VLOOKUP(B305,справочник!$B$2:$E$322,4,0)</f>
        <v>168</v>
      </c>
      <c r="B305" s="0" t="e">
        <f aca="false">CONCATENATE(C305;D305)</f>
        <v>#VALUE!</v>
      </c>
      <c r="C305" s="24" t="n">
        <v>176</v>
      </c>
      <c r="D305" s="29" t="s">
        <v>305</v>
      </c>
      <c r="E305" s="24" t="s">
        <v>664</v>
      </c>
      <c r="F305" s="30" t="n">
        <v>41939</v>
      </c>
      <c r="G305" s="30" t="n">
        <v>41974</v>
      </c>
      <c r="H305" s="31" t="n">
        <f aca="false">INT(($H$325-G305)/30)</f>
        <v>13</v>
      </c>
      <c r="I305" s="24" t="n">
        <f aca="false">H305*1000</f>
        <v>13000</v>
      </c>
      <c r="J305" s="31" t="n">
        <v>11000</v>
      </c>
      <c r="K305" s="31" t="n">
        <v>2000</v>
      </c>
      <c r="L305" s="59" t="n">
        <f aca="false">I305-J305-K305</f>
        <v>0</v>
      </c>
      <c r="M305" s="85"/>
      <c r="N305" s="85" t="n">
        <v>2000</v>
      </c>
      <c r="O305" s="85"/>
      <c r="P305" s="85" t="n">
        <v>2000</v>
      </c>
      <c r="Q305" s="85" t="n">
        <v>2000</v>
      </c>
      <c r="R305" s="85"/>
      <c r="S305" s="85" t="n">
        <v>2000</v>
      </c>
      <c r="T305" s="85"/>
      <c r="U305" s="85" t="n">
        <v>2000</v>
      </c>
      <c r="V305" s="85"/>
      <c r="W305" s="85" t="n">
        <v>2000</v>
      </c>
      <c r="X305" s="85"/>
      <c r="Y305" s="59" t="n">
        <f aca="false">SUM(M305:X305)</f>
        <v>12000</v>
      </c>
      <c r="Z305" s="59" t="n">
        <v>12</v>
      </c>
      <c r="AA305" s="59" t="n">
        <f aca="false">Z305*800</f>
        <v>9600</v>
      </c>
      <c r="AB305" s="59" t="n">
        <f aca="false">L305+AA305-Y305</f>
        <v>-2400</v>
      </c>
      <c r="AC305" s="60" t="n">
        <v>800</v>
      </c>
      <c r="AD305" s="61"/>
      <c r="AE305" s="62" t="n">
        <f aca="false">AB305+AC305-AD305</f>
        <v>-1600</v>
      </c>
      <c r="AF305" s="60" t="n">
        <v>800</v>
      </c>
      <c r="AG305" s="61" t="n">
        <v>2000</v>
      </c>
      <c r="AH305" s="62" t="n">
        <f aca="false">AE305+AF305-AG305</f>
        <v>-2800</v>
      </c>
      <c r="AI305" s="60" t="n">
        <v>800</v>
      </c>
      <c r="AJ305" s="61"/>
      <c r="AK305" s="62" t="n">
        <f aca="false">AH305+AI305-AJ305</f>
        <v>-2000</v>
      </c>
      <c r="AL305" s="60" t="n">
        <v>800</v>
      </c>
      <c r="AM305" s="61" t="n">
        <v>2000</v>
      </c>
      <c r="AN305" s="62" t="n">
        <f aca="false">AK305+AL305-AM305</f>
        <v>-3200</v>
      </c>
    </row>
    <row collapsed="false" customFormat="false" customHeight="true" hidden="false" ht="25.5" outlineLevel="0" r="306">
      <c r="A306" s="19" t="n">
        <f aca="false">VLOOKUP(B306,справочник!$B$2:$E$322,4,0)</f>
        <v>84</v>
      </c>
      <c r="B306" s="0" t="e">
        <f aca="false">CONCATENATE(C306;D306)</f>
        <v>#VALUE!</v>
      </c>
      <c r="C306" s="24" t="n">
        <v>89</v>
      </c>
      <c r="D306" s="29" t="s">
        <v>288</v>
      </c>
      <c r="E306" s="24" t="s">
        <v>665</v>
      </c>
      <c r="F306" s="30" t="n">
        <v>40785</v>
      </c>
      <c r="G306" s="30" t="n">
        <v>40787</v>
      </c>
      <c r="H306" s="31" t="n">
        <f aca="false">INT(($H$325-G306)/30)</f>
        <v>52</v>
      </c>
      <c r="I306" s="24" t="n">
        <f aca="false">H306*1000</f>
        <v>52000</v>
      </c>
      <c r="J306" s="31" t="n">
        <f aca="false">1000+51000</f>
        <v>52000</v>
      </c>
      <c r="K306" s="31"/>
      <c r="L306" s="59" t="n">
        <f aca="false">I306-J306-K306</f>
        <v>0</v>
      </c>
      <c r="M306" s="85"/>
      <c r="N306" s="85"/>
      <c r="O306" s="85"/>
      <c r="P306" s="85"/>
      <c r="Q306" s="85"/>
      <c r="R306" s="85" t="n">
        <v>4800</v>
      </c>
      <c r="S306" s="85"/>
      <c r="T306" s="85"/>
      <c r="U306" s="85"/>
      <c r="V306" s="85"/>
      <c r="W306" s="18" t="n">
        <v>4800</v>
      </c>
      <c r="X306" s="85"/>
      <c r="Y306" s="59" t="n">
        <f aca="false">SUM(M306:X306)</f>
        <v>9600</v>
      </c>
      <c r="Z306" s="59" t="n">
        <v>12</v>
      </c>
      <c r="AA306" s="59" t="n">
        <f aca="false">Z306*800</f>
        <v>9600</v>
      </c>
      <c r="AB306" s="59" t="n">
        <f aca="false">L306+AA306-Y306</f>
        <v>0</v>
      </c>
      <c r="AC306" s="60" t="n">
        <v>800</v>
      </c>
      <c r="AD306" s="61"/>
      <c r="AE306" s="62" t="n">
        <f aca="false">AB306+AC306-AD306</f>
        <v>800</v>
      </c>
      <c r="AF306" s="60" t="n">
        <v>800</v>
      </c>
      <c r="AG306" s="61"/>
      <c r="AH306" s="62" t="n">
        <f aca="false">AE306+AF306-AG306</f>
        <v>1600</v>
      </c>
      <c r="AI306" s="60" t="n">
        <v>800</v>
      </c>
      <c r="AJ306" s="61" t="n">
        <v>4800</v>
      </c>
      <c r="AK306" s="62" t="n">
        <f aca="false">AH306+AI306-AJ306</f>
        <v>-2400</v>
      </c>
      <c r="AL306" s="60" t="n">
        <v>800</v>
      </c>
      <c r="AM306" s="61"/>
      <c r="AN306" s="62" t="n">
        <f aca="false">AK306+AL306-AM306</f>
        <v>-1600</v>
      </c>
    </row>
    <row collapsed="false" customFormat="true" customHeight="false" hidden="false" ht="15" outlineLevel="0" r="307" s="64">
      <c r="A307" s="63" t="n">
        <f aca="false">VLOOKUP(B307,справочник!$B$2:$E$322,4,0)</f>
        <v>88</v>
      </c>
      <c r="B307" s="64" t="e">
        <f aca="false">CONCATENATE(C307;D307)</f>
        <v>#VALUE!</v>
      </c>
      <c r="C307" s="36" t="s">
        <v>666</v>
      </c>
      <c r="D307" s="65" t="s">
        <v>270</v>
      </c>
      <c r="E307" s="36" t="s">
        <v>667</v>
      </c>
      <c r="F307" s="34" t="n">
        <v>40925</v>
      </c>
      <c r="G307" s="34" t="n">
        <v>40909</v>
      </c>
      <c r="H307" s="35" t="n">
        <f aca="false">INT(($H$325-G307)/30)</f>
        <v>48</v>
      </c>
      <c r="I307" s="36" t="n">
        <f aca="false">H307*1000</f>
        <v>48000</v>
      </c>
      <c r="J307" s="35" t="n">
        <v>44000</v>
      </c>
      <c r="K307" s="35"/>
      <c r="L307" s="66" t="n">
        <f aca="false">I307-J307-K307</f>
        <v>4000</v>
      </c>
      <c r="M307" s="87" t="n">
        <v>8000</v>
      </c>
      <c r="N307" s="87"/>
      <c r="O307" s="87"/>
      <c r="P307" s="87"/>
      <c r="Q307" s="87"/>
      <c r="R307" s="87"/>
      <c r="S307" s="87" t="n">
        <v>9600</v>
      </c>
      <c r="T307" s="87"/>
      <c r="U307" s="87"/>
      <c r="V307" s="87"/>
      <c r="W307" s="87"/>
      <c r="X307" s="87"/>
      <c r="Y307" s="66" t="n">
        <f aca="false">SUM(M307:X307)</f>
        <v>17600</v>
      </c>
      <c r="Z307" s="66" t="n">
        <v>12</v>
      </c>
      <c r="AA307" s="66" t="n">
        <f aca="false">Z307*800</f>
        <v>9600</v>
      </c>
      <c r="AB307" s="66" t="n">
        <f aca="false">L307+AA307-Y307</f>
        <v>-4000</v>
      </c>
      <c r="AC307" s="66" t="n">
        <v>800</v>
      </c>
      <c r="AD307" s="67"/>
      <c r="AE307" s="89" t="n">
        <f aca="false">+SUM(AC307:AC308)</f>
        <v>800</v>
      </c>
      <c r="AF307" s="66" t="n">
        <v>800</v>
      </c>
      <c r="AG307" s="67"/>
      <c r="AH307" s="89" t="n">
        <f aca="false">+SUM(AF307:AF308)</f>
        <v>800</v>
      </c>
      <c r="AI307" s="66" t="n">
        <v>800</v>
      </c>
      <c r="AJ307" s="67"/>
      <c r="AK307" s="89" t="n">
        <f aca="false">+SUM(AI307:AI308)</f>
        <v>800</v>
      </c>
      <c r="AL307" s="66" t="n">
        <v>800</v>
      </c>
      <c r="AM307" s="67"/>
      <c r="AN307" s="89" t="n">
        <f aca="false">+SUM(AL307:AL308)</f>
        <v>800</v>
      </c>
    </row>
    <row collapsed="false" customFormat="false" customHeight="false" hidden="false" ht="15" outlineLevel="0" r="308">
      <c r="A308" s="63" t="n">
        <f aca="false">VLOOKUP(B308,справочник!$B$2:$E$322,4,0)</f>
        <v>88</v>
      </c>
      <c r="B308" s="64" t="e">
        <f aca="false">CONCATENATE(C308;D308)</f>
        <v>#VALUE!</v>
      </c>
      <c r="C308" s="36" t="s">
        <v>666</v>
      </c>
      <c r="D308" s="65" t="s">
        <v>270</v>
      </c>
      <c r="E308" s="36" t="s">
        <v>668</v>
      </c>
      <c r="F308" s="34" t="n">
        <v>40925</v>
      </c>
      <c r="G308" s="34" t="n">
        <v>40909</v>
      </c>
      <c r="H308" s="35" t="n">
        <f aca="false">INT(($H$325-G308)/30)</f>
        <v>48</v>
      </c>
      <c r="I308" s="36" t="n">
        <f aca="false">H308*1000</f>
        <v>48000</v>
      </c>
      <c r="J308" s="35" t="n">
        <v>44000</v>
      </c>
      <c r="K308" s="35"/>
      <c r="L308" s="66" t="n">
        <f aca="false">I308-J308-K308</f>
        <v>4000</v>
      </c>
      <c r="M308" s="87"/>
      <c r="N308" s="87"/>
      <c r="O308" s="87"/>
      <c r="P308" s="87"/>
      <c r="Q308" s="87"/>
      <c r="R308" s="87"/>
      <c r="S308" s="87"/>
      <c r="T308" s="87"/>
      <c r="U308" s="87"/>
      <c r="V308" s="87"/>
      <c r="W308" s="87"/>
      <c r="X308" s="87"/>
      <c r="Y308" s="66" t="n">
        <f aca="false">SUM(M308:X308)</f>
        <v>0</v>
      </c>
      <c r="Z308" s="66" t="n">
        <v>0</v>
      </c>
      <c r="AA308" s="66" t="n">
        <f aca="false">Z308*800</f>
        <v>0</v>
      </c>
      <c r="AB308" s="66" t="n">
        <f aca="false">L308+AA308-Y308</f>
        <v>4000</v>
      </c>
      <c r="AC308" s="66" t="n">
        <v>0</v>
      </c>
      <c r="AD308" s="67"/>
      <c r="AE308" s="89"/>
      <c r="AF308" s="66" t="n">
        <v>0</v>
      </c>
      <c r="AG308" s="67"/>
      <c r="AH308" s="89"/>
      <c r="AI308" s="66" t="n">
        <v>0</v>
      </c>
      <c r="AJ308" s="67" t="n">
        <v>4800</v>
      </c>
      <c r="AK308" s="89"/>
      <c r="AL308" s="66" t="n">
        <v>0</v>
      </c>
      <c r="AM308" s="67"/>
      <c r="AN308" s="89"/>
    </row>
    <row collapsed="false" customFormat="false" customHeight="false" hidden="false" ht="15" outlineLevel="0" r="309">
      <c r="A309" s="19" t="n">
        <f aca="false">VLOOKUP(B309,справочник!$B$2:$E$322,4,0)</f>
        <v>78</v>
      </c>
      <c r="B309" s="0" t="e">
        <f aca="false">CONCATENATE(C309;D309)</f>
        <v>#VALUE!</v>
      </c>
      <c r="C309" s="24" t="n">
        <v>83</v>
      </c>
      <c r="D309" s="29" t="s">
        <v>61</v>
      </c>
      <c r="E309" s="24"/>
      <c r="F309" s="30" t="n">
        <v>41456</v>
      </c>
      <c r="G309" s="30" t="n">
        <v>41457</v>
      </c>
      <c r="H309" s="31" t="n">
        <f aca="false">INT(($H$325-G309)/30)</f>
        <v>30</v>
      </c>
      <c r="I309" s="24" t="n">
        <v>30000</v>
      </c>
      <c r="J309" s="31" t="n">
        <v>0</v>
      </c>
      <c r="K309" s="31"/>
      <c r="L309" s="59" t="n">
        <v>30000</v>
      </c>
      <c r="M309" s="85"/>
      <c r="N309" s="85"/>
      <c r="O309" s="85"/>
      <c r="P309" s="85"/>
      <c r="Q309" s="85"/>
      <c r="R309" s="85"/>
      <c r="S309" s="85"/>
      <c r="T309" s="85"/>
      <c r="U309" s="85" t="n">
        <v>25000</v>
      </c>
      <c r="V309" s="85"/>
      <c r="W309" s="85"/>
      <c r="X309" s="85"/>
      <c r="Y309" s="59" t="n">
        <f aca="false">SUM(M309:X309)</f>
        <v>25000</v>
      </c>
      <c r="Z309" s="59" t="n">
        <v>12</v>
      </c>
      <c r="AA309" s="59" t="n">
        <f aca="false">Z309*800</f>
        <v>9600</v>
      </c>
      <c r="AB309" s="59" t="n">
        <f aca="false">L309+AA309-Y309</f>
        <v>14600</v>
      </c>
      <c r="AC309" s="60" t="n">
        <v>800</v>
      </c>
      <c r="AD309" s="61"/>
      <c r="AE309" s="62" t="n">
        <f aca="false">AB309+AC309-AD309</f>
        <v>15400</v>
      </c>
      <c r="AF309" s="60" t="n">
        <v>800</v>
      </c>
      <c r="AG309" s="61"/>
      <c r="AH309" s="62" t="n">
        <f aca="false">AE309+AF309-AG309</f>
        <v>16200</v>
      </c>
      <c r="AI309" s="60" t="n">
        <v>800</v>
      </c>
      <c r="AJ309" s="61"/>
      <c r="AK309" s="62" t="n">
        <f aca="false">AH309+AI309-AJ309</f>
        <v>17000</v>
      </c>
      <c r="AL309" s="60" t="n">
        <v>800</v>
      </c>
      <c r="AM309" s="61"/>
      <c r="AN309" s="62" t="n">
        <f aca="false">AK309+AL309-AM309</f>
        <v>17800</v>
      </c>
    </row>
    <row collapsed="false" customFormat="false" customHeight="false" hidden="false" ht="15" outlineLevel="0" r="310">
      <c r="A310" s="19" t="n">
        <f aca="false">VLOOKUP(B310,справочник!$B$2:$E$322,4,0)</f>
        <v>77</v>
      </c>
      <c r="B310" s="0" t="e">
        <f aca="false">CONCATENATE(C310;D310)</f>
        <v>#VALUE!</v>
      </c>
      <c r="C310" s="24" t="n">
        <v>83</v>
      </c>
      <c r="D310" s="29" t="s">
        <v>54</v>
      </c>
      <c r="E310" s="24" t="s">
        <v>669</v>
      </c>
      <c r="F310" s="30" t="n">
        <v>40932</v>
      </c>
      <c r="G310" s="30" t="n">
        <v>40909</v>
      </c>
      <c r="H310" s="31" t="n">
        <f aca="false">INT(($H$325-G310)/30)</f>
        <v>48</v>
      </c>
      <c r="I310" s="24" t="n">
        <f aca="false">H310*1000</f>
        <v>48000</v>
      </c>
      <c r="J310" s="31" t="n">
        <v>15000</v>
      </c>
      <c r="K310" s="31"/>
      <c r="L310" s="59" t="n">
        <f aca="false">I310-J310-K310</f>
        <v>33000</v>
      </c>
      <c r="M310" s="85"/>
      <c r="N310" s="85"/>
      <c r="O310" s="85"/>
      <c r="P310" s="85"/>
      <c r="Q310" s="85"/>
      <c r="R310" s="85"/>
      <c r="S310" s="85"/>
      <c r="T310" s="85"/>
      <c r="U310" s="85"/>
      <c r="V310" s="85"/>
      <c r="W310" s="85"/>
      <c r="X310" s="85"/>
      <c r="Y310" s="59" t="n">
        <f aca="false">SUM(M310:X310)</f>
        <v>0</v>
      </c>
      <c r="Z310" s="59" t="n">
        <v>12</v>
      </c>
      <c r="AA310" s="59" t="n">
        <f aca="false">Z310*800</f>
        <v>9600</v>
      </c>
      <c r="AB310" s="59" t="n">
        <f aca="false">L310+AA310-Y310</f>
        <v>42600</v>
      </c>
      <c r="AC310" s="60" t="n">
        <v>800</v>
      </c>
      <c r="AD310" s="61"/>
      <c r="AE310" s="62" t="n">
        <f aca="false">AB310+AC310-AD310</f>
        <v>43400</v>
      </c>
      <c r="AF310" s="60" t="n">
        <v>800</v>
      </c>
      <c r="AG310" s="61"/>
      <c r="AH310" s="62" t="n">
        <f aca="false">AE310+AF310-AG310</f>
        <v>44200</v>
      </c>
      <c r="AI310" s="60" t="n">
        <v>800</v>
      </c>
      <c r="AJ310" s="61"/>
      <c r="AK310" s="62" t="n">
        <f aca="false">AH310+AI310-AJ310</f>
        <v>45000</v>
      </c>
      <c r="AL310" s="60" t="n">
        <v>800</v>
      </c>
      <c r="AM310" s="61"/>
      <c r="AN310" s="62" t="n">
        <f aca="false">AK310+AL310-AM310</f>
        <v>45800</v>
      </c>
    </row>
    <row collapsed="false" customFormat="false" customHeight="true" hidden="false" ht="25.5" outlineLevel="0" r="311">
      <c r="A311" s="19" t="n">
        <f aca="false">VLOOKUP(B311,справочник!$B$2:$E$322,4,0)</f>
        <v>306</v>
      </c>
      <c r="B311" s="0" t="e">
        <f aca="false">CONCATENATE(C311;D311)</f>
        <v>#VALUE!</v>
      </c>
      <c r="C311" s="24" t="n">
        <v>321</v>
      </c>
      <c r="D311" s="29" t="s">
        <v>57</v>
      </c>
      <c r="E311" s="24" t="s">
        <v>670</v>
      </c>
      <c r="F311" s="30" t="n">
        <v>41093</v>
      </c>
      <c r="G311" s="30" t="n">
        <v>41091</v>
      </c>
      <c r="H311" s="31" t="n">
        <f aca="false">INT(($H$325-G311)/30)</f>
        <v>42</v>
      </c>
      <c r="I311" s="24" t="n">
        <f aca="false">H311*1000</f>
        <v>42000</v>
      </c>
      <c r="J311" s="31" t="n">
        <v>11000</v>
      </c>
      <c r="K311" s="31"/>
      <c r="L311" s="59" t="n">
        <f aca="false">I311-J311-K311</f>
        <v>31000</v>
      </c>
      <c r="M311" s="85"/>
      <c r="N311" s="85"/>
      <c r="O311" s="85"/>
      <c r="P311" s="85"/>
      <c r="Q311" s="85"/>
      <c r="R311" s="85"/>
      <c r="S311" s="85"/>
      <c r="T311" s="85"/>
      <c r="U311" s="85"/>
      <c r="V311" s="85"/>
      <c r="W311" s="85"/>
      <c r="X311" s="85"/>
      <c r="Y311" s="59" t="n">
        <f aca="false">SUM(M311:X311)</f>
        <v>0</v>
      </c>
      <c r="Z311" s="59" t="n">
        <v>12</v>
      </c>
      <c r="AA311" s="59" t="n">
        <f aca="false">Z311*800</f>
        <v>9600</v>
      </c>
      <c r="AB311" s="59" t="n">
        <f aca="false">L311+AA311-Y311</f>
        <v>40600</v>
      </c>
      <c r="AC311" s="60" t="n">
        <v>800</v>
      </c>
      <c r="AD311" s="61"/>
      <c r="AE311" s="62" t="n">
        <f aca="false">AB311+AC311-AD311</f>
        <v>41400</v>
      </c>
      <c r="AF311" s="60" t="n">
        <v>800</v>
      </c>
      <c r="AG311" s="61"/>
      <c r="AH311" s="62" t="n">
        <f aca="false">AE311+AF311-AG311</f>
        <v>42200</v>
      </c>
      <c r="AI311" s="60" t="n">
        <v>800</v>
      </c>
      <c r="AJ311" s="61"/>
      <c r="AK311" s="62" t="n">
        <f aca="false">AH311+AI311-AJ311</f>
        <v>43000</v>
      </c>
      <c r="AL311" s="60" t="n">
        <v>800</v>
      </c>
      <c r="AM311" s="61"/>
      <c r="AN311" s="62" t="n">
        <f aca="false">AK311+AL311-AM311</f>
        <v>43800</v>
      </c>
    </row>
    <row collapsed="false" customFormat="false" customHeight="true" hidden="false" ht="25.5" outlineLevel="0" r="312">
      <c r="A312" s="19" t="n">
        <f aca="false">VLOOKUP(B312,справочник!$B$2:$E$322,4,0)</f>
        <v>182</v>
      </c>
      <c r="B312" s="0" t="e">
        <f aca="false">CONCATENATE(C312;D312)</f>
        <v>#VALUE!</v>
      </c>
      <c r="C312" s="24" t="n">
        <v>190</v>
      </c>
      <c r="D312" s="29" t="s">
        <v>251</v>
      </c>
      <c r="E312" s="24" t="s">
        <v>671</v>
      </c>
      <c r="F312" s="30" t="n">
        <v>41734</v>
      </c>
      <c r="G312" s="30" t="n">
        <v>41760</v>
      </c>
      <c r="H312" s="31" t="n">
        <f aca="false">INT(($H$325-G312)/30)</f>
        <v>20</v>
      </c>
      <c r="I312" s="24" t="n">
        <f aca="false">H312*1000</f>
        <v>20000</v>
      </c>
      <c r="J312" s="31" t="n">
        <v>14000</v>
      </c>
      <c r="K312" s="31"/>
      <c r="L312" s="59" t="n">
        <f aca="false">I312-J312-K312</f>
        <v>6000</v>
      </c>
      <c r="M312" s="85"/>
      <c r="N312" s="85"/>
      <c r="O312" s="85"/>
      <c r="P312" s="85"/>
      <c r="Q312" s="85" t="n">
        <v>9200</v>
      </c>
      <c r="R312" s="85"/>
      <c r="S312" s="85"/>
      <c r="T312" s="85"/>
      <c r="U312" s="85"/>
      <c r="V312" s="85"/>
      <c r="W312" s="85"/>
      <c r="X312" s="85"/>
      <c r="Y312" s="59" t="n">
        <f aca="false">SUM(M312:X312)</f>
        <v>9200</v>
      </c>
      <c r="Z312" s="59" t="n">
        <v>12</v>
      </c>
      <c r="AA312" s="59" t="n">
        <f aca="false">Z312*800</f>
        <v>9600</v>
      </c>
      <c r="AB312" s="59" t="n">
        <f aca="false">L312+AA312-Y312</f>
        <v>6400</v>
      </c>
      <c r="AC312" s="60" t="n">
        <v>800</v>
      </c>
      <c r="AD312" s="61"/>
      <c r="AE312" s="62" t="n">
        <f aca="false">AB312+AC312-AD312</f>
        <v>7200</v>
      </c>
      <c r="AF312" s="60" t="n">
        <v>800</v>
      </c>
      <c r="AG312" s="61"/>
      <c r="AH312" s="62" t="n">
        <f aca="false">AE312+AF312-AG312</f>
        <v>8000</v>
      </c>
      <c r="AI312" s="60" t="n">
        <v>800</v>
      </c>
      <c r="AJ312" s="61"/>
      <c r="AK312" s="62" t="n">
        <f aca="false">AH312+AI312-AJ312</f>
        <v>8800</v>
      </c>
      <c r="AL312" s="60" t="n">
        <v>800</v>
      </c>
      <c r="AM312" s="61"/>
      <c r="AN312" s="62" t="n">
        <f aca="false">AK312+AL312-AM312</f>
        <v>9600</v>
      </c>
    </row>
    <row collapsed="false" customFormat="false" customHeight="false" hidden="false" ht="15" outlineLevel="0" r="313">
      <c r="A313" s="19" t="n">
        <f aca="false">VLOOKUP(B313,справочник!$B$2:$E$322,4,0)</f>
        <v>95</v>
      </c>
      <c r="B313" s="0" t="e">
        <f aca="false">CONCATENATE(C313;D313)</f>
        <v>#VALUE!</v>
      </c>
      <c r="C313" s="24" t="n">
        <v>100</v>
      </c>
      <c r="D313" s="29" t="s">
        <v>269</v>
      </c>
      <c r="E313" s="24" t="s">
        <v>672</v>
      </c>
      <c r="F313" s="30" t="n">
        <v>41401</v>
      </c>
      <c r="G313" s="30" t="n">
        <v>41609</v>
      </c>
      <c r="H313" s="31" t="n">
        <f aca="false">INT(($H$325-G313)/30)</f>
        <v>25</v>
      </c>
      <c r="I313" s="24" t="n">
        <f aca="false">H313*1000</f>
        <v>25000</v>
      </c>
      <c r="J313" s="31" t="n">
        <v>20000</v>
      </c>
      <c r="K313" s="31"/>
      <c r="L313" s="59" t="n">
        <f aca="false">I313-J313-K313</f>
        <v>5000</v>
      </c>
      <c r="M313" s="85"/>
      <c r="N313" s="85"/>
      <c r="O313" s="85"/>
      <c r="P313" s="85"/>
      <c r="Q313" s="85"/>
      <c r="R313" s="85" t="n">
        <v>9000</v>
      </c>
      <c r="S313" s="85"/>
      <c r="T313" s="85"/>
      <c r="U313" s="85"/>
      <c r="V313" s="85"/>
      <c r="W313" s="85"/>
      <c r="X313" s="85"/>
      <c r="Y313" s="59" t="n">
        <f aca="false">SUM(M313:X313)</f>
        <v>9000</v>
      </c>
      <c r="Z313" s="59" t="n">
        <v>12</v>
      </c>
      <c r="AA313" s="59" t="n">
        <f aca="false">Z313*800</f>
        <v>9600</v>
      </c>
      <c r="AB313" s="59" t="n">
        <f aca="false">L313+AA313-Y313</f>
        <v>5600</v>
      </c>
      <c r="AC313" s="60" t="n">
        <v>800</v>
      </c>
      <c r="AD313" s="61"/>
      <c r="AE313" s="62" t="n">
        <f aca="false">AB313+AC313-AD313</f>
        <v>6400</v>
      </c>
      <c r="AF313" s="60" t="n">
        <v>800</v>
      </c>
      <c r="AG313" s="61"/>
      <c r="AH313" s="62" t="n">
        <f aca="false">AE313+AF313-AG313</f>
        <v>7200</v>
      </c>
      <c r="AI313" s="60" t="n">
        <v>800</v>
      </c>
      <c r="AJ313" s="61"/>
      <c r="AK313" s="62" t="n">
        <f aca="false">AH313+AI313-AJ313</f>
        <v>8000</v>
      </c>
      <c r="AL313" s="60" t="n">
        <v>800</v>
      </c>
      <c r="AM313" s="61"/>
      <c r="AN313" s="62" t="n">
        <f aca="false">AK313+AL313-AM313</f>
        <v>8800</v>
      </c>
    </row>
    <row collapsed="false" customFormat="false" customHeight="false" hidden="false" ht="15" outlineLevel="0" r="314">
      <c r="A314" s="19" t="n">
        <f aca="false">VLOOKUP(B314,справочник!$B$2:$E$322,4,0)</f>
        <v>108</v>
      </c>
      <c r="B314" s="0" t="e">
        <f aca="false">CONCATENATE(C314;D314)</f>
        <v>#VALUE!</v>
      </c>
      <c r="C314" s="24" t="n">
        <v>113</v>
      </c>
      <c r="D314" s="29" t="s">
        <v>285</v>
      </c>
      <c r="E314" s="24" t="s">
        <v>673</v>
      </c>
      <c r="F314" s="30" t="n">
        <v>40938</v>
      </c>
      <c r="G314" s="30" t="n">
        <v>40940</v>
      </c>
      <c r="H314" s="31" t="n">
        <f aca="false">INT(($H$325-G314)/30)</f>
        <v>47</v>
      </c>
      <c r="I314" s="24" t="n">
        <f aca="false">H314*1000</f>
        <v>47000</v>
      </c>
      <c r="J314" s="31" t="n">
        <f aca="false">24000+11000</f>
        <v>35000</v>
      </c>
      <c r="K314" s="31" t="n">
        <v>8000</v>
      </c>
      <c r="L314" s="59" t="n">
        <f aca="false">I314-J314-K314</f>
        <v>4000</v>
      </c>
      <c r="M314" s="85"/>
      <c r="N314" s="85" t="n">
        <v>4000</v>
      </c>
      <c r="O314" s="85" t="n">
        <v>2400</v>
      </c>
      <c r="P314" s="85"/>
      <c r="Q314" s="85"/>
      <c r="R314" s="85" t="n">
        <v>2400</v>
      </c>
      <c r="S314" s="85"/>
      <c r="T314" s="85"/>
      <c r="U314" s="85" t="n">
        <v>2400</v>
      </c>
      <c r="V314" s="85"/>
      <c r="W314" s="85"/>
      <c r="X314" s="85" t="n">
        <v>2400</v>
      </c>
      <c r="Y314" s="59" t="n">
        <f aca="false">SUM(M314:X314)</f>
        <v>13600</v>
      </c>
      <c r="Z314" s="59" t="n">
        <v>12</v>
      </c>
      <c r="AA314" s="59" t="n">
        <f aca="false">Z314*800</f>
        <v>9600</v>
      </c>
      <c r="AB314" s="59" t="n">
        <f aca="false">L314+AA314-Y314</f>
        <v>0</v>
      </c>
      <c r="AC314" s="60" t="n">
        <v>800</v>
      </c>
      <c r="AD314" s="61"/>
      <c r="AE314" s="62" t="n">
        <f aca="false">AB314+AC314-AD314</f>
        <v>800</v>
      </c>
      <c r="AF314" s="60" t="n">
        <v>800</v>
      </c>
      <c r="AG314" s="61"/>
      <c r="AH314" s="62" t="n">
        <f aca="false">AE314+AF314-AG314</f>
        <v>1600</v>
      </c>
      <c r="AI314" s="60" t="n">
        <v>800</v>
      </c>
      <c r="AJ314" s="61"/>
      <c r="AK314" s="62" t="n">
        <f aca="false">AH314+AI314-AJ314</f>
        <v>2400</v>
      </c>
      <c r="AL314" s="60" t="n">
        <v>800</v>
      </c>
      <c r="AM314" s="61" t="n">
        <v>2400</v>
      </c>
      <c r="AN314" s="62" t="n">
        <f aca="false">AK314+AL314-AM314</f>
        <v>800</v>
      </c>
    </row>
    <row collapsed="false" customFormat="false" customHeight="false" hidden="false" ht="15" outlineLevel="0" r="315">
      <c r="A315" s="19" t="n">
        <f aca="false">VLOOKUP(B315,справочник!$B$2:$E$322,4,0)</f>
        <v>41</v>
      </c>
      <c r="B315" s="0" t="e">
        <f aca="false">CONCATENATE(C315;D315)</f>
        <v>#VALUE!</v>
      </c>
      <c r="C315" s="24" t="n">
        <v>41</v>
      </c>
      <c r="D315" s="29" t="s">
        <v>122</v>
      </c>
      <c r="E315" s="24" t="s">
        <v>674</v>
      </c>
      <c r="F315" s="30" t="n">
        <v>40772</v>
      </c>
      <c r="G315" s="30" t="n">
        <v>40756</v>
      </c>
      <c r="H315" s="31" t="n">
        <f aca="false">INT(($H$325-G315)/30)</f>
        <v>53</v>
      </c>
      <c r="I315" s="24" t="n">
        <f aca="false">H315*1000</f>
        <v>53000</v>
      </c>
      <c r="J315" s="31" t="n">
        <f aca="false">1000+37000</f>
        <v>38000</v>
      </c>
      <c r="K315" s="31"/>
      <c r="L315" s="59" t="n">
        <f aca="false">I315-J315-K315</f>
        <v>15000</v>
      </c>
      <c r="M315" s="85"/>
      <c r="N315" s="85"/>
      <c r="O315" s="85"/>
      <c r="P315" s="85"/>
      <c r="Q315" s="85"/>
      <c r="R315" s="85"/>
      <c r="S315" s="85"/>
      <c r="T315" s="85"/>
      <c r="U315" s="85" t="n">
        <v>21400</v>
      </c>
      <c r="V315" s="85"/>
      <c r="W315" s="85"/>
      <c r="X315" s="85"/>
      <c r="Y315" s="59" t="n">
        <f aca="false">SUM(M315:X315)</f>
        <v>21400</v>
      </c>
      <c r="Z315" s="59" t="n">
        <v>12</v>
      </c>
      <c r="AA315" s="59" t="n">
        <f aca="false">Z315*800</f>
        <v>9600</v>
      </c>
      <c r="AB315" s="59" t="n">
        <f aca="false">L315+AA315-Y315</f>
        <v>3200</v>
      </c>
      <c r="AC315" s="60" t="n">
        <v>800</v>
      </c>
      <c r="AD315" s="61"/>
      <c r="AE315" s="62" t="n">
        <f aca="false">AB315+AC315-AD315</f>
        <v>4000</v>
      </c>
      <c r="AF315" s="60" t="n">
        <v>800</v>
      </c>
      <c r="AG315" s="61"/>
      <c r="AH315" s="62" t="n">
        <f aca="false">AE315+AF315-AG315</f>
        <v>4800</v>
      </c>
      <c r="AI315" s="60" t="n">
        <v>800</v>
      </c>
      <c r="AJ315" s="61" t="n">
        <v>5600</v>
      </c>
      <c r="AK315" s="62" t="n">
        <f aca="false">AH315+AI315-AJ315</f>
        <v>0</v>
      </c>
      <c r="AL315" s="60" t="n">
        <v>800</v>
      </c>
      <c r="AM315" s="61"/>
      <c r="AN315" s="62" t="n">
        <f aca="false">AK315+AL315-AM315</f>
        <v>800</v>
      </c>
    </row>
    <row collapsed="false" customFormat="false" customHeight="true" hidden="false" ht="25.5" outlineLevel="0" r="316">
      <c r="A316" s="19" t="n">
        <f aca="false">VLOOKUP(B316,справочник!$B$2:$E$322,4,0)</f>
        <v>152</v>
      </c>
      <c r="B316" s="0" t="e">
        <f aca="false">CONCATENATE(C316;D316)</f>
        <v>#VALUE!</v>
      </c>
      <c r="C316" s="24" t="n">
        <v>160</v>
      </c>
      <c r="D316" s="29" t="s">
        <v>185</v>
      </c>
      <c r="E316" s="24" t="s">
        <v>675</v>
      </c>
      <c r="F316" s="30" t="n">
        <v>40850</v>
      </c>
      <c r="G316" s="30" t="n">
        <v>40848</v>
      </c>
      <c r="H316" s="31" t="n">
        <f aca="false">INT(($H$325-G316)/30)</f>
        <v>50</v>
      </c>
      <c r="I316" s="24" t="n">
        <f aca="false">H316*1000</f>
        <v>50000</v>
      </c>
      <c r="J316" s="31" t="n">
        <f aca="false">46000+1000</f>
        <v>47000</v>
      </c>
      <c r="K316" s="31"/>
      <c r="L316" s="59" t="n">
        <f aca="false">I316-J316-K316</f>
        <v>3000</v>
      </c>
      <c r="M316" s="85"/>
      <c r="N316" s="85"/>
      <c r="O316" s="85"/>
      <c r="P316" s="85"/>
      <c r="Q316" s="85"/>
      <c r="R316" s="85"/>
      <c r="S316" s="85"/>
      <c r="T316" s="85"/>
      <c r="U316" s="85"/>
      <c r="V316" s="85"/>
      <c r="W316" s="85"/>
      <c r="X316" s="85"/>
      <c r="Y316" s="59" t="n">
        <f aca="false">SUM(M316:X316)</f>
        <v>0</v>
      </c>
      <c r="Z316" s="59" t="n">
        <v>12</v>
      </c>
      <c r="AA316" s="59" t="n">
        <f aca="false">Z316*800</f>
        <v>9600</v>
      </c>
      <c r="AB316" s="59" t="n">
        <f aca="false">L316+AA316-Y316</f>
        <v>12600</v>
      </c>
      <c r="AC316" s="60" t="n">
        <v>800</v>
      </c>
      <c r="AD316" s="61"/>
      <c r="AE316" s="62" t="n">
        <f aca="false">AB316+AC316-AD316</f>
        <v>13400</v>
      </c>
      <c r="AF316" s="60" t="n">
        <v>800</v>
      </c>
      <c r="AG316" s="61"/>
      <c r="AH316" s="62" t="n">
        <f aca="false">AE316+AF316-AG316</f>
        <v>14200</v>
      </c>
      <c r="AI316" s="60" t="n">
        <v>800</v>
      </c>
      <c r="AJ316" s="61"/>
      <c r="AK316" s="62" t="n">
        <f aca="false">AH316+AI316-AJ316</f>
        <v>15000</v>
      </c>
      <c r="AL316" s="60" t="n">
        <v>800</v>
      </c>
      <c r="AM316" s="61"/>
      <c r="AN316" s="62" t="n">
        <f aca="false">AK316+AL316-AM316</f>
        <v>15800</v>
      </c>
    </row>
    <row collapsed="false" customFormat="false" customHeight="false" hidden="false" ht="15" outlineLevel="0" r="317">
      <c r="A317" s="19" t="n">
        <f aca="false">VLOOKUP(B317,справочник!$B$2:$E$322,4,0)</f>
        <v>227</v>
      </c>
      <c r="B317" s="0" t="e">
        <f aca="false">CONCATENATE(C317;D317)</f>
        <v>#VALUE!</v>
      </c>
      <c r="C317" s="24" t="n">
        <v>236</v>
      </c>
      <c r="D317" s="29" t="s">
        <v>191</v>
      </c>
      <c r="E317" s="24" t="s">
        <v>676</v>
      </c>
      <c r="F317" s="30" t="n">
        <v>41738</v>
      </c>
      <c r="G317" s="30" t="n">
        <v>41760</v>
      </c>
      <c r="H317" s="31" t="n">
        <f aca="false">INT(($H$325-G317)/30)</f>
        <v>20</v>
      </c>
      <c r="I317" s="24" t="n">
        <f aca="false">H317*1000</f>
        <v>20000</v>
      </c>
      <c r="J317" s="31" t="n">
        <v>9000</v>
      </c>
      <c r="K317" s="31"/>
      <c r="L317" s="59" t="n">
        <f aca="false">I317-J317-K317</f>
        <v>11000</v>
      </c>
      <c r="M317" s="85"/>
      <c r="N317" s="85" t="n">
        <v>3800</v>
      </c>
      <c r="O317" s="85" t="n">
        <v>4800</v>
      </c>
      <c r="P317" s="85"/>
      <c r="Q317" s="85"/>
      <c r="R317" s="85"/>
      <c r="S317" s="85"/>
      <c r="T317" s="85"/>
      <c r="U317" s="85"/>
      <c r="V317" s="85"/>
      <c r="W317" s="85"/>
      <c r="X317" s="85"/>
      <c r="Y317" s="59" t="n">
        <f aca="false">SUM(M317:X317)</f>
        <v>8600</v>
      </c>
      <c r="Z317" s="59" t="n">
        <v>12</v>
      </c>
      <c r="AA317" s="59" t="n">
        <f aca="false">Z317*800</f>
        <v>9600</v>
      </c>
      <c r="AB317" s="59" t="n">
        <f aca="false">L317+AA317-Y317</f>
        <v>12000</v>
      </c>
      <c r="AC317" s="60" t="n">
        <v>800</v>
      </c>
      <c r="AD317" s="61"/>
      <c r="AE317" s="62" t="n">
        <f aca="false">AB317+AC317-AD317</f>
        <v>12800</v>
      </c>
      <c r="AF317" s="60" t="n">
        <v>800</v>
      </c>
      <c r="AG317" s="61"/>
      <c r="AH317" s="62" t="n">
        <f aca="false">AE317+AF317-AG317</f>
        <v>13600</v>
      </c>
      <c r="AI317" s="60" t="n">
        <v>800</v>
      </c>
      <c r="AJ317" s="61"/>
      <c r="AK317" s="62" t="n">
        <f aca="false">AH317+AI317-AJ317</f>
        <v>14400</v>
      </c>
      <c r="AL317" s="60" t="n">
        <v>800</v>
      </c>
      <c r="AM317" s="61"/>
      <c r="AN317" s="62" t="n">
        <f aca="false">AK317+AL317-AM317</f>
        <v>15200</v>
      </c>
    </row>
    <row collapsed="false" customFormat="false" customHeight="false" hidden="false" ht="15" outlineLevel="0" r="318">
      <c r="A318" s="19" t="n">
        <f aca="false">VLOOKUP(B318,справочник!$B$2:$E$322,4,0)</f>
        <v>15</v>
      </c>
      <c r="B318" s="0" t="e">
        <f aca="false">CONCATENATE(C318;D318)</f>
        <v>#VALUE!</v>
      </c>
      <c r="C318" s="24" t="n">
        <v>15</v>
      </c>
      <c r="D318" s="29" t="s">
        <v>292</v>
      </c>
      <c r="E318" s="24" t="s">
        <v>677</v>
      </c>
      <c r="F318" s="30" t="n">
        <v>41261</v>
      </c>
      <c r="G318" s="30" t="n">
        <v>41275</v>
      </c>
      <c r="H318" s="31" t="n">
        <f aca="false">INT(($H$325-G318)/30)</f>
        <v>36</v>
      </c>
      <c r="I318" s="24" t="n">
        <f aca="false">H318*1000</f>
        <v>36000</v>
      </c>
      <c r="J318" s="31" t="n">
        <v>32000</v>
      </c>
      <c r="K318" s="31"/>
      <c r="L318" s="59" t="n">
        <f aca="false">I318-J318-K318</f>
        <v>4000</v>
      </c>
      <c r="M318" s="85"/>
      <c r="N318" s="85" t="n">
        <v>4000</v>
      </c>
      <c r="O318" s="85"/>
      <c r="P318" s="85"/>
      <c r="Q318" s="85"/>
      <c r="R318" s="85" t="n">
        <v>4800</v>
      </c>
      <c r="S318" s="85"/>
      <c r="T318" s="85"/>
      <c r="U318" s="85" t="n">
        <v>2400</v>
      </c>
      <c r="V318" s="85"/>
      <c r="W318" s="85"/>
      <c r="X318" s="85"/>
      <c r="Y318" s="59" t="n">
        <f aca="false">SUM(M318:X318)</f>
        <v>11200</v>
      </c>
      <c r="Z318" s="59" t="n">
        <v>12</v>
      </c>
      <c r="AA318" s="59" t="n">
        <f aca="false">Z318*800</f>
        <v>9600</v>
      </c>
      <c r="AB318" s="59" t="n">
        <f aca="false">L318+AA318-Y318</f>
        <v>2400</v>
      </c>
      <c r="AC318" s="60" t="n">
        <v>800</v>
      </c>
      <c r="AD318" s="61"/>
      <c r="AE318" s="62" t="n">
        <f aca="false">AB318+AC318-AD318</f>
        <v>3200</v>
      </c>
      <c r="AF318" s="60" t="n">
        <v>800</v>
      </c>
      <c r="AG318" s="61" t="n">
        <v>4000</v>
      </c>
      <c r="AH318" s="62" t="n">
        <f aca="false">AE318+AF318-AG318</f>
        <v>0</v>
      </c>
      <c r="AI318" s="60" t="n">
        <v>800</v>
      </c>
      <c r="AJ318" s="61"/>
      <c r="AK318" s="62" t="n">
        <f aca="false">AH318+AI318-AJ318</f>
        <v>800</v>
      </c>
      <c r="AL318" s="60" t="n">
        <v>800</v>
      </c>
      <c r="AM318" s="61" t="n">
        <v>800</v>
      </c>
      <c r="AN318" s="62" t="n">
        <f aca="false">AK318+AL318-AM318</f>
        <v>800</v>
      </c>
    </row>
    <row collapsed="false" customFormat="false" customHeight="false" hidden="false" ht="15" outlineLevel="0" r="319">
      <c r="A319" s="19" t="n">
        <f aca="false">VLOOKUP(B319,справочник!$B$2:$E$322,4,0)</f>
        <v>240</v>
      </c>
      <c r="B319" s="0" t="e">
        <f aca="false">CONCATENATE(C319;D319)</f>
        <v>#VALUE!</v>
      </c>
      <c r="C319" s="24" t="n">
        <v>251</v>
      </c>
      <c r="D319" s="43" t="s">
        <v>225</v>
      </c>
      <c r="E319" s="24" t="s">
        <v>678</v>
      </c>
      <c r="F319" s="30" t="n">
        <v>40799</v>
      </c>
      <c r="G319" s="30" t="n">
        <v>40787</v>
      </c>
      <c r="H319" s="31" t="n">
        <f aca="false">INT(($H$325-G319)/30)</f>
        <v>52</v>
      </c>
      <c r="I319" s="24" t="n">
        <f aca="false">H319*1000</f>
        <v>52000</v>
      </c>
      <c r="J319" s="31" t="n">
        <f aca="false">1000+49000</f>
        <v>50000</v>
      </c>
      <c r="K319" s="31" t="n">
        <v>3000</v>
      </c>
      <c r="L319" s="59" t="n">
        <f aca="false">I319-J319-K319</f>
        <v>-1000</v>
      </c>
      <c r="M319" s="85"/>
      <c r="N319" s="85"/>
      <c r="O319" s="85"/>
      <c r="P319" s="85"/>
      <c r="Q319" s="85"/>
      <c r="R319" s="85"/>
      <c r="S319" s="85"/>
      <c r="T319" s="85"/>
      <c r="U319" s="85" t="n">
        <v>5000</v>
      </c>
      <c r="V319" s="85"/>
      <c r="W319" s="18" t="n">
        <v>1600</v>
      </c>
      <c r="X319" s="85"/>
      <c r="Y319" s="59" t="n">
        <f aca="false">SUM(M319:X319)</f>
        <v>6600</v>
      </c>
      <c r="Z319" s="59" t="n">
        <v>12</v>
      </c>
      <c r="AA319" s="59" t="n">
        <f aca="false">Z319*800</f>
        <v>9600</v>
      </c>
      <c r="AB319" s="59" t="n">
        <f aca="false">L319+AA319-Y319</f>
        <v>2000</v>
      </c>
      <c r="AC319" s="60" t="n">
        <v>800</v>
      </c>
      <c r="AD319" s="61" t="n">
        <v>2400</v>
      </c>
      <c r="AE319" s="62" t="n">
        <f aca="false">AB319+AC319-AD319</f>
        <v>400</v>
      </c>
      <c r="AF319" s="60" t="n">
        <v>800</v>
      </c>
      <c r="AG319" s="61"/>
      <c r="AH319" s="62" t="n">
        <f aca="false">AE319+AF319-AG319</f>
        <v>1200</v>
      </c>
      <c r="AI319" s="60" t="n">
        <v>800</v>
      </c>
      <c r="AJ319" s="61"/>
      <c r="AK319" s="62" t="n">
        <f aca="false">AH319+AI319-AJ319</f>
        <v>2000</v>
      </c>
      <c r="AL319" s="60" t="n">
        <v>800</v>
      </c>
      <c r="AM319" s="61" t="n">
        <v>2800</v>
      </c>
      <c r="AN319" s="62" t="n">
        <f aca="false">AK319+AL319-AM319</f>
        <v>0</v>
      </c>
    </row>
    <row collapsed="false" customFormat="false" customHeight="false" hidden="false" ht="15" outlineLevel="0" r="320">
      <c r="A320" s="19" t="n">
        <f aca="false">VLOOKUP(B320,справочник!$B$2:$E$322,4,0)</f>
        <v>10</v>
      </c>
      <c r="B320" s="0" t="e">
        <f aca="false">CONCATENATE(C320;D320)</f>
        <v>#VALUE!</v>
      </c>
      <c r="C320" s="24" t="n">
        <v>10</v>
      </c>
      <c r="D320" s="29" t="s">
        <v>221</v>
      </c>
      <c r="E320" s="24" t="s">
        <v>679</v>
      </c>
      <c r="F320" s="30" t="n">
        <v>42023</v>
      </c>
      <c r="G320" s="24"/>
      <c r="H320" s="31" t="n">
        <v>0</v>
      </c>
      <c r="I320" s="24" t="n">
        <f aca="false">H320*1000</f>
        <v>0</v>
      </c>
      <c r="J320" s="31"/>
      <c r="K320" s="31"/>
      <c r="L320" s="59" t="n">
        <f aca="false">I320-J320-K320</f>
        <v>0</v>
      </c>
      <c r="M320" s="85"/>
      <c r="N320" s="85"/>
      <c r="O320" s="85"/>
      <c r="P320" s="85"/>
      <c r="Q320" s="85"/>
      <c r="R320" s="85"/>
      <c r="S320" s="85"/>
      <c r="T320" s="85"/>
      <c r="U320" s="85"/>
      <c r="V320" s="85"/>
      <c r="W320" s="85"/>
      <c r="X320" s="85"/>
      <c r="Y320" s="59" t="n">
        <f aca="false">SUM(M320:X320)</f>
        <v>0</v>
      </c>
      <c r="Z320" s="59" t="n">
        <v>12</v>
      </c>
      <c r="AA320" s="59" t="n">
        <f aca="false">Z320*800</f>
        <v>9600</v>
      </c>
      <c r="AB320" s="59" t="n">
        <f aca="false">L320+AA320-Y320</f>
        <v>9600</v>
      </c>
      <c r="AC320" s="60" t="n">
        <v>800</v>
      </c>
      <c r="AD320" s="61"/>
      <c r="AE320" s="62" t="n">
        <f aca="false">AB320+AC320-AD320</f>
        <v>10400</v>
      </c>
      <c r="AF320" s="60" t="n">
        <v>800</v>
      </c>
      <c r="AG320" s="61"/>
      <c r="AH320" s="62" t="n">
        <f aca="false">AE320+AF320-AG320</f>
        <v>11200</v>
      </c>
      <c r="AI320" s="60" t="n">
        <v>800</v>
      </c>
      <c r="AJ320" s="61"/>
      <c r="AK320" s="62" t="n">
        <f aca="false">AH320+AI320-AJ320</f>
        <v>12000</v>
      </c>
      <c r="AL320" s="60" t="n">
        <v>800</v>
      </c>
      <c r="AM320" s="61"/>
      <c r="AN320" s="62" t="n">
        <f aca="false">AK320+AL320-AM320</f>
        <v>12800</v>
      </c>
    </row>
    <row collapsed="false" customFormat="false" customHeight="false" hidden="false" ht="15" outlineLevel="0" r="321">
      <c r="A321" s="19" t="n">
        <f aca="false">VLOOKUP(B321,справочник!$B$2:$E$322,4,0)</f>
        <v>55</v>
      </c>
      <c r="B321" s="0" t="e">
        <f aca="false">CONCATENATE(C321;D321)</f>
        <v>#VALUE!</v>
      </c>
      <c r="C321" s="24" t="n">
        <v>57</v>
      </c>
      <c r="D321" s="29" t="s">
        <v>313</v>
      </c>
      <c r="E321" s="24" t="s">
        <v>680</v>
      </c>
      <c r="F321" s="30" t="n">
        <v>40772</v>
      </c>
      <c r="G321" s="30" t="n">
        <v>40756</v>
      </c>
      <c r="H321" s="31" t="n">
        <f aca="false">INT(($H$325-G321)/30)</f>
        <v>53</v>
      </c>
      <c r="I321" s="24" t="n">
        <f aca="false">H321*1000</f>
        <v>53000</v>
      </c>
      <c r="J321" s="31" t="n">
        <f aca="false">1000+53000</f>
        <v>54000</v>
      </c>
      <c r="K321" s="31" t="n">
        <v>3000</v>
      </c>
      <c r="L321" s="59" t="n">
        <f aca="false">I321-J321-K321</f>
        <v>-4000</v>
      </c>
      <c r="M321" s="85"/>
      <c r="N321" s="85"/>
      <c r="O321" s="85" t="n">
        <v>3200</v>
      </c>
      <c r="P321" s="85"/>
      <c r="Q321" s="85"/>
      <c r="R321" s="85"/>
      <c r="S321" s="85" t="n">
        <v>3200</v>
      </c>
      <c r="T321" s="85"/>
      <c r="U321" s="85"/>
      <c r="V321" s="85"/>
      <c r="W321" s="18" t="n">
        <v>3200</v>
      </c>
      <c r="X321" s="85"/>
      <c r="Y321" s="59" t="n">
        <f aca="false">SUM(M321:X321)</f>
        <v>9600</v>
      </c>
      <c r="Z321" s="59" t="n">
        <v>12</v>
      </c>
      <c r="AA321" s="59" t="n">
        <f aca="false">Z321*800</f>
        <v>9600</v>
      </c>
      <c r="AB321" s="59" t="n">
        <f aca="false">L321+AA321-Y321</f>
        <v>-4000</v>
      </c>
      <c r="AC321" s="60" t="n">
        <v>800</v>
      </c>
      <c r="AD321" s="61"/>
      <c r="AE321" s="62" t="n">
        <f aca="false">AB321+AC321-AD321</f>
        <v>-3200</v>
      </c>
      <c r="AF321" s="60" t="n">
        <v>800</v>
      </c>
      <c r="AG321" s="61"/>
      <c r="AH321" s="62" t="n">
        <f aca="false">AE321+AF321-AG321</f>
        <v>-2400</v>
      </c>
      <c r="AI321" s="60" t="n">
        <v>800</v>
      </c>
      <c r="AJ321" s="61"/>
      <c r="AK321" s="62" t="n">
        <f aca="false">AH321+AI321-AJ321</f>
        <v>-1600</v>
      </c>
      <c r="AL321" s="60" t="n">
        <v>800</v>
      </c>
      <c r="AM321" s="61"/>
      <c r="AN321" s="62" t="n">
        <f aca="false">AK321+AL321-AM321</f>
        <v>-800</v>
      </c>
    </row>
    <row collapsed="false" customFormat="false" customHeight="false" hidden="false" ht="15" outlineLevel="0" r="322">
      <c r="A322" s="19" t="n">
        <f aca="false">VLOOKUP(B322,справочник!$B$2:$E$322,4,0)</f>
        <v>309</v>
      </c>
      <c r="B322" s="0" t="e">
        <f aca="false">CONCATENATE(C322;D322)</f>
        <v>#VALUE!</v>
      </c>
      <c r="C322" s="24" t="n">
        <v>324</v>
      </c>
      <c r="D322" s="29" t="s">
        <v>82</v>
      </c>
      <c r="E322" s="24" t="s">
        <v>681</v>
      </c>
      <c r="F322" s="30" t="n">
        <v>41002</v>
      </c>
      <c r="G322" s="30" t="n">
        <v>41000</v>
      </c>
      <c r="H322" s="31" t="n">
        <f aca="false">INT(($H$325-G322)/30)</f>
        <v>45</v>
      </c>
      <c r="I322" s="24" t="n">
        <f aca="false">H322*1000</f>
        <v>45000</v>
      </c>
      <c r="J322" s="31" t="n">
        <f aca="false">17000+1000</f>
        <v>18000</v>
      </c>
      <c r="K322" s="31" t="n">
        <v>5000</v>
      </c>
      <c r="L322" s="59" t="n">
        <f aca="false">I322-J322-K322</f>
        <v>22000</v>
      </c>
      <c r="M322" s="85"/>
      <c r="N322" s="85"/>
      <c r="O322" s="85"/>
      <c r="P322" s="85"/>
      <c r="Q322" s="85"/>
      <c r="R322" s="85"/>
      <c r="S322" s="85"/>
      <c r="T322" s="85"/>
      <c r="U322" s="85"/>
      <c r="V322" s="85"/>
      <c r="W322" s="85"/>
      <c r="X322" s="85"/>
      <c r="Y322" s="59" t="n">
        <f aca="false">SUM(M322:X322)</f>
        <v>0</v>
      </c>
      <c r="Z322" s="59" t="n">
        <v>12</v>
      </c>
      <c r="AA322" s="59" t="n">
        <f aca="false">Z322*800</f>
        <v>9600</v>
      </c>
      <c r="AB322" s="59" t="n">
        <f aca="false">L322+AA322-Y322</f>
        <v>31600</v>
      </c>
      <c r="AC322" s="60" t="n">
        <v>800</v>
      </c>
      <c r="AD322" s="61"/>
      <c r="AE322" s="62" t="n">
        <f aca="false">AB322+AC322-AD322</f>
        <v>32400</v>
      </c>
      <c r="AF322" s="60" t="n">
        <v>800</v>
      </c>
      <c r="AG322" s="61"/>
      <c r="AH322" s="62" t="n">
        <f aca="false">AE322+AF322-AG322</f>
        <v>33200</v>
      </c>
      <c r="AI322" s="60" t="n">
        <v>800</v>
      </c>
      <c r="AJ322" s="61"/>
      <c r="AK322" s="62" t="n">
        <f aca="false">AH322+AI322-AJ322</f>
        <v>34000</v>
      </c>
      <c r="AL322" s="60" t="n">
        <v>800</v>
      </c>
      <c r="AM322" s="61"/>
      <c r="AN322" s="62" t="n">
        <f aca="false">AK322+AL322-AM322</f>
        <v>34800</v>
      </c>
    </row>
    <row collapsed="false" customFormat="false" customHeight="false" hidden="false" ht="15" outlineLevel="0" r="323">
      <c r="A323" s="19" t="n">
        <f aca="false">VLOOKUP(B323,справочник!$B$2:$E$322,4,0)</f>
        <v>17</v>
      </c>
      <c r="B323" s="0" t="e">
        <f aca="false">CONCATENATE(C323;D323)</f>
        <v>#VALUE!</v>
      </c>
      <c r="C323" s="24" t="n">
        <v>17</v>
      </c>
      <c r="D323" s="29" t="s">
        <v>239</v>
      </c>
      <c r="E323" s="24" t="s">
        <v>682</v>
      </c>
      <c r="F323" s="30" t="n">
        <v>41254</v>
      </c>
      <c r="G323" s="30" t="n">
        <v>41275</v>
      </c>
      <c r="H323" s="31" t="n">
        <f aca="false">INT(($H$325-G323)/30)</f>
        <v>36</v>
      </c>
      <c r="I323" s="24" t="n">
        <f aca="false">H323*1000</f>
        <v>36000</v>
      </c>
      <c r="J323" s="31" t="n">
        <v>31000</v>
      </c>
      <c r="K323" s="31"/>
      <c r="L323" s="59" t="n">
        <f aca="false">I323-J323-K323</f>
        <v>5000</v>
      </c>
      <c r="M323" s="85" t="n">
        <v>3000</v>
      </c>
      <c r="N323" s="85"/>
      <c r="O323" s="85" t="n">
        <v>2000</v>
      </c>
      <c r="P323" s="85"/>
      <c r="Q323" s="85"/>
      <c r="R323" s="85" t="n">
        <v>2000</v>
      </c>
      <c r="S323" s="85"/>
      <c r="T323" s="0" t="n">
        <v>3000</v>
      </c>
      <c r="U323" s="85"/>
      <c r="V323" s="85" t="n">
        <v>4600</v>
      </c>
      <c r="W323" s="85"/>
      <c r="X323" s="85"/>
      <c r="Y323" s="59" t="n">
        <f aca="false">SUM(M323:X323)</f>
        <v>14600</v>
      </c>
      <c r="Z323" s="59" t="n">
        <v>12</v>
      </c>
      <c r="AA323" s="59" t="n">
        <f aca="false">Z323*800</f>
        <v>9600</v>
      </c>
      <c r="AB323" s="59" t="n">
        <f aca="false">L323+AA323-Y323</f>
        <v>0</v>
      </c>
      <c r="AC323" s="60" t="n">
        <v>800</v>
      </c>
      <c r="AD323" s="61"/>
      <c r="AE323" s="62" t="n">
        <f aca="false">AB323+AC323-AD323</f>
        <v>800</v>
      </c>
      <c r="AF323" s="60" t="n">
        <v>800</v>
      </c>
      <c r="AG323" s="61"/>
      <c r="AH323" s="62" t="n">
        <f aca="false">AE323+AF323-AG323</f>
        <v>1600</v>
      </c>
      <c r="AI323" s="60" t="n">
        <v>800</v>
      </c>
      <c r="AJ323" s="61" t="n">
        <v>4800</v>
      </c>
      <c r="AK323" s="62" t="n">
        <f aca="false">AH323+AI323-AJ323</f>
        <v>-2400</v>
      </c>
      <c r="AL323" s="60" t="n">
        <v>800</v>
      </c>
      <c r="AM323" s="61"/>
      <c r="AN323" s="62" t="n">
        <f aca="false">AK323+AL323-AM323</f>
        <v>-1600</v>
      </c>
    </row>
    <row collapsed="false" customFormat="false" customHeight="false" hidden="false" ht="15" outlineLevel="0" r="324">
      <c r="A324" s="19" t="n">
        <f aca="false">VLOOKUP(B324,справочник!$B$2:$E$322,4,0)</f>
        <v>40</v>
      </c>
      <c r="B324" s="0" t="e">
        <f aca="false">CONCATENATE(C324;D324)</f>
        <v>#VALUE!</v>
      </c>
      <c r="C324" s="24" t="n">
        <v>40</v>
      </c>
      <c r="D324" s="29" t="s">
        <v>123</v>
      </c>
      <c r="E324" s="24" t="s">
        <v>683</v>
      </c>
      <c r="F324" s="30" t="n">
        <v>40772</v>
      </c>
      <c r="G324" s="30" t="n">
        <v>40756</v>
      </c>
      <c r="H324" s="31" t="n">
        <f aca="false">INT(($H$325-G324)/30)</f>
        <v>53</v>
      </c>
      <c r="I324" s="24" t="n">
        <f aca="false">H324*1000</f>
        <v>53000</v>
      </c>
      <c r="J324" s="31" t="n">
        <f aca="false">1000+37000</f>
        <v>38000</v>
      </c>
      <c r="K324" s="31"/>
      <c r="L324" s="59" t="n">
        <f aca="false">I324-J324-K324</f>
        <v>15000</v>
      </c>
      <c r="M324" s="85"/>
      <c r="N324" s="85"/>
      <c r="O324" s="85"/>
      <c r="P324" s="85"/>
      <c r="Q324" s="85"/>
      <c r="R324" s="85"/>
      <c r="S324" s="85"/>
      <c r="T324" s="85"/>
      <c r="U324" s="85" t="n">
        <v>21400</v>
      </c>
      <c r="V324" s="85"/>
      <c r="W324" s="85"/>
      <c r="X324" s="85"/>
      <c r="Y324" s="59" t="n">
        <f aca="false">SUM(M324:X324)</f>
        <v>21400</v>
      </c>
      <c r="Z324" s="59" t="n">
        <v>12</v>
      </c>
      <c r="AA324" s="59" t="n">
        <f aca="false">Z324*800</f>
        <v>9600</v>
      </c>
      <c r="AB324" s="59" t="n">
        <f aca="false">L324+AA324-Y324</f>
        <v>3200</v>
      </c>
      <c r="AC324" s="60" t="n">
        <v>800</v>
      </c>
      <c r="AD324" s="61"/>
      <c r="AE324" s="62" t="n">
        <f aca="false">AB324+AC324-AD324</f>
        <v>4000</v>
      </c>
      <c r="AF324" s="60" t="n">
        <v>800</v>
      </c>
      <c r="AG324" s="61"/>
      <c r="AH324" s="62" t="n">
        <f aca="false">AE324+AF324-AG324</f>
        <v>4800</v>
      </c>
      <c r="AI324" s="60" t="n">
        <v>800</v>
      </c>
      <c r="AJ324" s="61" t="n">
        <v>5600</v>
      </c>
      <c r="AK324" s="62" t="n">
        <f aca="false">AH324+AI324-AJ324</f>
        <v>0</v>
      </c>
      <c r="AL324" s="60" t="n">
        <v>800</v>
      </c>
      <c r="AM324" s="61"/>
      <c r="AN324" s="62" t="n">
        <f aca="false">AK324+AL324-AM324</f>
        <v>800</v>
      </c>
    </row>
    <row collapsed="false" customFormat="false" customHeight="false" hidden="false" ht="15" outlineLevel="0" r="325">
      <c r="H325" s="54" t="n">
        <v>42369</v>
      </c>
      <c r="M325" s="55" t="n">
        <f aca="false">SUM(M5:M324)</f>
        <v>238250.3</v>
      </c>
      <c r="N325" s="55" t="n">
        <f aca="false">SUM(N5:N324)</f>
        <v>183900</v>
      </c>
      <c r="O325" s="55" t="n">
        <f aca="false">SUM(O5:O324)</f>
        <v>139200</v>
      </c>
      <c r="P325" s="55" t="n">
        <f aca="false">SUM(P5:P324)</f>
        <v>119550</v>
      </c>
      <c r="Q325" s="55" t="n">
        <f aca="false">SUM(Q5:Q324)</f>
        <v>192950</v>
      </c>
      <c r="R325" s="55" t="n">
        <f aca="false">SUM(R5:R324)</f>
        <v>298900</v>
      </c>
      <c r="S325" s="55" t="n">
        <f aca="false">SUM(S5:S324)</f>
        <v>326600</v>
      </c>
      <c r="T325" s="55" t="n">
        <f aca="false">SUM(T5:T324)</f>
        <v>223068</v>
      </c>
      <c r="U325" s="55" t="n">
        <f aca="false">SUM(U5:U324)</f>
        <v>316961.78</v>
      </c>
      <c r="V325" s="55" t="n">
        <f aca="false">SUM(V5:V324)</f>
        <v>149238.22</v>
      </c>
      <c r="W325" s="55" t="n">
        <f aca="false">SUM(W5:W324)</f>
        <v>185400</v>
      </c>
      <c r="X325" s="55" t="n">
        <f aca="false">SUM(X5:X324)</f>
        <v>178900</v>
      </c>
      <c r="Y325" s="55" t="n">
        <f aca="false">SUM(Y5:Y324)</f>
        <v>2552918.3</v>
      </c>
      <c r="AD325" s="55" t="n">
        <f aca="false">SUM(AD5:AD324)</f>
        <v>124800</v>
      </c>
      <c r="AG325" s="55" t="n">
        <f aca="false">SUM(AG5:AG324)</f>
        <v>116300</v>
      </c>
      <c r="AJ325" s="55" t="n">
        <f aca="false">SUM(AJ5:AJ324)</f>
        <v>232707</v>
      </c>
      <c r="AM325" s="55" t="n">
        <f aca="false">SUM(AM5:AM324)</f>
        <v>262076.61</v>
      </c>
    </row>
    <row collapsed="false" customFormat="false" customHeight="false" hidden="false" ht="15" outlineLevel="0" r="327">
      <c r="V327" s="55" t="n">
        <v>145638.22</v>
      </c>
    </row>
    <row collapsed="false" customFormat="false" customHeight="false" hidden="false" ht="15" outlineLevel="0" r="328">
      <c r="V328" s="55" t="n">
        <f aca="false">V327-V325</f>
        <v>-3600</v>
      </c>
    </row>
  </sheetData>
  <autoFilter ref="A4:AE325"/>
  <mergeCells count="86">
    <mergeCell ref="E3:E4"/>
    <mergeCell ref="H3:L3"/>
    <mergeCell ref="AE16:AE17"/>
    <mergeCell ref="AH16:AH17"/>
    <mergeCell ref="AK16:AK17"/>
    <mergeCell ref="AN16:AN17"/>
    <mergeCell ref="AB30:AB31"/>
    <mergeCell ref="AH30:AH31"/>
    <mergeCell ref="AK30:AK31"/>
    <mergeCell ref="AN30:AN31"/>
    <mergeCell ref="AE38:AE39"/>
    <mergeCell ref="AH38:AH39"/>
    <mergeCell ref="AK38:AK39"/>
    <mergeCell ref="AN38:AN39"/>
    <mergeCell ref="AE45:AE46"/>
    <mergeCell ref="AH45:AH46"/>
    <mergeCell ref="AK45:AK46"/>
    <mergeCell ref="AN45:AN46"/>
    <mergeCell ref="AE47:AE48"/>
    <mergeCell ref="AH47:AH48"/>
    <mergeCell ref="AK47:AK48"/>
    <mergeCell ref="AN47:AN48"/>
    <mergeCell ref="AE49:AE50"/>
    <mergeCell ref="AH49:AH50"/>
    <mergeCell ref="AK49:AK50"/>
    <mergeCell ref="AN49:AN50"/>
    <mergeCell ref="AE101:AE102"/>
    <mergeCell ref="AH101:AH102"/>
    <mergeCell ref="AK101:AK102"/>
    <mergeCell ref="AN101:AN102"/>
    <mergeCell ref="AE132:AE133"/>
    <mergeCell ref="AH132:AH133"/>
    <mergeCell ref="AK132:AK133"/>
    <mergeCell ref="AN132:AN133"/>
    <mergeCell ref="AE153:AE154"/>
    <mergeCell ref="AH153:AH154"/>
    <mergeCell ref="AK153:AK154"/>
    <mergeCell ref="AN153:AN154"/>
    <mergeCell ref="AE161:AE163"/>
    <mergeCell ref="AH161:AH163"/>
    <mergeCell ref="AK161:AK163"/>
    <mergeCell ref="AN161:AN163"/>
    <mergeCell ref="AE164:AE165"/>
    <mergeCell ref="AH164:AH165"/>
    <mergeCell ref="AK164:AK165"/>
    <mergeCell ref="AN164:AN165"/>
    <mergeCell ref="AE169:AE170"/>
    <mergeCell ref="AH169:AH170"/>
    <mergeCell ref="AK169:AK170"/>
    <mergeCell ref="AN169:AN170"/>
    <mergeCell ref="AE181:AE182"/>
    <mergeCell ref="AH181:AH182"/>
    <mergeCell ref="AK181:AK182"/>
    <mergeCell ref="AN181:AN182"/>
    <mergeCell ref="AE195:AE196"/>
    <mergeCell ref="AH195:AH196"/>
    <mergeCell ref="AK195:AK196"/>
    <mergeCell ref="AN195:AN196"/>
    <mergeCell ref="AE230:AE231"/>
    <mergeCell ref="AH230:AH231"/>
    <mergeCell ref="AK230:AK231"/>
    <mergeCell ref="AN230:AN231"/>
    <mergeCell ref="AE232:AE233"/>
    <mergeCell ref="AH232:AH233"/>
    <mergeCell ref="AK232:AK233"/>
    <mergeCell ref="AN232:AN233"/>
    <mergeCell ref="AE260:AE261"/>
    <mergeCell ref="AH260:AH261"/>
    <mergeCell ref="AK260:AK261"/>
    <mergeCell ref="AN260:AN261"/>
    <mergeCell ref="AE274:AE275"/>
    <mergeCell ref="AH274:AH275"/>
    <mergeCell ref="AK274:AK275"/>
    <mergeCell ref="AN274:AN275"/>
    <mergeCell ref="AE286:AE288"/>
    <mergeCell ref="AH286:AH288"/>
    <mergeCell ref="AK286:AK288"/>
    <mergeCell ref="AN286:AN288"/>
    <mergeCell ref="AE300:AE301"/>
    <mergeCell ref="AH300:AH301"/>
    <mergeCell ref="AK300:AK301"/>
    <mergeCell ref="AN300:AN301"/>
    <mergeCell ref="AE307:AE308"/>
    <mergeCell ref="AH307:AH308"/>
    <mergeCell ref="AK307:AK308"/>
    <mergeCell ref="AN307:AN308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Y326"/>
  <sheetViews>
    <sheetView colorId="64" defaultGridColor="true" rightToLeft="false" showFormulas="false" showGridLines="true" showOutlineSymbols="true" showRowColHeaders="true" showZeros="true" tabSelected="false" topLeftCell="A1" view="normal" windowProtection="true" workbookViewId="0" zoomScale="100" zoomScaleNormal="100" zoomScalePageLayoutView="100">
      <pane activePane="bottomRight" state="frozen" topLeftCell="O314" xSplit="5" ySplit="3"/>
      <selection activeCell="A1" activeCellId="0" pane="topLeft" sqref="A1"/>
      <selection activeCell="O1" activeCellId="0" pane="topRight" sqref="O1"/>
      <selection activeCell="A314" activeCellId="0" pane="bottomLeft" sqref="A314"/>
      <selection activeCell="O320" activeCellId="0" pane="bottomRight" sqref="O320"/>
    </sheetView>
  </sheetViews>
  <sheetFormatPr defaultRowHeight="15"/>
  <cols>
    <col collapsed="false" hidden="false" max="1" min="1" style="0" width="9.14285714285714"/>
    <col collapsed="false" hidden="false" max="2" min="2" style="0" width="8.72959183673469"/>
    <col collapsed="false" hidden="false" max="3" min="3" style="0" width="8.29081632653061"/>
    <col collapsed="false" hidden="false" max="4" min="4" style="0" width="37.5714285714286"/>
    <col collapsed="false" hidden="false" max="5" min="5" style="0" width="20.5714285714286"/>
    <col collapsed="false" hidden="false" max="6" min="6" style="0" width="18.1428571428571"/>
    <col collapsed="false" hidden="false" max="7" min="7" style="0" width="15.5714285714286"/>
    <col collapsed="false" hidden="false" max="8" min="8" style="0" width="13.4285714285714"/>
    <col collapsed="false" hidden="false" max="9" min="9" style="0" width="19.5714285714286"/>
    <col collapsed="false" hidden="false" max="10" min="10" style="0" width="22.0051020408163"/>
    <col collapsed="false" hidden="false" max="11" min="11" style="0" width="12.8622448979592"/>
    <col collapsed="false" hidden="false" max="25" min="12" style="0" width="13.8571428571429"/>
    <col collapsed="false" hidden="false" max="1025" min="26" style="0" width="8.72959183673469"/>
  </cols>
  <sheetData>
    <row collapsed="false" customFormat="false" customHeight="false" hidden="false" ht="15" outlineLevel="0" r="1">
      <c r="C1" s="22" t="s">
        <v>360</v>
      </c>
      <c r="D1" s="22"/>
      <c r="E1" s="22"/>
      <c r="F1" s="22"/>
      <c r="G1" s="22"/>
      <c r="H1" s="23"/>
      <c r="I1" s="22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</row>
    <row collapsed="false" customFormat="false" customHeight="false" hidden="false" ht="15" outlineLevel="0" r="2">
      <c r="C2" s="22" t="s">
        <v>361</v>
      </c>
      <c r="D2" s="22"/>
      <c r="E2" s="22"/>
      <c r="F2" s="22"/>
      <c r="G2" s="22"/>
      <c r="H2" s="23"/>
      <c r="I2" s="22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</row>
    <row collapsed="false" customFormat="false" customHeight="false" hidden="false" ht="76.5" outlineLevel="0" r="3">
      <c r="A3" s="91" t="s">
        <v>4</v>
      </c>
      <c r="B3" s="92" t="s">
        <v>365</v>
      </c>
      <c r="C3" s="56" t="s">
        <v>362</v>
      </c>
      <c r="D3" s="56" t="s">
        <v>5</v>
      </c>
      <c r="E3" s="24" t="s">
        <v>714</v>
      </c>
      <c r="F3" s="24" t="s">
        <v>366</v>
      </c>
      <c r="G3" s="24" t="s">
        <v>367</v>
      </c>
      <c r="H3" s="24" t="s">
        <v>368</v>
      </c>
      <c r="I3" s="24" t="s">
        <v>369</v>
      </c>
      <c r="J3" s="26" t="s">
        <v>370</v>
      </c>
      <c r="K3" s="26" t="s">
        <v>371</v>
      </c>
      <c r="L3" s="27" t="s">
        <v>372</v>
      </c>
      <c r="M3" s="28" t="n">
        <v>42370</v>
      </c>
      <c r="N3" s="28" t="n">
        <v>42401</v>
      </c>
      <c r="O3" s="28" t="n">
        <v>42430</v>
      </c>
      <c r="P3" s="28" t="n">
        <v>42461</v>
      </c>
      <c r="Q3" s="28" t="n">
        <v>42491</v>
      </c>
      <c r="R3" s="28" t="n">
        <v>42522</v>
      </c>
      <c r="S3" s="28" t="n">
        <v>42552</v>
      </c>
      <c r="T3" s="28" t="n">
        <v>42583</v>
      </c>
      <c r="U3" s="28" t="n">
        <v>42614</v>
      </c>
      <c r="V3" s="28" t="n">
        <v>42644</v>
      </c>
      <c r="W3" s="28" t="n">
        <v>42675</v>
      </c>
      <c r="X3" s="28" t="n">
        <v>42705</v>
      </c>
      <c r="Y3" s="27" t="s">
        <v>373</v>
      </c>
    </row>
    <row collapsed="false" customFormat="false" customHeight="false" hidden="false" ht="15" outlineLevel="0" r="4">
      <c r="A4" s="19" t="n">
        <f aca="false">VLOOKUP(B4,справочник!$B$2:$E$322,4,0)</f>
        <v>79</v>
      </c>
      <c r="B4" s="0" t="str">
        <f aca="false">CONCATENATE(C4,D4)</f>
        <v>84Абу Махади Мохаммед Ибрагим</v>
      </c>
      <c r="C4" s="24" t="n">
        <v>84</v>
      </c>
      <c r="D4" s="29" t="s">
        <v>55</v>
      </c>
      <c r="E4" s="24" t="s">
        <v>375</v>
      </c>
      <c r="F4" s="30" t="n">
        <v>40716</v>
      </c>
      <c r="G4" s="30" t="n">
        <v>40725</v>
      </c>
      <c r="H4" s="31" t="n">
        <f aca="false">INT(($H$326-G4)/30)</f>
        <v>54</v>
      </c>
      <c r="I4" s="24" t="n">
        <f aca="false">H4*1000</f>
        <v>54000</v>
      </c>
      <c r="J4" s="31" t="n">
        <f aca="false">49000+1000</f>
        <v>50000</v>
      </c>
      <c r="K4" s="31"/>
      <c r="L4" s="59" t="n">
        <f aca="false">I4-J4-K4</f>
        <v>4000</v>
      </c>
      <c r="M4" s="85" t="n">
        <f aca="false">SUM('план на 2016'!$L5:M5)-SUM('членские взносы'!$M5:M5)</f>
        <v>4800</v>
      </c>
      <c r="N4" s="85" t="n">
        <f aca="false">SUM('план на 2016'!$L5:N5)-SUM('членские взносы'!$M5:N5)</f>
        <v>1600</v>
      </c>
      <c r="O4" s="85" t="n">
        <f aca="false">SUM('план на 2016'!$L5:O5)-SUM('членские взносы'!$M5:O5)</f>
        <v>2400</v>
      </c>
      <c r="P4" s="85" t="n">
        <f aca="false">SUM('план на 2016'!$L5:P5)-SUM('членские взносы'!$M5:P5)</f>
        <v>800</v>
      </c>
      <c r="Q4" s="85" t="n">
        <f aca="false">SUM('план на 2016'!$L5:Q5)-SUM('членские взносы'!$M5:Q5)</f>
        <v>1600</v>
      </c>
      <c r="R4" s="85" t="n">
        <f aca="false">SUM('план на 2016'!$L5:R5)-SUM('членские взносы'!$M5:R5)</f>
        <v>2400</v>
      </c>
      <c r="S4" s="85" t="n">
        <f aca="false">SUM('план на 2016'!$L5:S5)-SUM('членские взносы'!$M5:S5)</f>
        <v>3200</v>
      </c>
      <c r="T4" s="85" t="n">
        <f aca="false">SUM('план на 2016'!$L5:T5)-SUM('членские взносы'!$M5:T5)</f>
        <v>4000</v>
      </c>
      <c r="U4" s="85" t="n">
        <f aca="false">SUM('план на 2016'!$L5:U5)-SUM('членские взносы'!$M5:U5)</f>
        <v>0</v>
      </c>
      <c r="V4" s="85" t="n">
        <f aca="false">SUM('план на 2016'!$L5:V5)-SUM('членские взносы'!$M5:V5)</f>
        <v>800</v>
      </c>
      <c r="W4" s="85" t="n">
        <f aca="false">SUM('план на 2016'!$L5:W5)-SUM('членские взносы'!$M5:W5)</f>
        <v>1600</v>
      </c>
      <c r="X4" s="85" t="n">
        <f aca="false">SUM('план на 2016'!$L5:X5)-SUM('членские взносы'!$M5:X5)</f>
        <v>2400</v>
      </c>
      <c r="Y4" s="59" t="n">
        <f aca="false">X4</f>
        <v>2400</v>
      </c>
    </row>
    <row collapsed="false" customFormat="false" customHeight="false" hidden="false" ht="15" outlineLevel="0" r="5">
      <c r="A5" s="19" t="n">
        <f aca="false">VLOOKUP(B5,справочник!$B$2:$E$322,4,0)</f>
        <v>35</v>
      </c>
      <c r="B5" s="0" t="e">
        <f aca="false">CONCATENATE(C5;D5)</f>
        <v>#VALUE!</v>
      </c>
      <c r="C5" s="24" t="n">
        <v>35</v>
      </c>
      <c r="D5" s="29" t="s">
        <v>115</v>
      </c>
      <c r="E5" s="24" t="s">
        <v>376</v>
      </c>
      <c r="F5" s="30" t="n">
        <v>40970</v>
      </c>
      <c r="G5" s="30" t="n">
        <v>40969</v>
      </c>
      <c r="H5" s="31" t="n">
        <f aca="false">INT(($H$326-G5)/30)</f>
        <v>46</v>
      </c>
      <c r="I5" s="24" t="n">
        <f aca="false">H5*1000</f>
        <v>46000</v>
      </c>
      <c r="J5" s="31" t="n">
        <v>30000</v>
      </c>
      <c r="K5" s="31"/>
      <c r="L5" s="59" t="n">
        <f aca="false">I5-J5-K5</f>
        <v>16000</v>
      </c>
      <c r="M5" s="85" t="n">
        <f aca="false">SUM('план на 2016'!$L6:M6)-SUM('членские взносы'!$M6:M6)</f>
        <v>16800</v>
      </c>
      <c r="N5" s="85" t="n">
        <f aca="false">SUM('план на 2016'!$L6:N6)-SUM('членские взносы'!$M6:N6)</f>
        <v>17600</v>
      </c>
      <c r="O5" s="85" t="n">
        <f aca="false">SUM('план на 2016'!$L6:O6)-SUM('членские взносы'!$M6:O6)</f>
        <v>18400</v>
      </c>
      <c r="P5" s="85" t="n">
        <f aca="false">SUM('план на 2016'!$L6:P6)-SUM('членские взносы'!$M6:P6)</f>
        <v>19200</v>
      </c>
      <c r="Q5" s="85" t="n">
        <f aca="false">SUM('план на 2016'!$L6:Q6)-SUM('членские взносы'!$M6:Q6)</f>
        <v>20000</v>
      </c>
      <c r="R5" s="85" t="n">
        <f aca="false">SUM('план на 2016'!$L6:R6)-SUM('членские взносы'!$M6:R6)</f>
        <v>20800</v>
      </c>
      <c r="S5" s="85" t="n">
        <f aca="false">SUM('план на 2016'!$L6:S6)-SUM('членские взносы'!$M6:S6)</f>
        <v>21600</v>
      </c>
      <c r="T5" s="85" t="n">
        <f aca="false">SUM('план на 2016'!$L6:T6)-SUM('членские взносы'!$M6:T6)</f>
        <v>22400</v>
      </c>
      <c r="U5" s="85" t="n">
        <f aca="false">SUM('план на 2016'!$L6:U6)-SUM('членские взносы'!$M6:U6)</f>
        <v>23200</v>
      </c>
      <c r="V5" s="85" t="n">
        <f aca="false">SUM('план на 2016'!$L6:V6)-SUM('членские взносы'!$M6:V6)</f>
        <v>24000</v>
      </c>
      <c r="W5" s="85" t="n">
        <f aca="false">SUM('план на 2016'!$L6:W6)-SUM('членские взносы'!$M6:W6)</f>
        <v>24800</v>
      </c>
      <c r="X5" s="85" t="n">
        <f aca="false">SUM('план на 2016'!$L6:X6)-SUM('членские взносы'!$M6:X6)</f>
        <v>25600</v>
      </c>
      <c r="Y5" s="59" t="n">
        <f aca="false">X5</f>
        <v>25600</v>
      </c>
    </row>
    <row collapsed="false" customFormat="false" customHeight="false" hidden="false" ht="15" outlineLevel="0" r="6">
      <c r="A6" s="19" t="n">
        <f aca="false">VLOOKUP(B6,справочник!$B$2:$E$322,4,0)</f>
        <v>260</v>
      </c>
      <c r="B6" s="0" t="e">
        <f aca="false">CONCATENATE(C6;D6)</f>
        <v>#VALUE!</v>
      </c>
      <c r="C6" s="24" t="n">
        <v>273</v>
      </c>
      <c r="D6" s="29" t="s">
        <v>182</v>
      </c>
      <c r="E6" s="24" t="s">
        <v>377</v>
      </c>
      <c r="F6" s="30" t="n">
        <v>41540</v>
      </c>
      <c r="G6" s="30" t="n">
        <v>41548</v>
      </c>
      <c r="H6" s="31" t="n">
        <f aca="false">INT(($H$326-G6)/30)</f>
        <v>27</v>
      </c>
      <c r="I6" s="24" t="n">
        <f aca="false">H6*1000</f>
        <v>27000</v>
      </c>
      <c r="J6" s="31" t="n">
        <v>19000</v>
      </c>
      <c r="K6" s="31"/>
      <c r="L6" s="59" t="n">
        <f aca="false">I6-J6-K6</f>
        <v>8000</v>
      </c>
      <c r="M6" s="85" t="n">
        <f aca="false">SUM('план на 2016'!$L7:M7)-SUM('членские взносы'!$M7:M7)</f>
        <v>8800</v>
      </c>
      <c r="N6" s="85" t="n">
        <f aca="false">SUM('план на 2016'!$L7:N7)-SUM('членские взносы'!$M7:N7)</f>
        <v>7600</v>
      </c>
      <c r="O6" s="85" t="n">
        <f aca="false">SUM('план на 2016'!$L7:O7)-SUM('членские взносы'!$M7:O7)</f>
        <v>8400</v>
      </c>
      <c r="P6" s="85" t="n">
        <f aca="false">SUM('план на 2016'!$L7:P7)-SUM('членские взносы'!$M7:P7)</f>
        <v>9200</v>
      </c>
      <c r="Q6" s="85" t="n">
        <f aca="false">SUM('план на 2016'!$L7:Q7)-SUM('членские взносы'!$M7:Q7)</f>
        <v>9000</v>
      </c>
      <c r="R6" s="85" t="n">
        <f aca="false">SUM('план на 2016'!$L7:R7)-SUM('членские взносы'!$M7:R7)</f>
        <v>7800</v>
      </c>
      <c r="S6" s="85" t="n">
        <f aca="false">SUM('план на 2016'!$L7:S7)-SUM('членские взносы'!$M7:S7)</f>
        <v>6600</v>
      </c>
      <c r="T6" s="85" t="n">
        <f aca="false">SUM('план на 2016'!$L7:T7)-SUM('членские взносы'!$M7:T7)</f>
        <v>4400</v>
      </c>
      <c r="U6" s="85" t="n">
        <f aca="false">SUM('план на 2016'!$L7:U7)-SUM('членские взносы'!$M7:U7)</f>
        <v>3200</v>
      </c>
      <c r="V6" s="85" t="n">
        <f aca="false">SUM('план на 2016'!$L7:V7)-SUM('членские взносы'!$M7:V7)</f>
        <v>2000</v>
      </c>
      <c r="W6" s="85" t="n">
        <f aca="false">SUM('план на 2016'!$L7:W7)-SUM('членские взносы'!$M7:W7)</f>
        <v>800</v>
      </c>
      <c r="X6" s="85" t="n">
        <f aca="false">SUM('план на 2016'!$L7:X7)-SUM('членские взносы'!$M7:X7)</f>
        <v>-400</v>
      </c>
      <c r="Y6" s="59" t="n">
        <f aca="false">X6</f>
        <v>-400</v>
      </c>
    </row>
    <row collapsed="false" customFormat="false" customHeight="false" hidden="false" ht="15" outlineLevel="0" r="7">
      <c r="A7" s="19" t="n">
        <f aca="false">VLOOKUP(B7,справочник!$B$2:$E$322,4,0)</f>
        <v>203</v>
      </c>
      <c r="B7" s="0" t="e">
        <f aca="false">CONCATENATE(C7;D7)</f>
        <v>#VALUE!</v>
      </c>
      <c r="C7" s="24" t="n">
        <v>213</v>
      </c>
      <c r="D7" s="29" t="s">
        <v>300</v>
      </c>
      <c r="E7" s="24" t="s">
        <v>378</v>
      </c>
      <c r="F7" s="30" t="n">
        <v>41520</v>
      </c>
      <c r="G7" s="30" t="n">
        <v>41548</v>
      </c>
      <c r="H7" s="31" t="n">
        <f aca="false">INT(($H$326-G7)/30)</f>
        <v>27</v>
      </c>
      <c r="I7" s="24" t="n">
        <f aca="false">H7*1000</f>
        <v>27000</v>
      </c>
      <c r="J7" s="31" t="n">
        <v>26000</v>
      </c>
      <c r="K7" s="31"/>
      <c r="L7" s="59" t="n">
        <f aca="false">I7-J7-K7</f>
        <v>1000</v>
      </c>
      <c r="M7" s="85" t="n">
        <f aca="false">SUM('план на 2016'!$L8:M8)-SUM('членские взносы'!$M8:M8)</f>
        <v>-800</v>
      </c>
      <c r="N7" s="85" t="n">
        <f aca="false">SUM('план на 2016'!$L8:N8)-SUM('членские взносы'!$M8:N8)</f>
        <v>0</v>
      </c>
      <c r="O7" s="85" t="n">
        <f aca="false">SUM('план на 2016'!$L8:O8)-SUM('членские взносы'!$M8:O8)</f>
        <v>800</v>
      </c>
      <c r="P7" s="85" t="n">
        <f aca="false">SUM('план на 2016'!$L8:P8)-SUM('членские взносы'!$M8:P8)</f>
        <v>1600</v>
      </c>
      <c r="Q7" s="85" t="n">
        <f aca="false">SUM('план на 2016'!$L8:Q8)-SUM('членские взносы'!$M8:Q8)</f>
        <v>-1800</v>
      </c>
      <c r="R7" s="85" t="n">
        <f aca="false">SUM('план на 2016'!$L8:R8)-SUM('членские взносы'!$M8:R8)</f>
        <v>-1000</v>
      </c>
      <c r="S7" s="85" t="n">
        <f aca="false">SUM('план на 2016'!$L8:S8)-SUM('членские взносы'!$M8:S8)</f>
        <v>-3400</v>
      </c>
      <c r="T7" s="85" t="n">
        <f aca="false">SUM('план на 2016'!$L8:T8)-SUM('членские взносы'!$M8:T8)</f>
        <v>-2600</v>
      </c>
      <c r="U7" s="85" t="n">
        <f aca="false">SUM('план на 2016'!$L8:U8)-SUM('членские взносы'!$M8:U8)</f>
        <v>-1800</v>
      </c>
      <c r="V7" s="85" t="n">
        <f aca="false">SUM('план на 2016'!$L8:V8)-SUM('членские взносы'!$M8:V8)</f>
        <v>-1000</v>
      </c>
      <c r="W7" s="85" t="n">
        <f aca="false">SUM('план на 2016'!$L8:W8)-SUM('членские взносы'!$M8:W8)</f>
        <v>-200</v>
      </c>
      <c r="X7" s="85" t="n">
        <f aca="false">SUM('план на 2016'!$L8:X8)-SUM('членские взносы'!$M8:X8)</f>
        <v>600</v>
      </c>
      <c r="Y7" s="59" t="n">
        <f aca="false">X7</f>
        <v>600</v>
      </c>
    </row>
    <row collapsed="false" customFormat="false" customHeight="false" hidden="false" ht="15" outlineLevel="0" r="8">
      <c r="A8" s="19" t="n">
        <f aca="false">VLOOKUP(B8,справочник!$B$2:$E$322,4,0)</f>
        <v>316</v>
      </c>
      <c r="B8" s="0" t="e">
        <f aca="false">CONCATENATE(C8;D8)</f>
        <v>#VALUE!</v>
      </c>
      <c r="C8" s="24" t="s">
        <v>379</v>
      </c>
      <c r="D8" s="29" t="s">
        <v>112</v>
      </c>
      <c r="E8" s="24" t="s">
        <v>380</v>
      </c>
      <c r="F8" s="34" t="n">
        <v>40893</v>
      </c>
      <c r="G8" s="34" t="n">
        <v>40878</v>
      </c>
      <c r="H8" s="35" t="n">
        <f aca="false">INT(($H$326-G8)/30)</f>
        <v>49</v>
      </c>
      <c r="I8" s="36" t="n">
        <f aca="false">H8*1000</f>
        <v>49000</v>
      </c>
      <c r="J8" s="35" t="n">
        <f aca="false">30000+1000+1000</f>
        <v>32000</v>
      </c>
      <c r="K8" s="35"/>
      <c r="L8" s="66" t="n">
        <f aca="false">I8-J8-K8</f>
        <v>17000</v>
      </c>
      <c r="M8" s="85" t="n">
        <f aca="false">SUM('план на 2016'!$L9:M9)-SUM('членские взносы'!$M9:M9)</f>
        <v>17000</v>
      </c>
      <c r="N8" s="85" t="n">
        <f aca="false">SUM('план на 2016'!$L9:N9)-SUM('членские взносы'!$M9:N9)</f>
        <v>17800</v>
      </c>
      <c r="O8" s="85" t="n">
        <f aca="false">SUM('план на 2016'!$L9:O9)-SUM('членские взносы'!$M9:O9)</f>
        <v>18600</v>
      </c>
      <c r="P8" s="85" t="n">
        <f aca="false">SUM('план на 2016'!$L9:P9)-SUM('членские взносы'!$M9:P9)</f>
        <v>19400</v>
      </c>
      <c r="Q8" s="85" t="n">
        <f aca="false">SUM('план на 2016'!$L9:Q9)-SUM('членские взносы'!$M9:Q9)</f>
        <v>20200</v>
      </c>
      <c r="R8" s="85" t="n">
        <f aca="false">SUM('план на 2016'!$L9:R9)-SUM('членские взносы'!$M9:R9)</f>
        <v>21000</v>
      </c>
      <c r="S8" s="85" t="n">
        <f aca="false">SUM('план на 2016'!$L9:S9)-SUM('членские взносы'!$M9:S9)</f>
        <v>21800</v>
      </c>
      <c r="T8" s="85" t="n">
        <f aca="false">SUM('план на 2016'!$L9:T9)-SUM('членские взносы'!$M9:T9)</f>
        <v>22600</v>
      </c>
      <c r="U8" s="85" t="n">
        <f aca="false">SUM('план на 2016'!$L9:U9)-SUM('членские взносы'!$M9:U9)</f>
        <v>23400</v>
      </c>
      <c r="V8" s="85" t="n">
        <f aca="false">SUM('план на 2016'!$L9:V9)-SUM('членские взносы'!$M9:V9)</f>
        <v>24200</v>
      </c>
      <c r="W8" s="85" t="n">
        <f aca="false">SUM('план на 2016'!$L9:W9)-SUM('членские взносы'!$M9:W9)</f>
        <v>25000</v>
      </c>
      <c r="X8" s="85" t="n">
        <f aca="false">SUM('план на 2016'!$L9:X9)-SUM('членские взносы'!$M9:X9)</f>
        <v>25800</v>
      </c>
      <c r="Y8" s="59" t="n">
        <f aca="false">X8</f>
        <v>25800</v>
      </c>
    </row>
    <row collapsed="false" customFormat="false" customHeight="false" hidden="false" ht="15" outlineLevel="0" r="9">
      <c r="A9" s="19" t="n">
        <f aca="false">VLOOKUP(B9,справочник!$B$2:$E$322,4,0)</f>
        <v>232</v>
      </c>
      <c r="B9" s="0" t="e">
        <f aca="false">CONCATENATE(C9;D9)</f>
        <v>#VALUE!</v>
      </c>
      <c r="C9" s="24" t="n">
        <v>241</v>
      </c>
      <c r="D9" s="29" t="s">
        <v>76</v>
      </c>
      <c r="E9" s="24" t="s">
        <v>381</v>
      </c>
      <c r="F9" s="30" t="n">
        <v>41429</v>
      </c>
      <c r="G9" s="30" t="n">
        <v>41456</v>
      </c>
      <c r="H9" s="31" t="n">
        <f aca="false">INT(($H$326-G9)/30)</f>
        <v>30</v>
      </c>
      <c r="I9" s="24" t="n">
        <f aca="false">H9*1000</f>
        <v>30000</v>
      </c>
      <c r="J9" s="31" t="n">
        <v>6000</v>
      </c>
      <c r="K9" s="31"/>
      <c r="L9" s="59" t="n">
        <f aca="false">I9-J9-K9</f>
        <v>24000</v>
      </c>
      <c r="M9" s="85" t="n">
        <f aca="false">SUM('план на 2016'!$L10:M10)-SUM('членские взносы'!$M10:M10)</f>
        <v>24800</v>
      </c>
      <c r="N9" s="85" t="n">
        <f aca="false">SUM('план на 2016'!$L10:N10)-SUM('членские взносы'!$M10:N10)</f>
        <v>25600</v>
      </c>
      <c r="O9" s="85" t="n">
        <f aca="false">SUM('план на 2016'!$L10:O10)-SUM('членские взносы'!$M10:O10)</f>
        <v>26400</v>
      </c>
      <c r="P9" s="85" t="n">
        <f aca="false">SUM('план на 2016'!$L10:P10)-SUM('членские взносы'!$M10:P10)</f>
        <v>27200</v>
      </c>
      <c r="Q9" s="85" t="n">
        <f aca="false">SUM('план на 2016'!$L10:Q10)-SUM('членские взносы'!$M10:Q10)</f>
        <v>28000</v>
      </c>
      <c r="R9" s="85" t="n">
        <f aca="false">SUM('план на 2016'!$L10:R10)-SUM('членские взносы'!$M10:R10)</f>
        <v>28800</v>
      </c>
      <c r="S9" s="85" t="n">
        <f aca="false">SUM('план на 2016'!$L10:S10)-SUM('членские взносы'!$M10:S10)</f>
        <v>29600</v>
      </c>
      <c r="T9" s="85" t="n">
        <f aca="false">SUM('план на 2016'!$L10:T10)-SUM('членские взносы'!$M10:T10)</f>
        <v>30400</v>
      </c>
      <c r="U9" s="85" t="n">
        <f aca="false">SUM('план на 2016'!$L10:U10)-SUM('членские взносы'!$M10:U10)</f>
        <v>31200</v>
      </c>
      <c r="V9" s="85" t="n">
        <f aca="false">SUM('план на 2016'!$L10:V10)-SUM('членские взносы'!$M10:V10)</f>
        <v>32000</v>
      </c>
      <c r="W9" s="85" t="n">
        <f aca="false">SUM('план на 2016'!$L10:W10)-SUM('членские взносы'!$M10:W10)</f>
        <v>32800</v>
      </c>
      <c r="X9" s="85" t="n">
        <f aca="false">SUM('план на 2016'!$L10:X10)-SUM('членские взносы'!$M10:X10)</f>
        <v>33600</v>
      </c>
      <c r="Y9" s="59" t="n">
        <f aca="false">X9</f>
        <v>33600</v>
      </c>
    </row>
    <row collapsed="false" customFormat="false" customHeight="false" hidden="false" ht="25.5" outlineLevel="0" r="10">
      <c r="A10" s="19" t="n">
        <f aca="false">VLOOKUP(B10,справочник!$B$2:$E$322,4,0)</f>
        <v>277</v>
      </c>
      <c r="B10" s="0" t="e">
        <f aca="false">CONCATENATE(C10;D10)</f>
        <v>#VALUE!</v>
      </c>
      <c r="C10" s="24" t="n">
        <v>290</v>
      </c>
      <c r="D10" s="29" t="s">
        <v>232</v>
      </c>
      <c r="E10" s="24"/>
      <c r="F10" s="30" t="n">
        <v>41827</v>
      </c>
      <c r="G10" s="30" t="n">
        <v>41821</v>
      </c>
      <c r="H10" s="31" t="n">
        <f aca="false">INT(($H$326-G10)/30)</f>
        <v>18</v>
      </c>
      <c r="I10" s="24" t="n">
        <f aca="false">H10*1000</f>
        <v>18000</v>
      </c>
      <c r="J10" s="31" t="n">
        <v>20000</v>
      </c>
      <c r="K10" s="31"/>
      <c r="L10" s="59" t="n">
        <f aca="false">I10-J10-K10</f>
        <v>-2000</v>
      </c>
      <c r="M10" s="85" t="n">
        <f aca="false">SUM('план на 2016'!$L11:M11)-SUM('членские взносы'!$M11:M11)</f>
        <v>-1200</v>
      </c>
      <c r="N10" s="85" t="n">
        <f aca="false">SUM('план на 2016'!$L11:N11)-SUM('членские взносы'!$M11:N11)</f>
        <v>-400</v>
      </c>
      <c r="O10" s="85" t="n">
        <f aca="false">SUM('план на 2016'!$L11:O11)-SUM('членские взносы'!$M11:O11)</f>
        <v>400</v>
      </c>
      <c r="P10" s="85" t="n">
        <f aca="false">SUM('план на 2016'!$L11:P11)-SUM('членские взносы'!$M11:P11)</f>
        <v>1200</v>
      </c>
      <c r="Q10" s="85" t="n">
        <f aca="false">SUM('план на 2016'!$L11:Q11)-SUM('членские взносы'!$M11:Q11)</f>
        <v>2000</v>
      </c>
      <c r="R10" s="85" t="n">
        <f aca="false">SUM('план на 2016'!$L11:R11)-SUM('членские взносы'!$M11:R11)</f>
        <v>2800</v>
      </c>
      <c r="S10" s="85" t="n">
        <f aca="false">SUM('план на 2016'!$L11:S11)-SUM('членские взносы'!$M11:S11)</f>
        <v>2600</v>
      </c>
      <c r="T10" s="85" t="n">
        <f aca="false">SUM('план на 2016'!$L11:T11)-SUM('членские взносы'!$M11:T11)</f>
        <v>3400</v>
      </c>
      <c r="U10" s="85" t="n">
        <f aca="false">SUM('план на 2016'!$L11:U11)-SUM('членские взносы'!$M11:U11)</f>
        <v>2200</v>
      </c>
      <c r="V10" s="85" t="n">
        <f aca="false">SUM('план на 2016'!$L11:V11)-SUM('членские взносы'!$M11:V11)</f>
        <v>3000</v>
      </c>
      <c r="W10" s="85" t="n">
        <f aca="false">SUM('план на 2016'!$L11:W11)-SUM('членские взносы'!$M11:W11)</f>
        <v>3800</v>
      </c>
      <c r="X10" s="85" t="n">
        <f aca="false">SUM('план на 2016'!$L11:X11)-SUM('членские взносы'!$M11:X11)</f>
        <v>4600</v>
      </c>
      <c r="Y10" s="59" t="n">
        <f aca="false">X10</f>
        <v>4600</v>
      </c>
    </row>
    <row collapsed="false" customFormat="false" customHeight="false" hidden="false" ht="15" outlineLevel="0" r="11">
      <c r="A11" s="19" t="n">
        <f aca="false">VLOOKUP(B11,справочник!$B$2:$E$322,4,0)</f>
        <v>221</v>
      </c>
      <c r="B11" s="0" t="e">
        <f aca="false">CONCATENATE(C11;D11)</f>
        <v>#VALUE!</v>
      </c>
      <c r="C11" s="24" t="n">
        <v>230</v>
      </c>
      <c r="D11" s="29" t="s">
        <v>194</v>
      </c>
      <c r="E11" s="24"/>
      <c r="F11" s="30" t="n">
        <v>41912</v>
      </c>
      <c r="G11" s="30" t="n">
        <v>41913</v>
      </c>
      <c r="H11" s="31" t="n">
        <f aca="false">INT(($H$326-G11)/30)</f>
        <v>15</v>
      </c>
      <c r="I11" s="24" t="n">
        <f aca="false">H11*1000</f>
        <v>15000</v>
      </c>
      <c r="J11" s="31" t="n">
        <v>1000</v>
      </c>
      <c r="K11" s="31"/>
      <c r="L11" s="59" t="n">
        <f aca="false">I11-J11-K11</f>
        <v>14000</v>
      </c>
      <c r="M11" s="85" t="n">
        <f aca="false">SUM('план на 2016'!$L12:M12)-SUM('членские взносы'!$M12:M12)</f>
        <v>2800</v>
      </c>
      <c r="N11" s="85" t="n">
        <f aca="false">SUM('план на 2016'!$L12:N12)-SUM('членские взносы'!$M12:N12)</f>
        <v>3600</v>
      </c>
      <c r="O11" s="85" t="n">
        <f aca="false">SUM('план на 2016'!$L12:O12)-SUM('членские взносы'!$M12:O12)</f>
        <v>4400</v>
      </c>
      <c r="P11" s="85" t="n">
        <f aca="false">SUM('план на 2016'!$L12:P12)-SUM('членские взносы'!$M12:P12)</f>
        <v>5200</v>
      </c>
      <c r="Q11" s="85" t="n">
        <f aca="false">SUM('план на 2016'!$L12:Q12)-SUM('членские взносы'!$M12:Q12)</f>
        <v>6000</v>
      </c>
      <c r="R11" s="85" t="n">
        <f aca="false">SUM('план на 2016'!$L12:R12)-SUM('членские взносы'!$M12:R12)</f>
        <v>6800</v>
      </c>
      <c r="S11" s="85" t="n">
        <f aca="false">SUM('план на 2016'!$L12:S12)-SUM('членские взносы'!$M12:S12)</f>
        <v>7600</v>
      </c>
      <c r="T11" s="85" t="n">
        <f aca="false">SUM('план на 2016'!$L12:T12)-SUM('членские взносы'!$M12:T12)</f>
        <v>8400</v>
      </c>
      <c r="U11" s="85" t="n">
        <f aca="false">SUM('план на 2016'!$L12:U12)-SUM('членские взносы'!$M12:U12)</f>
        <v>9200</v>
      </c>
      <c r="V11" s="85" t="n">
        <f aca="false">SUM('план на 2016'!$L12:V12)-SUM('членские взносы'!$M12:V12)</f>
        <v>10000</v>
      </c>
      <c r="W11" s="85" t="n">
        <f aca="false">SUM('план на 2016'!$L12:W12)-SUM('членские взносы'!$M12:W12)</f>
        <v>10800</v>
      </c>
      <c r="X11" s="85" t="n">
        <f aca="false">SUM('план на 2016'!$L12:X12)-SUM('членские взносы'!$M12:X12)</f>
        <v>11600</v>
      </c>
      <c r="Y11" s="59" t="n">
        <f aca="false">X11</f>
        <v>11600</v>
      </c>
    </row>
    <row collapsed="false" customFormat="false" customHeight="false" hidden="false" ht="15" outlineLevel="0" r="12">
      <c r="A12" s="19" t="n">
        <f aca="false">VLOOKUP(B12,справочник!$B$2:$E$322,4,0)</f>
        <v>259</v>
      </c>
      <c r="B12" s="0" t="e">
        <f aca="false">CONCATENATE(C12;D12)</f>
        <v>#VALUE!</v>
      </c>
      <c r="C12" s="24" t="n">
        <v>272</v>
      </c>
      <c r="D12" s="29" t="s">
        <v>178</v>
      </c>
      <c r="E12" s="24" t="s">
        <v>382</v>
      </c>
      <c r="F12" s="30" t="n">
        <v>41457</v>
      </c>
      <c r="G12" s="30" t="n">
        <v>41487</v>
      </c>
      <c r="H12" s="31" t="n">
        <f aca="false">INT(($H$326-G12)/30)</f>
        <v>29</v>
      </c>
      <c r="I12" s="24" t="n">
        <f aca="false">H12*1000</f>
        <v>29000</v>
      </c>
      <c r="J12" s="31" t="n">
        <v>25000</v>
      </c>
      <c r="K12" s="31"/>
      <c r="L12" s="59" t="n">
        <f aca="false">I12-J12-K12</f>
        <v>4000</v>
      </c>
      <c r="M12" s="85" t="n">
        <f aca="false">SUM('план на 2016'!$L13:M13)-SUM('членские взносы'!$M13:M13)</f>
        <v>4800</v>
      </c>
      <c r="N12" s="85" t="n">
        <f aca="false">SUM('план на 2016'!$L13:N13)-SUM('членские взносы'!$M13:N13)</f>
        <v>5600</v>
      </c>
      <c r="O12" s="85" t="n">
        <f aca="false">SUM('план на 2016'!$L13:O13)-SUM('членские взносы'!$M13:O13)</f>
        <v>6400</v>
      </c>
      <c r="P12" s="85" t="n">
        <f aca="false">SUM('план на 2016'!$L13:P13)-SUM('членские взносы'!$M13:P13)</f>
        <v>7200</v>
      </c>
      <c r="Q12" s="85" t="n">
        <f aca="false">SUM('план на 2016'!$L13:Q13)-SUM('членские взносы'!$M13:Q13)</f>
        <v>8000</v>
      </c>
      <c r="R12" s="85" t="n">
        <f aca="false">SUM('план на 2016'!$L13:R13)-SUM('членские взносы'!$M13:R13)</f>
        <v>8800</v>
      </c>
      <c r="S12" s="85" t="n">
        <f aca="false">SUM('план на 2016'!$L13:S13)-SUM('членские взносы'!$M13:S13)</f>
        <v>6600</v>
      </c>
      <c r="T12" s="85" t="n">
        <f aca="false">SUM('план на 2016'!$L13:T13)-SUM('членские взносы'!$M13:T13)</f>
        <v>7400</v>
      </c>
      <c r="U12" s="85" t="n">
        <f aca="false">SUM('план на 2016'!$L13:U13)-SUM('членские взносы'!$M13:U13)</f>
        <v>3200</v>
      </c>
      <c r="V12" s="85" t="n">
        <f aca="false">SUM('план на 2016'!$L13:V13)-SUM('членские взносы'!$M13:V13)</f>
        <v>1600</v>
      </c>
      <c r="W12" s="85" t="n">
        <f aca="false">SUM('план на 2016'!$L13:W13)-SUM('членские взносы'!$M13:W13)</f>
        <v>2400</v>
      </c>
      <c r="X12" s="85" t="n">
        <f aca="false">SUM('план на 2016'!$L13:X13)-SUM('членские взносы'!$M13:X13)</f>
        <v>3200</v>
      </c>
      <c r="Y12" s="59" t="n">
        <f aca="false">X12</f>
        <v>3200</v>
      </c>
    </row>
    <row collapsed="false" customFormat="false" customHeight="false" hidden="false" ht="15" outlineLevel="0" r="13">
      <c r="A13" s="19" t="n">
        <f aca="false">VLOOKUP(B13,справочник!$B$2:$E$322,4,0)</f>
        <v>109</v>
      </c>
      <c r="B13" s="0" t="e">
        <f aca="false">CONCATENATE(C13;D13)</f>
        <v>#VALUE!</v>
      </c>
      <c r="C13" s="24" t="n">
        <v>114</v>
      </c>
      <c r="D13" s="29" t="s">
        <v>102</v>
      </c>
      <c r="E13" s="24" t="s">
        <v>383</v>
      </c>
      <c r="F13" s="30" t="n">
        <v>41414</v>
      </c>
      <c r="G13" s="30" t="n">
        <v>41426</v>
      </c>
      <c r="H13" s="31" t="n">
        <f aca="false">INT(($H$326-G13)/30)</f>
        <v>31</v>
      </c>
      <c r="I13" s="24" t="n">
        <f aca="false">H13*1000</f>
        <v>31000</v>
      </c>
      <c r="J13" s="31" t="n">
        <v>10000</v>
      </c>
      <c r="K13" s="31"/>
      <c r="L13" s="59" t="n">
        <f aca="false">I13-J13-K13</f>
        <v>21000</v>
      </c>
      <c r="M13" s="85" t="n">
        <f aca="false">SUM('план на 2016'!$L14:M14)-SUM('членские взносы'!$M14:M14)</f>
        <v>21800</v>
      </c>
      <c r="N13" s="85" t="n">
        <f aca="false">SUM('план на 2016'!$L14:N14)-SUM('членские взносы'!$M14:N14)</f>
        <v>21600</v>
      </c>
      <c r="O13" s="85" t="n">
        <f aca="false">SUM('план на 2016'!$L14:O14)-SUM('членские взносы'!$M14:O14)</f>
        <v>21400</v>
      </c>
      <c r="P13" s="85" t="n">
        <f aca="false">SUM('план на 2016'!$L14:P14)-SUM('членские взносы'!$M14:P14)</f>
        <v>22200</v>
      </c>
      <c r="Q13" s="85" t="n">
        <f aca="false">SUM('план на 2016'!$L14:Q14)-SUM('членские взносы'!$M14:Q14)</f>
        <v>23000</v>
      </c>
      <c r="R13" s="85" t="n">
        <f aca="false">SUM('план на 2016'!$L14:R14)-SUM('членские взносы'!$M14:R14)</f>
        <v>23800</v>
      </c>
      <c r="S13" s="85" t="n">
        <f aca="false">SUM('план на 2016'!$L14:S14)-SUM('членские взносы'!$M14:S14)</f>
        <v>24600</v>
      </c>
      <c r="T13" s="85" t="n">
        <f aca="false">SUM('план на 2016'!$L14:T14)-SUM('членские взносы'!$M14:T14)</f>
        <v>25400</v>
      </c>
      <c r="U13" s="85" t="n">
        <f aca="false">SUM('план на 2016'!$L14:U14)-SUM('членские взносы'!$M14:U14)</f>
        <v>26200</v>
      </c>
      <c r="V13" s="85" t="n">
        <f aca="false">SUM('план на 2016'!$L14:V14)-SUM('членские взносы'!$M14:V14)</f>
        <v>27000</v>
      </c>
      <c r="W13" s="85" t="n">
        <f aca="false">SUM('план на 2016'!$L14:W14)-SUM('членские взносы'!$M14:W14)</f>
        <v>27800</v>
      </c>
      <c r="X13" s="85" t="n">
        <f aca="false">SUM('план на 2016'!$L14:X14)-SUM('членские взносы'!$M14:X14)</f>
        <v>28600</v>
      </c>
      <c r="Y13" s="59" t="n">
        <f aca="false">X13</f>
        <v>28600</v>
      </c>
    </row>
    <row collapsed="false" customFormat="false" customHeight="false" hidden="false" ht="15" outlineLevel="0" r="14">
      <c r="A14" s="19" t="n">
        <f aca="false">VLOOKUP(B14,справочник!$B$2:$E$322,4,0)</f>
        <v>130</v>
      </c>
      <c r="B14" s="0" t="e">
        <f aca="false">CONCATENATE(C14;D14)</f>
        <v>#VALUE!</v>
      </c>
      <c r="C14" s="24" t="n">
        <v>137</v>
      </c>
      <c r="D14" s="29" t="s">
        <v>36</v>
      </c>
      <c r="E14" s="24" t="s">
        <v>384</v>
      </c>
      <c r="F14" s="30" t="n">
        <v>40841</v>
      </c>
      <c r="G14" s="30" t="n">
        <v>40848</v>
      </c>
      <c r="H14" s="31" t="n">
        <f aca="false">INT(($H$326-G14)/30)</f>
        <v>50</v>
      </c>
      <c r="I14" s="24" t="n">
        <f aca="false">H14*1000</f>
        <v>50000</v>
      </c>
      <c r="J14" s="31" t="n">
        <f aca="false">44000+1000</f>
        <v>45000</v>
      </c>
      <c r="K14" s="31" t="n">
        <v>5000</v>
      </c>
      <c r="L14" s="59" t="n">
        <f aca="false">I14-J14-K14</f>
        <v>0</v>
      </c>
      <c r="M14" s="85" t="n">
        <f aca="false">SUM('план на 2016'!$L15:M15)-SUM('членские взносы'!$M15:M15)</f>
        <v>800</v>
      </c>
      <c r="N14" s="85" t="n">
        <f aca="false">SUM('план на 2016'!$L15:N15)-SUM('членские взносы'!$M15:N15)</f>
        <v>800</v>
      </c>
      <c r="O14" s="85" t="n">
        <f aca="false">SUM('план на 2016'!$L15:O15)-SUM('членские взносы'!$M15:O15)</f>
        <v>1600</v>
      </c>
      <c r="P14" s="85" t="n">
        <f aca="false">SUM('план на 2016'!$L15:P15)-SUM('членские взносы'!$M15:P15)</f>
        <v>2400</v>
      </c>
      <c r="Q14" s="85" t="n">
        <f aca="false">SUM('план на 2016'!$L15:Q15)-SUM('членские взносы'!$M15:Q15)</f>
        <v>3200</v>
      </c>
      <c r="R14" s="85" t="n">
        <f aca="false">SUM('план на 2016'!$L15:R15)-SUM('членские взносы'!$M15:R15)</f>
        <v>800</v>
      </c>
      <c r="S14" s="85" t="n">
        <f aca="false">SUM('план на 2016'!$L15:S15)-SUM('членские взносы'!$M15:S15)</f>
        <v>1600</v>
      </c>
      <c r="T14" s="85" t="n">
        <f aca="false">SUM('план на 2016'!$L15:T15)-SUM('членские взносы'!$M15:T15)</f>
        <v>2400</v>
      </c>
      <c r="U14" s="85" t="n">
        <f aca="false">SUM('план на 2016'!$L15:U15)-SUM('членские взносы'!$M15:U15)</f>
        <v>-4800</v>
      </c>
      <c r="V14" s="85" t="n">
        <f aca="false">SUM('план на 2016'!$L15:V15)-SUM('членские взносы'!$M15:V15)</f>
        <v>-4000</v>
      </c>
      <c r="W14" s="85" t="n">
        <f aca="false">SUM('план на 2016'!$L15:W15)-SUM('членские взносы'!$M15:W15)</f>
        <v>-3200</v>
      </c>
      <c r="X14" s="85" t="n">
        <f aca="false">SUM('план на 2016'!$L15:X15)-SUM('членские взносы'!$M15:X15)</f>
        <v>-2400</v>
      </c>
      <c r="Y14" s="59" t="n">
        <f aca="false">X14</f>
        <v>-2400</v>
      </c>
    </row>
    <row collapsed="false" customFormat="false" customHeight="false" hidden="false" ht="15" outlineLevel="0" r="15">
      <c r="A15" s="19" t="n">
        <f aca="false">VLOOKUP(B15,справочник!$B$2:$E$322,4,0)</f>
        <v>7</v>
      </c>
      <c r="B15" s="0" t="e">
        <f aca="false">CONCATENATE(C15;D15)</f>
        <v>#VALUE!</v>
      </c>
      <c r="C15" s="24" t="n">
        <v>7</v>
      </c>
      <c r="D15" s="29" t="s">
        <v>46</v>
      </c>
      <c r="E15" s="24" t="s">
        <v>385</v>
      </c>
      <c r="F15" s="30" t="n">
        <v>41467</v>
      </c>
      <c r="G15" s="30" t="n">
        <v>41518</v>
      </c>
      <c r="H15" s="31" t="n">
        <f aca="false">INT(($H$326-G15)/30)</f>
        <v>28</v>
      </c>
      <c r="I15" s="24" t="n">
        <f aca="false">H15*1000</f>
        <v>28000</v>
      </c>
      <c r="J15" s="31"/>
      <c r="K15" s="31"/>
      <c r="L15" s="59" t="n">
        <f aca="false">I15-J15-K15</f>
        <v>28000</v>
      </c>
      <c r="M15" s="85" t="n">
        <f aca="false">SUM('план на 2016'!$L16:M16)-SUM('членские взносы'!$M16:M16)</f>
        <v>28800</v>
      </c>
      <c r="N15" s="85" t="n">
        <f aca="false">SUM('план на 2016'!$L16:N16)-SUM('членские взносы'!$M16:N16)</f>
        <v>29600</v>
      </c>
      <c r="O15" s="85" t="n">
        <f aca="false">SUM('план на 2016'!$L16:O16)-SUM('членские взносы'!$M16:O16)</f>
        <v>30400</v>
      </c>
      <c r="P15" s="85" t="n">
        <f aca="false">SUM('план на 2016'!$L16:P16)-SUM('членские взносы'!$M16:P16)</f>
        <v>31200</v>
      </c>
      <c r="Q15" s="85" t="n">
        <f aca="false">SUM('план на 2016'!$L16:Q16)-SUM('членские взносы'!$M16:Q16)</f>
        <v>32000</v>
      </c>
      <c r="R15" s="85" t="n">
        <f aca="false">SUM('план на 2016'!$L16:R16)-SUM('членские взносы'!$M16:R16)</f>
        <v>32800</v>
      </c>
      <c r="S15" s="85" t="n">
        <f aca="false">SUM('план на 2016'!$L16:S16)-SUM('членские взносы'!$M16:S16)</f>
        <v>33600</v>
      </c>
      <c r="T15" s="85" t="n">
        <f aca="false">SUM('план на 2016'!$L16:T16)-SUM('членские взносы'!$M16:T16)</f>
        <v>34400</v>
      </c>
      <c r="U15" s="85" t="n">
        <f aca="false">SUM('план на 2016'!$L16:U16)-SUM('членские взносы'!$M16:U16)</f>
        <v>35200</v>
      </c>
      <c r="V15" s="85" t="n">
        <f aca="false">SUM('план на 2016'!$L16:V16)-SUM('членские взносы'!$M16:V16)</f>
        <v>36000</v>
      </c>
      <c r="W15" s="85" t="n">
        <f aca="false">SUM('план на 2016'!$L16:W16)-SUM('членские взносы'!$M16:W16)</f>
        <v>36800</v>
      </c>
      <c r="X15" s="85" t="n">
        <f aca="false">SUM('план на 2016'!$L16:X16)-SUM('членские взносы'!$M16:X16)</f>
        <v>37600</v>
      </c>
      <c r="Y15" s="59" t="n">
        <f aca="false">X15</f>
        <v>37600</v>
      </c>
    </row>
    <row collapsed="false" customFormat="false" customHeight="false" hidden="false" ht="15" outlineLevel="0" r="16">
      <c r="A16" s="19" t="n">
        <f aca="false">VLOOKUP(B16,справочник!$B$2:$E$322,4,0)</f>
        <v>7</v>
      </c>
      <c r="B16" s="0" t="e">
        <f aca="false">CONCATENATE(C16;D16)</f>
        <v>#VALUE!</v>
      </c>
      <c r="C16" s="24" t="n">
        <v>14</v>
      </c>
      <c r="D16" s="29" t="s">
        <v>46</v>
      </c>
      <c r="E16" s="24" t="s">
        <v>386</v>
      </c>
      <c r="F16" s="30" t="n">
        <v>41204</v>
      </c>
      <c r="G16" s="30" t="n">
        <v>41214</v>
      </c>
      <c r="H16" s="31" t="n">
        <f aca="false">INT(($H$326-G16)/30)</f>
        <v>38</v>
      </c>
      <c r="I16" s="24" t="n">
        <f aca="false">H16*1000</f>
        <v>38000</v>
      </c>
      <c r="J16" s="31" t="n">
        <v>27000</v>
      </c>
      <c r="K16" s="31"/>
      <c r="L16" s="59" t="n">
        <f aca="false">I16-J16-K16</f>
        <v>11000</v>
      </c>
      <c r="M16" s="85" t="n">
        <f aca="false">SUM('план на 2016'!$L17:M17)-SUM('членские взносы'!$M17:M17)</f>
        <v>11000</v>
      </c>
      <c r="N16" s="85" t="n">
        <f aca="false">SUM('план на 2016'!$L17:N17)-SUM('членские взносы'!$M17:N17)</f>
        <v>11000</v>
      </c>
      <c r="O16" s="85" t="n">
        <f aca="false">SUM('план на 2016'!$L17:O17)-SUM('членские взносы'!$M17:O17)</f>
        <v>11000</v>
      </c>
      <c r="P16" s="85" t="n">
        <f aca="false">SUM('план на 2016'!$L17:P17)-SUM('членские взносы'!$M17:P17)</f>
        <v>11000</v>
      </c>
      <c r="Q16" s="85" t="n">
        <f aca="false">SUM('план на 2016'!$L17:Q17)-SUM('членские взносы'!$M17:Q17)</f>
        <v>11000</v>
      </c>
      <c r="R16" s="85" t="n">
        <f aca="false">SUM('план на 2016'!$L17:R17)-SUM('членские взносы'!$M17:R17)</f>
        <v>11000</v>
      </c>
      <c r="S16" s="85" t="n">
        <f aca="false">SUM('план на 2016'!$L17:S17)-SUM('членские взносы'!$M17:S17)</f>
        <v>11000</v>
      </c>
      <c r="T16" s="85" t="n">
        <f aca="false">SUM('план на 2016'!$L17:T17)-SUM('членские взносы'!$M17:T17)</f>
        <v>11000</v>
      </c>
      <c r="U16" s="85" t="n">
        <f aca="false">SUM('план на 2016'!$L17:U17)-SUM('членские взносы'!$M17:U17)</f>
        <v>11000</v>
      </c>
      <c r="V16" s="85" t="n">
        <f aca="false">SUM('план на 2016'!$L17:V17)-SUM('членские взносы'!$M17:V17)</f>
        <v>11000</v>
      </c>
      <c r="W16" s="85" t="n">
        <f aca="false">SUM('план на 2016'!$L17:W17)-SUM('членские взносы'!$M17:W17)</f>
        <v>11000</v>
      </c>
      <c r="X16" s="85" t="n">
        <f aca="false">SUM('план на 2016'!$L17:X17)-SUM('членские взносы'!$M17:X17)</f>
        <v>11000</v>
      </c>
      <c r="Y16" s="59" t="n">
        <f aca="false">X16</f>
        <v>11000</v>
      </c>
    </row>
    <row collapsed="false" customFormat="false" customHeight="false" hidden="false" ht="15" outlineLevel="0" r="17">
      <c r="A17" s="19" t="n">
        <f aca="false">VLOOKUP(B17,справочник!$B$2:$E$322,4,0)</f>
        <v>193</v>
      </c>
      <c r="B17" s="0" t="e">
        <f aca="false">CONCATENATE(C17;D17)</f>
        <v>#VALUE!</v>
      </c>
      <c r="C17" s="24" t="n">
        <v>201</v>
      </c>
      <c r="D17" s="29" t="s">
        <v>212</v>
      </c>
      <c r="E17" s="24" t="s">
        <v>387</v>
      </c>
      <c r="F17" s="24"/>
      <c r="G17" s="24"/>
      <c r="H17" s="31"/>
      <c r="I17" s="24" t="n">
        <f aca="false">H17*1000</f>
        <v>0</v>
      </c>
      <c r="J17" s="31"/>
      <c r="K17" s="31"/>
      <c r="L17" s="59" t="n">
        <f aca="false">I17-J17-K17</f>
        <v>0</v>
      </c>
      <c r="M17" s="85" t="n">
        <f aca="false">SUM('план на 2016'!$L18:M18)-SUM('членские взносы'!$M18:M18)</f>
        <v>800</v>
      </c>
      <c r="N17" s="85" t="n">
        <f aca="false">SUM('план на 2016'!$L18:N18)-SUM('членские взносы'!$M18:N18)</f>
        <v>1600</v>
      </c>
      <c r="O17" s="85" t="n">
        <f aca="false">SUM('план на 2016'!$L18:O18)-SUM('членские взносы'!$M18:O18)</f>
        <v>2400</v>
      </c>
      <c r="P17" s="85" t="n">
        <f aca="false">SUM('план на 2016'!$L18:P18)-SUM('членские взносы'!$M18:P18)</f>
        <v>3200</v>
      </c>
      <c r="Q17" s="85" t="n">
        <f aca="false">SUM('план на 2016'!$L18:Q18)-SUM('членские взносы'!$M18:Q18)</f>
        <v>4000</v>
      </c>
      <c r="R17" s="85" t="n">
        <f aca="false">SUM('план на 2016'!$L18:R18)-SUM('членские взносы'!$M18:R18)</f>
        <v>4800</v>
      </c>
      <c r="S17" s="85" t="n">
        <f aca="false">SUM('план на 2016'!$L18:S18)-SUM('членские взносы'!$M18:S18)</f>
        <v>5600</v>
      </c>
      <c r="T17" s="85" t="n">
        <f aca="false">SUM('план на 2016'!$L18:T18)-SUM('членские взносы'!$M18:T18)</f>
        <v>6400</v>
      </c>
      <c r="U17" s="85" t="n">
        <f aca="false">SUM('план на 2016'!$L18:U18)-SUM('членские взносы'!$M18:U18)</f>
        <v>7200</v>
      </c>
      <c r="V17" s="85" t="n">
        <f aca="false">SUM('план на 2016'!$L18:V18)-SUM('членские взносы'!$M18:V18)</f>
        <v>8000</v>
      </c>
      <c r="W17" s="85" t="n">
        <f aca="false">SUM('план на 2016'!$L18:W18)-SUM('членские взносы'!$M18:W18)</f>
        <v>8800</v>
      </c>
      <c r="X17" s="85" t="n">
        <f aca="false">SUM('план на 2016'!$L18:X18)-SUM('членские взносы'!$M18:X18)</f>
        <v>9600</v>
      </c>
      <c r="Y17" s="59" t="n">
        <f aca="false">X17</f>
        <v>9600</v>
      </c>
    </row>
    <row collapsed="false" customFormat="false" customHeight="false" hidden="false" ht="15" outlineLevel="0" r="18">
      <c r="A18" s="19" t="n">
        <f aca="false">VLOOKUP(B18,справочник!$B$2:$E$322,4,0)</f>
        <v>178</v>
      </c>
      <c r="B18" s="0" t="e">
        <f aca="false">CONCATENATE(C18;D18)</f>
        <v>#VALUE!</v>
      </c>
      <c r="C18" s="24" t="n">
        <v>186</v>
      </c>
      <c r="D18" s="29" t="s">
        <v>128</v>
      </c>
      <c r="E18" s="24" t="s">
        <v>388</v>
      </c>
      <c r="F18" s="30" t="n">
        <v>41898</v>
      </c>
      <c r="G18" s="30" t="n">
        <v>41944</v>
      </c>
      <c r="H18" s="31" t="n">
        <f aca="false">INT(($H$326-G18)/30)</f>
        <v>14</v>
      </c>
      <c r="I18" s="24" t="n">
        <f aca="false">H18*1000</f>
        <v>14000</v>
      </c>
      <c r="J18" s="31" t="n">
        <v>1000</v>
      </c>
      <c r="K18" s="31"/>
      <c r="L18" s="59" t="n">
        <f aca="false">I18-J18-K18</f>
        <v>13000</v>
      </c>
      <c r="M18" s="85" t="n">
        <f aca="false">SUM('план на 2016'!$L19:M19)-SUM('членские взносы'!$M19:M19)</f>
        <v>13800</v>
      </c>
      <c r="N18" s="85" t="n">
        <f aca="false">SUM('план на 2016'!$L19:N19)-SUM('членские взносы'!$M19:N19)</f>
        <v>14600</v>
      </c>
      <c r="O18" s="85" t="n">
        <f aca="false">SUM('план на 2016'!$L19:O19)-SUM('членские взносы'!$M19:O19)</f>
        <v>15400</v>
      </c>
      <c r="P18" s="85" t="n">
        <f aca="false">SUM('план на 2016'!$L19:P19)-SUM('членские взносы'!$M19:P19)</f>
        <v>16200</v>
      </c>
      <c r="Q18" s="85" t="n">
        <f aca="false">SUM('план на 2016'!$L19:Q19)-SUM('членские взносы'!$M19:Q19)</f>
        <v>17000</v>
      </c>
      <c r="R18" s="85" t="n">
        <f aca="false">SUM('план на 2016'!$L19:R19)-SUM('членские взносы'!$M19:R19)</f>
        <v>17800</v>
      </c>
      <c r="S18" s="85" t="n">
        <f aca="false">SUM('план на 2016'!$L19:S19)-SUM('членские взносы'!$M19:S19)</f>
        <v>18600</v>
      </c>
      <c r="T18" s="85" t="n">
        <f aca="false">SUM('план на 2016'!$L19:T19)-SUM('членские взносы'!$M19:T19)</f>
        <v>19400</v>
      </c>
      <c r="U18" s="85" t="n">
        <f aca="false">SUM('план на 2016'!$L19:U19)-SUM('членские взносы'!$M19:U19)</f>
        <v>20200</v>
      </c>
      <c r="V18" s="85" t="n">
        <f aca="false">SUM('план на 2016'!$L19:V19)-SUM('членские взносы'!$M19:V19)</f>
        <v>21000</v>
      </c>
      <c r="W18" s="85" t="n">
        <f aca="false">SUM('план на 2016'!$L19:W19)-SUM('членские взносы'!$M19:W19)</f>
        <v>11800</v>
      </c>
      <c r="X18" s="85" t="n">
        <f aca="false">SUM('план на 2016'!$L19:X19)-SUM('членские взносы'!$M19:X19)</f>
        <v>12600</v>
      </c>
      <c r="Y18" s="59" t="n">
        <f aca="false">X18</f>
        <v>12600</v>
      </c>
    </row>
    <row collapsed="false" customFormat="false" customHeight="false" hidden="false" ht="15" outlineLevel="0" r="19">
      <c r="A19" s="19" t="n">
        <f aca="false">VLOOKUP(B19,справочник!$B$2:$E$322,4,0)</f>
        <v>119</v>
      </c>
      <c r="B19" s="0" t="e">
        <f aca="false">CONCATENATE(C19;D19)</f>
        <v>#VALUE!</v>
      </c>
      <c r="C19" s="24" t="n">
        <v>124</v>
      </c>
      <c r="D19" s="29" t="s">
        <v>110</v>
      </c>
      <c r="E19" s="24" t="s">
        <v>389</v>
      </c>
      <c r="F19" s="30" t="n">
        <v>41401</v>
      </c>
      <c r="G19" s="30" t="n">
        <v>41426</v>
      </c>
      <c r="H19" s="31" t="n">
        <f aca="false">INT(($H$326-G19)/30)</f>
        <v>31</v>
      </c>
      <c r="I19" s="24" t="n">
        <f aca="false">H19*1000</f>
        <v>31000</v>
      </c>
      <c r="J19" s="31" t="n">
        <v>11000</v>
      </c>
      <c r="K19" s="31"/>
      <c r="L19" s="59" t="n">
        <f aca="false">I19-J19-K19</f>
        <v>20000</v>
      </c>
      <c r="M19" s="85" t="n">
        <f aca="false">SUM('план на 2016'!$L20:M20)-SUM('членские взносы'!$M20:M20)</f>
        <v>20800</v>
      </c>
      <c r="N19" s="85" t="n">
        <f aca="false">SUM('план на 2016'!$L20:N20)-SUM('членские взносы'!$M20:N20)</f>
        <v>21600</v>
      </c>
      <c r="O19" s="85" t="n">
        <f aca="false">SUM('план на 2016'!$L20:O20)-SUM('членские взносы'!$M20:O20)</f>
        <v>19400</v>
      </c>
      <c r="P19" s="85" t="n">
        <f aca="false">SUM('план на 2016'!$L20:P20)-SUM('членские взносы'!$M20:P20)</f>
        <v>20200</v>
      </c>
      <c r="Q19" s="85" t="n">
        <f aca="false">SUM('план на 2016'!$L20:Q20)-SUM('членские взносы'!$M20:Q20)</f>
        <v>21000</v>
      </c>
      <c r="R19" s="85" t="n">
        <f aca="false">SUM('план на 2016'!$L20:R20)-SUM('членские взносы'!$M20:R20)</f>
        <v>21800</v>
      </c>
      <c r="S19" s="85" t="n">
        <f aca="false">SUM('план на 2016'!$L20:S20)-SUM('членские взносы'!$M20:S20)</f>
        <v>22600</v>
      </c>
      <c r="T19" s="85" t="n">
        <f aca="false">SUM('план на 2016'!$L20:T20)-SUM('членские взносы'!$M20:T20)</f>
        <v>23400</v>
      </c>
      <c r="U19" s="85" t="n">
        <f aca="false">SUM('план на 2016'!$L20:U20)-SUM('членские взносы'!$M20:U20)</f>
        <v>24200</v>
      </c>
      <c r="V19" s="85" t="n">
        <f aca="false">SUM('план на 2016'!$L20:V20)-SUM('членские взносы'!$M20:V20)</f>
        <v>25000</v>
      </c>
      <c r="W19" s="85" t="n">
        <f aca="false">SUM('план на 2016'!$L20:W20)-SUM('членские взносы'!$M20:W20)</f>
        <v>25800</v>
      </c>
      <c r="X19" s="85" t="n">
        <f aca="false">SUM('план на 2016'!$L20:X20)-SUM('членские взносы'!$M20:X20)</f>
        <v>26600</v>
      </c>
      <c r="Y19" s="59" t="n">
        <f aca="false">X19</f>
        <v>26600</v>
      </c>
    </row>
    <row collapsed="false" customFormat="false" customHeight="false" hidden="false" ht="15" outlineLevel="0" r="20">
      <c r="A20" s="19" t="n">
        <f aca="false">VLOOKUP(B20,справочник!$B$2:$E$322,4,0)</f>
        <v>293</v>
      </c>
      <c r="B20" s="0" t="e">
        <f aca="false">CONCATENATE(C20;D20)</f>
        <v>#VALUE!</v>
      </c>
      <c r="C20" s="24" t="n">
        <v>308</v>
      </c>
      <c r="D20" s="29" t="s">
        <v>135</v>
      </c>
      <c r="E20" s="24" t="s">
        <v>390</v>
      </c>
      <c r="F20" s="30" t="n">
        <v>40928</v>
      </c>
      <c r="G20" s="30" t="n">
        <v>40909</v>
      </c>
      <c r="H20" s="31" t="n">
        <f aca="false">INT(($H$326-G20)/30)</f>
        <v>48</v>
      </c>
      <c r="I20" s="24" t="n">
        <f aca="false">H20*1000</f>
        <v>48000</v>
      </c>
      <c r="J20" s="31" t="n">
        <f aca="false">11500+24500</f>
        <v>36000</v>
      </c>
      <c r="K20" s="31"/>
      <c r="L20" s="59" t="n">
        <f aca="false">I20-J20-K20</f>
        <v>12000</v>
      </c>
      <c r="M20" s="85" t="n">
        <f aca="false">SUM('план на 2016'!$L21:M21)-SUM('членские взносы'!$M21:M21)</f>
        <v>12800</v>
      </c>
      <c r="N20" s="85" t="n">
        <f aca="false">SUM('план на 2016'!$L21:N21)-SUM('членские взносы'!$M21:N21)</f>
        <v>13600</v>
      </c>
      <c r="O20" s="85" t="n">
        <f aca="false">SUM('план на 2016'!$L21:O21)-SUM('членские взносы'!$M21:O21)</f>
        <v>14400</v>
      </c>
      <c r="P20" s="85" t="n">
        <f aca="false">SUM('план на 2016'!$L21:P21)-SUM('членские взносы'!$M21:P21)</f>
        <v>15200</v>
      </c>
      <c r="Q20" s="85" t="n">
        <f aca="false">SUM('план на 2016'!$L21:Q21)-SUM('членские взносы'!$M21:Q21)</f>
        <v>16000</v>
      </c>
      <c r="R20" s="85" t="n">
        <f aca="false">SUM('план на 2016'!$L21:R21)-SUM('членские взносы'!$M21:R21)</f>
        <v>16800</v>
      </c>
      <c r="S20" s="85" t="n">
        <f aca="false">SUM('план на 2016'!$L21:S21)-SUM('членские взносы'!$M21:S21)</f>
        <v>17600</v>
      </c>
      <c r="T20" s="85" t="n">
        <f aca="false">SUM('план на 2016'!$L21:T21)-SUM('членские взносы'!$M21:T21)</f>
        <v>18400</v>
      </c>
      <c r="U20" s="85" t="n">
        <f aca="false">SUM('план на 2016'!$L21:U21)-SUM('членские взносы'!$M21:U21)</f>
        <v>19200</v>
      </c>
      <c r="V20" s="85" t="n">
        <f aca="false">SUM('план на 2016'!$L21:V21)-SUM('членские взносы'!$M21:V21)</f>
        <v>20000</v>
      </c>
      <c r="W20" s="85" t="n">
        <f aca="false">SUM('план на 2016'!$L21:W21)-SUM('членские взносы'!$M21:W21)</f>
        <v>20800</v>
      </c>
      <c r="X20" s="85" t="n">
        <f aca="false">SUM('план на 2016'!$L21:X21)-SUM('членские взносы'!$M21:X21)</f>
        <v>21600</v>
      </c>
      <c r="Y20" s="59" t="n">
        <f aca="false">X20</f>
        <v>21600</v>
      </c>
    </row>
    <row collapsed="false" customFormat="false" customHeight="false" hidden="false" ht="15" outlineLevel="0" r="21">
      <c r="A21" s="19" t="n">
        <f aca="false">VLOOKUP(B21,справочник!$B$2:$E$322,4,0)</f>
        <v>191</v>
      </c>
      <c r="B21" s="0" t="e">
        <f aca="false">CONCATENATE(C21;D21)</f>
        <v>#VALUE!</v>
      </c>
      <c r="C21" s="24" t="n">
        <v>199</v>
      </c>
      <c r="D21" s="29" t="s">
        <v>213</v>
      </c>
      <c r="E21" s="24" t="s">
        <v>391</v>
      </c>
      <c r="F21" s="24"/>
      <c r="G21" s="24"/>
      <c r="H21" s="31"/>
      <c r="I21" s="24" t="n">
        <f aca="false">H21*1000</f>
        <v>0</v>
      </c>
      <c r="J21" s="31"/>
      <c r="K21" s="31"/>
      <c r="L21" s="59" t="n">
        <f aca="false">I21-J21-K21</f>
        <v>0</v>
      </c>
      <c r="M21" s="85" t="n">
        <f aca="false">SUM('план на 2016'!$L22:M22)-SUM('членские взносы'!$M22:M22)</f>
        <v>800</v>
      </c>
      <c r="N21" s="85" t="n">
        <f aca="false">SUM('план на 2016'!$L22:N22)-SUM('членские взносы'!$M22:N22)</f>
        <v>1600</v>
      </c>
      <c r="O21" s="85" t="n">
        <f aca="false">SUM('план на 2016'!$L22:O22)-SUM('членские взносы'!$M22:O22)</f>
        <v>2400</v>
      </c>
      <c r="P21" s="85" t="n">
        <f aca="false">SUM('план на 2016'!$L22:P22)-SUM('членские взносы'!$M22:P22)</f>
        <v>3200</v>
      </c>
      <c r="Q21" s="85" t="n">
        <f aca="false">SUM('план на 2016'!$L22:Q22)-SUM('членские взносы'!$M22:Q22)</f>
        <v>4000</v>
      </c>
      <c r="R21" s="85" t="n">
        <f aca="false">SUM('план на 2016'!$L22:R22)-SUM('членские взносы'!$M22:R22)</f>
        <v>4800</v>
      </c>
      <c r="S21" s="85" t="n">
        <f aca="false">SUM('план на 2016'!$L22:S22)-SUM('членские взносы'!$M22:S22)</f>
        <v>5600</v>
      </c>
      <c r="T21" s="85" t="n">
        <f aca="false">SUM('план на 2016'!$L22:T22)-SUM('членские взносы'!$M22:T22)</f>
        <v>6400</v>
      </c>
      <c r="U21" s="85" t="n">
        <f aca="false">SUM('план на 2016'!$L22:U22)-SUM('членские взносы'!$M22:U22)</f>
        <v>7200</v>
      </c>
      <c r="V21" s="85" t="n">
        <f aca="false">SUM('план на 2016'!$L22:V22)-SUM('членские взносы'!$M22:V22)</f>
        <v>8000</v>
      </c>
      <c r="W21" s="85" t="n">
        <f aca="false">SUM('план на 2016'!$L22:W22)-SUM('членские взносы'!$M22:W22)</f>
        <v>8800</v>
      </c>
      <c r="X21" s="85" t="n">
        <f aca="false">SUM('план на 2016'!$L22:X22)-SUM('членские взносы'!$M22:X22)</f>
        <v>9600</v>
      </c>
      <c r="Y21" s="59" t="n">
        <f aca="false">X21</f>
        <v>9600</v>
      </c>
    </row>
    <row collapsed="false" customFormat="false" customHeight="false" hidden="false" ht="25.5" outlineLevel="0" r="22">
      <c r="A22" s="19" t="n">
        <f aca="false">VLOOKUP(B22,справочник!$B$2:$E$322,4,0)</f>
        <v>249</v>
      </c>
      <c r="B22" s="0" t="e">
        <f aca="false">CONCATENATE(C22;D22)</f>
        <v>#VALUE!</v>
      </c>
      <c r="C22" s="24" t="n">
        <v>260</v>
      </c>
      <c r="D22" s="29" t="s">
        <v>75</v>
      </c>
      <c r="E22" s="24" t="s">
        <v>392</v>
      </c>
      <c r="F22" s="30" t="n">
        <v>41604</v>
      </c>
      <c r="G22" s="30" t="n">
        <v>41609</v>
      </c>
      <c r="H22" s="31" t="n">
        <f aca="false">INT(($H$326-G22)/30)</f>
        <v>25</v>
      </c>
      <c r="I22" s="24" t="n">
        <f aca="false">H22*1000</f>
        <v>25000</v>
      </c>
      <c r="J22" s="31" t="n">
        <f aca="false">1000</f>
        <v>1000</v>
      </c>
      <c r="K22" s="31"/>
      <c r="L22" s="59" t="n">
        <f aca="false">I22-J22-K22</f>
        <v>24000</v>
      </c>
      <c r="M22" s="85" t="n">
        <f aca="false">SUM('план на 2016'!$L23:M23)-SUM('членские взносы'!$M23:M23)</f>
        <v>24800</v>
      </c>
      <c r="N22" s="85" t="n">
        <f aca="false">SUM('план на 2016'!$L23:N23)-SUM('членские взносы'!$M23:N23)</f>
        <v>25600</v>
      </c>
      <c r="O22" s="85" t="n">
        <f aca="false">SUM('план на 2016'!$L23:O23)-SUM('членские взносы'!$M23:O23)</f>
        <v>26400</v>
      </c>
      <c r="P22" s="85" t="n">
        <f aca="false">SUM('план на 2016'!$L23:P23)-SUM('членские взносы'!$M23:P23)</f>
        <v>27200</v>
      </c>
      <c r="Q22" s="85" t="n">
        <f aca="false">SUM('план на 2016'!$L23:Q23)-SUM('членские взносы'!$M23:Q23)</f>
        <v>28000</v>
      </c>
      <c r="R22" s="85" t="n">
        <f aca="false">SUM('план на 2016'!$L23:R23)-SUM('членские взносы'!$M23:R23)</f>
        <v>28800</v>
      </c>
      <c r="S22" s="85" t="n">
        <f aca="false">SUM('план на 2016'!$L23:S23)-SUM('членские взносы'!$M23:S23)</f>
        <v>29600</v>
      </c>
      <c r="T22" s="85" t="n">
        <f aca="false">SUM('план на 2016'!$L23:T23)-SUM('членские взносы'!$M23:T23)</f>
        <v>30400</v>
      </c>
      <c r="U22" s="85" t="n">
        <f aca="false">SUM('план на 2016'!$L23:U23)-SUM('членские взносы'!$M23:U23)</f>
        <v>31200</v>
      </c>
      <c r="V22" s="85" t="n">
        <f aca="false">SUM('план на 2016'!$L23:V23)-SUM('членские взносы'!$M23:V23)</f>
        <v>32000</v>
      </c>
      <c r="W22" s="85" t="n">
        <f aca="false">SUM('план на 2016'!$L23:W23)-SUM('членские взносы'!$M23:W23)</f>
        <v>32800</v>
      </c>
      <c r="X22" s="85" t="n">
        <f aca="false">SUM('план на 2016'!$L23:X23)-SUM('членские взносы'!$M23:X23)</f>
        <v>33600</v>
      </c>
      <c r="Y22" s="59" t="n">
        <f aca="false">X22</f>
        <v>33600</v>
      </c>
    </row>
    <row collapsed="false" customFormat="false" customHeight="false" hidden="false" ht="15" outlineLevel="0" r="23">
      <c r="A23" s="19" t="n">
        <f aca="false">VLOOKUP(B23,справочник!$B$2:$E$322,4,0)</f>
        <v>72</v>
      </c>
      <c r="B23" s="0" t="e">
        <f aca="false">CONCATENATE(C23;D23)</f>
        <v>#VALUE!</v>
      </c>
      <c r="C23" s="24" t="n">
        <v>78</v>
      </c>
      <c r="D23" s="29" t="s">
        <v>174</v>
      </c>
      <c r="E23" s="24" t="s">
        <v>393</v>
      </c>
      <c r="F23" s="30" t="n">
        <v>40793</v>
      </c>
      <c r="G23" s="30" t="n">
        <v>40787</v>
      </c>
      <c r="H23" s="31" t="n">
        <f aca="false">INT(($H$326-G23)/30)</f>
        <v>52</v>
      </c>
      <c r="I23" s="24" t="n">
        <f aca="false">H23*1000</f>
        <v>52000</v>
      </c>
      <c r="J23" s="31" t="n">
        <f aca="false">19000+1500+2500+23000</f>
        <v>46000</v>
      </c>
      <c r="K23" s="31"/>
      <c r="L23" s="59" t="n">
        <f aca="false">I23-J23-K23</f>
        <v>6000</v>
      </c>
      <c r="M23" s="85" t="n">
        <f aca="false">SUM('план на 2016'!$L24:M24)-SUM('членские взносы'!$M24:M24)</f>
        <v>6800</v>
      </c>
      <c r="N23" s="85" t="n">
        <f aca="false">SUM('план на 2016'!$L24:N24)-SUM('членские взносы'!$M24:N24)</f>
        <v>7600</v>
      </c>
      <c r="O23" s="85" t="n">
        <f aca="false">SUM('план на 2016'!$L24:O24)-SUM('членские взносы'!$M24:O24)</f>
        <v>8400</v>
      </c>
      <c r="P23" s="85" t="n">
        <f aca="false">SUM('план на 2016'!$L24:P24)-SUM('членские взносы'!$M24:P24)</f>
        <v>9200</v>
      </c>
      <c r="Q23" s="85" t="n">
        <f aca="false">SUM('план на 2016'!$L24:Q24)-SUM('членские взносы'!$M24:Q24)</f>
        <v>10000</v>
      </c>
      <c r="R23" s="85" t="n">
        <f aca="false">SUM('план на 2016'!$L24:R24)-SUM('членские взносы'!$M24:R24)</f>
        <v>10800</v>
      </c>
      <c r="S23" s="85" t="n">
        <f aca="false">SUM('план на 2016'!$L24:S24)-SUM('членские взносы'!$M24:S24)</f>
        <v>11600</v>
      </c>
      <c r="T23" s="85" t="n">
        <f aca="false">SUM('план на 2016'!$L24:T24)-SUM('членские взносы'!$M24:T24)</f>
        <v>12400</v>
      </c>
      <c r="U23" s="85" t="n">
        <f aca="false">SUM('план на 2016'!$L24:U24)-SUM('членские взносы'!$M24:U24)</f>
        <v>13200</v>
      </c>
      <c r="V23" s="85" t="n">
        <f aca="false">SUM('план на 2016'!$L24:V24)-SUM('членские взносы'!$M24:V24)</f>
        <v>14000</v>
      </c>
      <c r="W23" s="85" t="n">
        <f aca="false">SUM('план на 2016'!$L24:W24)-SUM('членские взносы'!$M24:W24)</f>
        <v>14800</v>
      </c>
      <c r="X23" s="85" t="n">
        <f aca="false">SUM('план на 2016'!$L24:X24)-SUM('членские взносы'!$M24:X24)</f>
        <v>15600</v>
      </c>
      <c r="Y23" s="59" t="n">
        <f aca="false">X23</f>
        <v>15600</v>
      </c>
    </row>
    <row collapsed="false" customFormat="false" customHeight="false" hidden="false" ht="15" outlineLevel="0" r="24">
      <c r="A24" s="19" t="n">
        <f aca="false">VLOOKUP(B24,справочник!$B$2:$E$322,4,0)</f>
        <v>125</v>
      </c>
      <c r="B24" s="0" t="e">
        <f aca="false">CONCATENATE(C24;D24)</f>
        <v>#VALUE!</v>
      </c>
      <c r="C24" s="24" t="n">
        <v>130</v>
      </c>
      <c r="D24" s="29" t="s">
        <v>195</v>
      </c>
      <c r="E24" s="24" t="s">
        <v>394</v>
      </c>
      <c r="F24" s="30" t="n">
        <v>41948</v>
      </c>
      <c r="G24" s="30" t="n">
        <v>41974</v>
      </c>
      <c r="H24" s="31" t="n">
        <f aca="false">INT(($H$326-G24)/30)</f>
        <v>13</v>
      </c>
      <c r="I24" s="24" t="n">
        <f aca="false">H24*1000</f>
        <v>13000</v>
      </c>
      <c r="J24" s="31" t="n">
        <v>8000</v>
      </c>
      <c r="K24" s="31"/>
      <c r="L24" s="59" t="n">
        <f aca="false">I24-J24-K24</f>
        <v>5000</v>
      </c>
      <c r="M24" s="85" t="n">
        <f aca="false">SUM('план на 2016'!$L25:M25)-SUM('членские взносы'!$M25:M25)</f>
        <v>5800</v>
      </c>
      <c r="N24" s="85" t="n">
        <f aca="false">SUM('план на 2016'!$L25:N25)-SUM('членские взносы'!$M25:N25)</f>
        <v>6600</v>
      </c>
      <c r="O24" s="85" t="n">
        <f aca="false">SUM('план на 2016'!$L25:O25)-SUM('членские взносы'!$M25:O25)</f>
        <v>7400</v>
      </c>
      <c r="P24" s="85" t="n">
        <f aca="false">SUM('план на 2016'!$L25:P25)-SUM('членские взносы'!$M25:P25)</f>
        <v>8200</v>
      </c>
      <c r="Q24" s="85" t="n">
        <f aca="false">SUM('план на 2016'!$L25:Q25)-SUM('членские взносы'!$M25:Q25)</f>
        <v>9000</v>
      </c>
      <c r="R24" s="85" t="n">
        <f aca="false">SUM('план на 2016'!$L25:R25)-SUM('членские взносы'!$M25:R25)</f>
        <v>6800</v>
      </c>
      <c r="S24" s="85" t="n">
        <f aca="false">SUM('план на 2016'!$L25:S25)-SUM('членские взносы'!$M25:S25)</f>
        <v>7600</v>
      </c>
      <c r="T24" s="85" t="n">
        <f aca="false">SUM('план на 2016'!$L25:T25)-SUM('членские взносы'!$M25:T25)</f>
        <v>8400</v>
      </c>
      <c r="U24" s="85" t="n">
        <f aca="false">SUM('план на 2016'!$L25:U25)-SUM('членские взносы'!$M25:U25)</f>
        <v>6200</v>
      </c>
      <c r="V24" s="85" t="n">
        <f aca="false">SUM('план на 2016'!$L25:V25)-SUM('членские взносы'!$M25:V25)</f>
        <v>7000</v>
      </c>
      <c r="W24" s="85" t="n">
        <f aca="false">SUM('план на 2016'!$L25:W25)-SUM('членские взносы'!$M25:W25)</f>
        <v>4800</v>
      </c>
      <c r="X24" s="85" t="n">
        <f aca="false">SUM('план на 2016'!$L25:X25)-SUM('членские взносы'!$M25:X25)</f>
        <v>5600</v>
      </c>
      <c r="Y24" s="59" t="n">
        <f aca="false">X24</f>
        <v>5600</v>
      </c>
    </row>
    <row collapsed="false" customFormat="false" customHeight="false" hidden="false" ht="15" outlineLevel="0" r="25">
      <c r="A25" s="19" t="n">
        <f aca="false">VLOOKUP(B25,справочник!$B$2:$E$322,4,0)</f>
        <v>229</v>
      </c>
      <c r="B25" s="0" t="e">
        <f aca="false">CONCATENATE(C25;D25)</f>
        <v>#VALUE!</v>
      </c>
      <c r="C25" s="24" t="n">
        <v>238</v>
      </c>
      <c r="D25" s="29" t="s">
        <v>79</v>
      </c>
      <c r="E25" s="24" t="s">
        <v>395</v>
      </c>
      <c r="F25" s="30" t="n">
        <v>41373</v>
      </c>
      <c r="G25" s="30" t="n">
        <v>41395</v>
      </c>
      <c r="H25" s="31" t="n">
        <f aca="false">INT(($H$326-G25)/30)</f>
        <v>32</v>
      </c>
      <c r="I25" s="24" t="n">
        <f aca="false">H25*1000</f>
        <v>32000</v>
      </c>
      <c r="J25" s="31" t="n">
        <v>9000</v>
      </c>
      <c r="K25" s="31"/>
      <c r="L25" s="59" t="n">
        <f aca="false">I25-J25-K25</f>
        <v>23000</v>
      </c>
      <c r="M25" s="85" t="n">
        <f aca="false">SUM('план на 2016'!$L26:M26)-SUM('членские взносы'!$M26:M26)</f>
        <v>23800</v>
      </c>
      <c r="N25" s="85" t="n">
        <f aca="false">SUM('план на 2016'!$L26:N26)-SUM('членские взносы'!$M26:N26)</f>
        <v>24600</v>
      </c>
      <c r="O25" s="85" t="n">
        <f aca="false">SUM('план на 2016'!$L26:O26)-SUM('членские взносы'!$M26:O26)</f>
        <v>25400</v>
      </c>
      <c r="P25" s="85" t="n">
        <f aca="false">SUM('план на 2016'!$L26:P26)-SUM('членские взносы'!$M26:P26)</f>
        <v>26200</v>
      </c>
      <c r="Q25" s="85" t="n">
        <f aca="false">SUM('план на 2016'!$L26:Q26)-SUM('членские взносы'!$M26:Q26)</f>
        <v>27000</v>
      </c>
      <c r="R25" s="85" t="n">
        <f aca="false">SUM('план на 2016'!$L26:R26)-SUM('членские взносы'!$M26:R26)</f>
        <v>27800</v>
      </c>
      <c r="S25" s="85" t="n">
        <f aca="false">SUM('план на 2016'!$L26:S26)-SUM('членские взносы'!$M26:S26)</f>
        <v>28600</v>
      </c>
      <c r="T25" s="85" t="n">
        <f aca="false">SUM('план на 2016'!$L26:T26)-SUM('членские взносы'!$M26:T26)</f>
        <v>29400</v>
      </c>
      <c r="U25" s="85" t="n">
        <f aca="false">SUM('план на 2016'!$L26:U26)-SUM('членские взносы'!$M26:U26)</f>
        <v>30200</v>
      </c>
      <c r="V25" s="85" t="n">
        <f aca="false">SUM('план на 2016'!$L26:V26)-SUM('членские взносы'!$M26:V26)</f>
        <v>31000</v>
      </c>
      <c r="W25" s="85" t="n">
        <f aca="false">SUM('план на 2016'!$L26:W26)-SUM('членские взносы'!$M26:W26)</f>
        <v>31800</v>
      </c>
      <c r="X25" s="85" t="n">
        <f aca="false">SUM('план на 2016'!$L26:X26)-SUM('членские взносы'!$M26:X26)</f>
        <v>32600</v>
      </c>
      <c r="Y25" s="59" t="n">
        <f aca="false">X25</f>
        <v>32600</v>
      </c>
    </row>
    <row collapsed="false" customFormat="false" customHeight="false" hidden="false" ht="15" outlineLevel="0" r="26">
      <c r="A26" s="19" t="n">
        <f aca="false">VLOOKUP(B26,справочник!$B$2:$E$322,4,0)</f>
        <v>296</v>
      </c>
      <c r="B26" s="0" t="e">
        <f aca="false">CONCATENATE(C26;D26)</f>
        <v>#VALUE!</v>
      </c>
      <c r="C26" s="24" t="n">
        <v>311</v>
      </c>
      <c r="D26" s="29" t="s">
        <v>39</v>
      </c>
      <c r="E26" s="24" t="s">
        <v>396</v>
      </c>
      <c r="F26" s="30" t="n">
        <v>41008</v>
      </c>
      <c r="G26" s="30" t="n">
        <v>41000</v>
      </c>
      <c r="H26" s="31" t="n">
        <f aca="false">INT(($H$326-G26)/30)</f>
        <v>45</v>
      </c>
      <c r="I26" s="24" t="n">
        <f aca="false">H26*1000</f>
        <v>45000</v>
      </c>
      <c r="J26" s="31" t="n">
        <v>1000</v>
      </c>
      <c r="K26" s="31"/>
      <c r="L26" s="59" t="n">
        <f aca="false">I26-J26-K26</f>
        <v>44000</v>
      </c>
      <c r="M26" s="85" t="n">
        <f aca="false">SUM('план на 2016'!$L27:M27)-SUM('членские взносы'!$M27:M27)</f>
        <v>44800</v>
      </c>
      <c r="N26" s="85" t="n">
        <f aca="false">SUM('план на 2016'!$L27:N27)-SUM('членские взносы'!$M27:N27)</f>
        <v>45600</v>
      </c>
      <c r="O26" s="85" t="n">
        <f aca="false">SUM('план на 2016'!$L27:O27)-SUM('членские взносы'!$M27:O27)</f>
        <v>46400</v>
      </c>
      <c r="P26" s="85" t="n">
        <f aca="false">SUM('план на 2016'!$L27:P27)-SUM('членские взносы'!$M27:P27)</f>
        <v>47200</v>
      </c>
      <c r="Q26" s="85" t="n">
        <f aca="false">SUM('план на 2016'!$L27:Q27)-SUM('членские взносы'!$M27:Q27)</f>
        <v>48000</v>
      </c>
      <c r="R26" s="85" t="n">
        <f aca="false">SUM('план на 2016'!$L27:R27)-SUM('членские взносы'!$M27:R27)</f>
        <v>48800</v>
      </c>
      <c r="S26" s="85" t="n">
        <f aca="false">SUM('план на 2016'!$L27:S27)-SUM('членские взносы'!$M27:S27)</f>
        <v>49600</v>
      </c>
      <c r="T26" s="85" t="n">
        <f aca="false">SUM('план на 2016'!$L27:T27)-SUM('членские взносы'!$M27:T27)</f>
        <v>50400</v>
      </c>
      <c r="U26" s="85" t="n">
        <f aca="false">SUM('план на 2016'!$L27:U27)-SUM('членские взносы'!$M27:U27)</f>
        <v>51200</v>
      </c>
      <c r="V26" s="85" t="n">
        <f aca="false">SUM('план на 2016'!$L27:V27)-SUM('членские взносы'!$M27:V27)</f>
        <v>52000</v>
      </c>
      <c r="W26" s="85" t="n">
        <f aca="false">SUM('план на 2016'!$L27:W27)-SUM('членские взносы'!$M27:W27)</f>
        <v>52800</v>
      </c>
      <c r="X26" s="85" t="n">
        <f aca="false">SUM('план на 2016'!$L27:X27)-SUM('членские взносы'!$M27:X27)</f>
        <v>53600</v>
      </c>
      <c r="Y26" s="59" t="n">
        <f aca="false">X26</f>
        <v>53600</v>
      </c>
    </row>
    <row collapsed="false" customFormat="false" customHeight="false" hidden="false" ht="15" outlineLevel="0" r="27">
      <c r="A27" s="19" t="n">
        <f aca="false">VLOOKUP(B27,справочник!$B$2:$E$322,4,0)</f>
        <v>281</v>
      </c>
      <c r="B27" s="0" t="e">
        <f aca="false">CONCATENATE(C27;D27)</f>
        <v>#VALUE!</v>
      </c>
      <c r="C27" s="24" t="n">
        <v>293</v>
      </c>
      <c r="D27" s="29" t="s">
        <v>105</v>
      </c>
      <c r="E27" s="24" t="s">
        <v>397</v>
      </c>
      <c r="F27" s="30" t="n">
        <v>41766</v>
      </c>
      <c r="G27" s="30" t="n">
        <v>41791</v>
      </c>
      <c r="H27" s="31" t="n">
        <f aca="false">INT(($H$326-G27)/30)</f>
        <v>19</v>
      </c>
      <c r="I27" s="24" t="n">
        <f aca="false">H27*1000</f>
        <v>19000</v>
      </c>
      <c r="J27" s="31" t="n">
        <v>1000</v>
      </c>
      <c r="K27" s="31"/>
      <c r="L27" s="59" t="n">
        <f aca="false">I27-J27-K27</f>
        <v>18000</v>
      </c>
      <c r="M27" s="85" t="n">
        <f aca="false">SUM('план на 2016'!$L28:M28)-SUM('членские взносы'!$M28:M28)</f>
        <v>18800</v>
      </c>
      <c r="N27" s="85" t="n">
        <f aca="false">SUM('план на 2016'!$L28:N28)-SUM('членские взносы'!$M28:N28)</f>
        <v>19600</v>
      </c>
      <c r="O27" s="85" t="n">
        <f aca="false">SUM('план на 2016'!$L28:O28)-SUM('членские взносы'!$M28:O28)</f>
        <v>20400</v>
      </c>
      <c r="P27" s="85" t="n">
        <f aca="false">SUM('план на 2016'!$L28:P28)-SUM('членские взносы'!$M28:P28)</f>
        <v>21200</v>
      </c>
      <c r="Q27" s="85" t="n">
        <f aca="false">SUM('план на 2016'!$L28:Q28)-SUM('членские взносы'!$M28:Q28)</f>
        <v>22000</v>
      </c>
      <c r="R27" s="85" t="n">
        <f aca="false">SUM('план на 2016'!$L28:R28)-SUM('членские взносы'!$M28:R28)</f>
        <v>22800</v>
      </c>
      <c r="S27" s="85" t="n">
        <f aca="false">SUM('план на 2016'!$L28:S28)-SUM('членские взносы'!$M28:S28)</f>
        <v>23600</v>
      </c>
      <c r="T27" s="85" t="n">
        <f aca="false">SUM('план на 2016'!$L28:T28)-SUM('членские взносы'!$M28:T28)</f>
        <v>24400</v>
      </c>
      <c r="U27" s="85" t="n">
        <f aca="false">SUM('план на 2016'!$L28:U28)-SUM('членские взносы'!$M28:U28)</f>
        <v>15200</v>
      </c>
      <c r="V27" s="85" t="n">
        <f aca="false">SUM('план на 2016'!$L28:V28)-SUM('членские взносы'!$M28:V28)</f>
        <v>16000</v>
      </c>
      <c r="W27" s="85" t="n">
        <f aca="false">SUM('план на 2016'!$L28:W28)-SUM('членские взносы'!$M28:W28)</f>
        <v>16800</v>
      </c>
      <c r="X27" s="85" t="n">
        <f aca="false">SUM('план на 2016'!$L28:X28)-SUM('членские взносы'!$M28:X28)</f>
        <v>17600</v>
      </c>
      <c r="Y27" s="59" t="n">
        <f aca="false">X27</f>
        <v>17600</v>
      </c>
    </row>
    <row collapsed="false" customFormat="false" customHeight="false" hidden="false" ht="15" outlineLevel="0" r="28">
      <c r="A28" s="19" t="n">
        <f aca="false">VLOOKUP(B28,справочник!$B$2:$E$322,4,0)</f>
        <v>198</v>
      </c>
      <c r="B28" s="0" t="e">
        <f aca="false">CONCATENATE(C28;D28)</f>
        <v>#VALUE!</v>
      </c>
      <c r="C28" s="24" t="n">
        <v>206</v>
      </c>
      <c r="D28" s="29" t="s">
        <v>262</v>
      </c>
      <c r="E28" s="24" t="s">
        <v>398</v>
      </c>
      <c r="F28" s="30" t="n">
        <v>40816</v>
      </c>
      <c r="G28" s="30" t="n">
        <v>40787</v>
      </c>
      <c r="H28" s="31" t="n">
        <f aca="false">INT(($H$326-G28)/30)</f>
        <v>52</v>
      </c>
      <c r="I28" s="24" t="n">
        <f aca="false">H28*1000</f>
        <v>52000</v>
      </c>
      <c r="J28" s="31" t="n">
        <f aca="false">50000+1000</f>
        <v>51000</v>
      </c>
      <c r="K28" s="31" t="n">
        <v>1000</v>
      </c>
      <c r="L28" s="59" t="n">
        <f aca="false">I28-J28-K28</f>
        <v>0</v>
      </c>
      <c r="M28" s="85" t="n">
        <f aca="false">SUM('план на 2016'!$L29:M29)-SUM('членские взносы'!$M29:M29)</f>
        <v>800</v>
      </c>
      <c r="N28" s="85" t="n">
        <f aca="false">SUM('план на 2016'!$L29:N29)-SUM('членские взносы'!$M29:N29)</f>
        <v>1600</v>
      </c>
      <c r="O28" s="85" t="n">
        <f aca="false">SUM('план на 2016'!$L29:O29)-SUM('членские взносы'!$M29:O29)</f>
        <v>-800</v>
      </c>
      <c r="P28" s="85" t="n">
        <f aca="false">SUM('план на 2016'!$L29:P29)-SUM('членские взносы'!$M29:P29)</f>
        <v>0</v>
      </c>
      <c r="Q28" s="85" t="n">
        <f aca="false">SUM('план на 2016'!$L29:Q29)-SUM('членские взносы'!$M29:Q29)</f>
        <v>0</v>
      </c>
      <c r="R28" s="85" t="n">
        <f aca="false">SUM('план на 2016'!$L29:R29)-SUM('членские взносы'!$M29:R29)</f>
        <v>800</v>
      </c>
      <c r="S28" s="85" t="n">
        <f aca="false">SUM('план на 2016'!$L29:S29)-SUM('членские взносы'!$M29:S29)</f>
        <v>1600</v>
      </c>
      <c r="T28" s="85" t="n">
        <f aca="false">SUM('план на 2016'!$L29:T29)-SUM('членские взносы'!$M29:T29)</f>
        <v>-800</v>
      </c>
      <c r="U28" s="85" t="n">
        <f aca="false">SUM('план на 2016'!$L29:U29)-SUM('членские взносы'!$M29:U29)</f>
        <v>0</v>
      </c>
      <c r="V28" s="85" t="n">
        <f aca="false">SUM('план на 2016'!$L29:V29)-SUM('членские взносы'!$M29:V29)</f>
        <v>0</v>
      </c>
      <c r="W28" s="85" t="n">
        <f aca="false">SUM('план на 2016'!$L29:W29)-SUM('членские взносы'!$M29:W29)</f>
        <v>-800</v>
      </c>
      <c r="X28" s="85" t="n">
        <f aca="false">SUM('план на 2016'!$L29:X29)-SUM('членские взносы'!$M29:X29)</f>
        <v>0</v>
      </c>
      <c r="Y28" s="59" t="n">
        <f aca="false">X28</f>
        <v>0</v>
      </c>
    </row>
    <row collapsed="false" customFormat="false" customHeight="false" hidden="false" ht="25.5" outlineLevel="0" r="29">
      <c r="A29" s="19" t="n">
        <f aca="false">VLOOKUP(B29,справочник!$B$2:$E$322,4,0)</f>
        <v>52</v>
      </c>
      <c r="B29" s="0" t="e">
        <f aca="false">CONCATENATE(C29;D29)</f>
        <v>#VALUE!</v>
      </c>
      <c r="C29" s="24" t="n">
        <v>54</v>
      </c>
      <c r="D29" s="29" t="s">
        <v>247</v>
      </c>
      <c r="E29" s="24" t="s">
        <v>399</v>
      </c>
      <c r="F29" s="30" t="n">
        <v>41016</v>
      </c>
      <c r="G29" s="30" t="n">
        <v>41000</v>
      </c>
      <c r="H29" s="31" t="n">
        <f aca="false">INT(($H$326-G29)/30)</f>
        <v>45</v>
      </c>
      <c r="I29" s="24" t="n">
        <f aca="false">H29*1000</f>
        <v>45000</v>
      </c>
      <c r="J29" s="31" t="n">
        <v>40000</v>
      </c>
      <c r="K29" s="31" t="n">
        <v>5000</v>
      </c>
      <c r="L29" s="59" t="n">
        <v>5000</v>
      </c>
      <c r="M29" s="85" t="n">
        <f aca="false">SUM('план на 2016'!$L30:M30)-SUM('членские взносы'!$M30:M30)</f>
        <v>2800</v>
      </c>
      <c r="N29" s="85" t="n">
        <f aca="false">SUM('план на 2016'!$L30:N30)-SUM('членские взносы'!$M30:N30)</f>
        <v>1600</v>
      </c>
      <c r="O29" s="85" t="n">
        <f aca="false">SUM('план на 2016'!$L30:O30)-SUM('членские взносы'!$M30:O30)</f>
        <v>1600</v>
      </c>
      <c r="P29" s="85" t="n">
        <f aca="false">SUM('план на 2016'!$L30:P30)-SUM('членские взносы'!$M30:P30)</f>
        <v>2400</v>
      </c>
      <c r="Q29" s="85" t="n">
        <f aca="false">SUM('план на 2016'!$L30:Q30)-SUM('членские взносы'!$M30:Q30)</f>
        <v>1600</v>
      </c>
      <c r="R29" s="85" t="n">
        <f aca="false">SUM('план на 2016'!$L30:R30)-SUM('членские взносы'!$M30:R30)</f>
        <v>2400</v>
      </c>
      <c r="S29" s="85" t="n">
        <f aca="false">SUM('план на 2016'!$L30:S30)-SUM('членские взносы'!$M30:S30)</f>
        <v>3200</v>
      </c>
      <c r="T29" s="85" t="n">
        <f aca="false">SUM('план на 2016'!$L30:T30)-SUM('членские взносы'!$M30:T30)</f>
        <v>2400</v>
      </c>
      <c r="U29" s="85" t="n">
        <f aca="false">SUM('план на 2016'!$L30:U30)-SUM('членские взносы'!$M30:U30)</f>
        <v>3200</v>
      </c>
      <c r="V29" s="85" t="n">
        <f aca="false">SUM('план на 2016'!$L30:V30)-SUM('членские взносы'!$M30:V30)</f>
        <v>3200</v>
      </c>
      <c r="W29" s="85" t="n">
        <f aca="false">SUM('план на 2016'!$L30:W30)-SUM('членские взносы'!$M30:W30)</f>
        <v>3200</v>
      </c>
      <c r="X29" s="85" t="n">
        <f aca="false">SUM('план на 2016'!$L30:X30)-SUM('членские взносы'!$M30:X30)</f>
        <v>4000</v>
      </c>
      <c r="Y29" s="59" t="n">
        <f aca="false">X29</f>
        <v>4000</v>
      </c>
    </row>
    <row collapsed="false" customFormat="false" customHeight="false" hidden="false" ht="25.5" outlineLevel="0" r="30">
      <c r="A30" s="19" t="n">
        <f aca="false">VLOOKUP(B30,справочник!$B$2:$E$322,4,0)</f>
        <v>51</v>
      </c>
      <c r="B30" s="0" t="e">
        <f aca="false">CONCATENATE(C30;D30)</f>
        <v>#VALUE!</v>
      </c>
      <c r="C30" s="24" t="n">
        <v>53</v>
      </c>
      <c r="D30" s="29" t="s">
        <v>248</v>
      </c>
      <c r="E30" s="24" t="s">
        <v>400</v>
      </c>
      <c r="F30" s="30" t="n">
        <v>41016</v>
      </c>
      <c r="G30" s="30" t="n">
        <v>41000</v>
      </c>
      <c r="H30" s="31" t="n">
        <f aca="false">INT(($H$326-G30)/30)</f>
        <v>45</v>
      </c>
      <c r="I30" s="24" t="n">
        <f aca="false">H30*1000</f>
        <v>45000</v>
      </c>
      <c r="J30" s="31" t="n">
        <v>28000</v>
      </c>
      <c r="K30" s="31" t="n">
        <v>7000</v>
      </c>
      <c r="L30" s="59" t="n">
        <v>5000</v>
      </c>
      <c r="M30" s="85" t="n">
        <f aca="false">SUM('план на 2016'!$L31:M31)-SUM('членские взносы'!$M31:M31)</f>
        <v>2800</v>
      </c>
      <c r="N30" s="85" t="n">
        <f aca="false">SUM('план на 2016'!$L31:N31)-SUM('членские взносы'!$M31:N31)</f>
        <v>1600</v>
      </c>
      <c r="O30" s="85" t="n">
        <f aca="false">SUM('план на 2016'!$L31:O31)-SUM('членские взносы'!$M31:O31)</f>
        <v>1600</v>
      </c>
      <c r="P30" s="85" t="n">
        <f aca="false">SUM('план на 2016'!$L31:P31)-SUM('членские взносы'!$M31:P31)</f>
        <v>2400</v>
      </c>
      <c r="Q30" s="85" t="n">
        <f aca="false">SUM('план на 2016'!$L31:Q31)-SUM('членские взносы'!$M31:Q31)</f>
        <v>1600</v>
      </c>
      <c r="R30" s="85" t="n">
        <f aca="false">SUM('план на 2016'!$L31:R31)-SUM('членские взносы'!$M31:R31)</f>
        <v>2400</v>
      </c>
      <c r="S30" s="85" t="n">
        <f aca="false">SUM('план на 2016'!$L31:S31)-SUM('членские взносы'!$M31:S31)</f>
        <v>3200</v>
      </c>
      <c r="T30" s="85" t="n">
        <f aca="false">SUM('план на 2016'!$L31:T31)-SUM('членские взносы'!$M31:T31)</f>
        <v>2400</v>
      </c>
      <c r="U30" s="85" t="n">
        <f aca="false">SUM('план на 2016'!$L31:U31)-SUM('членские взносы'!$M31:U31)</f>
        <v>2400</v>
      </c>
      <c r="V30" s="85" t="n">
        <f aca="false">SUM('план на 2016'!$L31:V31)-SUM('членские взносы'!$M31:V31)</f>
        <v>3200</v>
      </c>
      <c r="W30" s="85" t="n">
        <f aca="false">SUM('план на 2016'!$L31:W31)-SUM('членские взносы'!$M31:W31)</f>
        <v>3200</v>
      </c>
      <c r="X30" s="85" t="n">
        <f aca="false">SUM('план на 2016'!$L31:X31)-SUM('членские взносы'!$M31:X31)</f>
        <v>4000</v>
      </c>
      <c r="Y30" s="59" t="n">
        <f aca="false">X30</f>
        <v>4000</v>
      </c>
    </row>
    <row collapsed="false" customFormat="false" customHeight="false" hidden="false" ht="15" outlineLevel="0" r="31">
      <c r="A31" s="19" t="n">
        <f aca="false">VLOOKUP(B31,справочник!$B$2:$E$322,4,0)</f>
        <v>136</v>
      </c>
      <c r="B31" s="0" t="e">
        <f aca="false">CONCATENATE(C31;D31)</f>
        <v>#VALUE!</v>
      </c>
      <c r="C31" s="24" t="n">
        <v>144</v>
      </c>
      <c r="D31" s="29" t="s">
        <v>152</v>
      </c>
      <c r="E31" s="24" t="s">
        <v>401</v>
      </c>
      <c r="F31" s="30" t="n">
        <v>41204</v>
      </c>
      <c r="G31" s="30" t="n">
        <v>41214</v>
      </c>
      <c r="H31" s="31" t="n">
        <f aca="false">INT(($H$326-G31)/30)</f>
        <v>38</v>
      </c>
      <c r="I31" s="24" t="n">
        <f aca="false">H31*1000</f>
        <v>38000</v>
      </c>
      <c r="J31" s="31" t="n">
        <v>28000</v>
      </c>
      <c r="K31" s="31"/>
      <c r="L31" s="59" t="n">
        <f aca="false">I31-J31-K31</f>
        <v>10000</v>
      </c>
      <c r="M31" s="85" t="n">
        <f aca="false">SUM('план на 2016'!$L32:M32)-SUM('членские взносы'!$M32:M32)</f>
        <v>10800</v>
      </c>
      <c r="N31" s="85" t="n">
        <f aca="false">SUM('план на 2016'!$L32:N32)-SUM('членские взносы'!$M32:N32)</f>
        <v>11600</v>
      </c>
      <c r="O31" s="85" t="n">
        <f aca="false">SUM('план на 2016'!$L32:O32)-SUM('членские взносы'!$M32:O32)</f>
        <v>12400</v>
      </c>
      <c r="P31" s="85" t="n">
        <f aca="false">SUM('план на 2016'!$L32:P32)-SUM('членские взносы'!$M32:P32)</f>
        <v>13200</v>
      </c>
      <c r="Q31" s="85" t="n">
        <f aca="false">SUM('план на 2016'!$L32:Q32)-SUM('членские взносы'!$M32:Q32)</f>
        <v>14000</v>
      </c>
      <c r="R31" s="85" t="n">
        <f aca="false">SUM('план на 2016'!$L32:R32)-SUM('членские взносы'!$M32:R32)</f>
        <v>14800</v>
      </c>
      <c r="S31" s="85" t="n">
        <f aca="false">SUM('план на 2016'!$L32:S32)-SUM('членские взносы'!$M32:S32)</f>
        <v>9600</v>
      </c>
      <c r="T31" s="85" t="n">
        <f aca="false">SUM('план на 2016'!$L32:T32)-SUM('членские взносы'!$M32:T32)</f>
        <v>5600</v>
      </c>
      <c r="U31" s="85" t="n">
        <f aca="false">SUM('план на 2016'!$L32:U32)-SUM('членские взносы'!$M32:U32)</f>
        <v>6400</v>
      </c>
      <c r="V31" s="85" t="n">
        <f aca="false">SUM('план на 2016'!$L32:V32)-SUM('членские взносы'!$M32:V32)</f>
        <v>7200</v>
      </c>
      <c r="W31" s="85" t="n">
        <f aca="false">SUM('план на 2016'!$L32:W32)-SUM('членские взносы'!$M32:W32)</f>
        <v>8000</v>
      </c>
      <c r="X31" s="85" t="n">
        <f aca="false">SUM('план на 2016'!$L32:X32)-SUM('членские взносы'!$M32:X32)</f>
        <v>4000</v>
      </c>
      <c r="Y31" s="59" t="n">
        <f aca="false">X31</f>
        <v>4000</v>
      </c>
    </row>
    <row collapsed="false" customFormat="false" customHeight="false" hidden="false" ht="15" outlineLevel="0" r="32">
      <c r="A32" s="19" t="n">
        <f aca="false">VLOOKUP(B32,справочник!$B$2:$E$322,4,0)</f>
        <v>11</v>
      </c>
      <c r="B32" s="0" t="e">
        <f aca="false">CONCATENATE(C32;D32)</f>
        <v>#VALUE!</v>
      </c>
      <c r="C32" s="24" t="n">
        <v>11</v>
      </c>
      <c r="D32" s="29" t="s">
        <v>142</v>
      </c>
      <c r="E32" s="24" t="s">
        <v>402</v>
      </c>
      <c r="F32" s="30" t="n">
        <v>41204</v>
      </c>
      <c r="G32" s="30" t="n">
        <v>41214</v>
      </c>
      <c r="H32" s="31" t="n">
        <f aca="false">INT(($H$326-G32)/30)</f>
        <v>38</v>
      </c>
      <c r="I32" s="24" t="n">
        <f aca="false">H32*1000</f>
        <v>38000</v>
      </c>
      <c r="J32" s="31" t="n">
        <v>26000</v>
      </c>
      <c r="K32" s="31"/>
      <c r="L32" s="59" t="n">
        <f aca="false">I32-J32-K32</f>
        <v>12000</v>
      </c>
      <c r="M32" s="85" t="n">
        <f aca="false">SUM('план на 2016'!$L33:M33)-SUM('членские взносы'!$M33:M33)</f>
        <v>12800</v>
      </c>
      <c r="N32" s="85" t="n">
        <f aca="false">SUM('план на 2016'!$L33:N33)-SUM('членские взносы'!$M33:N33)</f>
        <v>13600</v>
      </c>
      <c r="O32" s="85" t="n">
        <f aca="false">SUM('план на 2016'!$L33:O33)-SUM('членские взносы'!$M33:O33)</f>
        <v>14400</v>
      </c>
      <c r="P32" s="85" t="n">
        <f aca="false">SUM('план на 2016'!$L33:P33)-SUM('членские взносы'!$M33:P33)</f>
        <v>15200</v>
      </c>
      <c r="Q32" s="85" t="n">
        <f aca="false">SUM('план на 2016'!$L33:Q33)-SUM('членские взносы'!$M33:Q33)</f>
        <v>16000</v>
      </c>
      <c r="R32" s="85" t="n">
        <f aca="false">SUM('план на 2016'!$L33:R33)-SUM('членские взносы'!$M33:R33)</f>
        <v>16800</v>
      </c>
      <c r="S32" s="85" t="n">
        <f aca="false">SUM('план на 2016'!$L33:S33)-SUM('членские взносы'!$M33:S33)</f>
        <v>17600</v>
      </c>
      <c r="T32" s="85" t="n">
        <f aca="false">SUM('план на 2016'!$L33:T33)-SUM('членские взносы'!$M33:T33)</f>
        <v>18400</v>
      </c>
      <c r="U32" s="85" t="n">
        <f aca="false">SUM('план на 2016'!$L33:U33)-SUM('членские взносы'!$M33:U33)</f>
        <v>19200</v>
      </c>
      <c r="V32" s="85" t="n">
        <f aca="false">SUM('план на 2016'!$L33:V33)-SUM('членские взносы'!$M33:V33)</f>
        <v>20000</v>
      </c>
      <c r="W32" s="85" t="n">
        <f aca="false">SUM('план на 2016'!$L33:W33)-SUM('членские взносы'!$M33:W33)</f>
        <v>20800</v>
      </c>
      <c r="X32" s="85" t="n">
        <f aca="false">SUM('план на 2016'!$L33:X33)-SUM('членские взносы'!$M33:X33)</f>
        <v>21600</v>
      </c>
      <c r="Y32" s="59" t="n">
        <f aca="false">X32</f>
        <v>21600</v>
      </c>
    </row>
    <row collapsed="false" customFormat="false" customHeight="false" hidden="false" ht="15" outlineLevel="0" r="33">
      <c r="A33" s="19" t="n">
        <f aca="false">VLOOKUP(B33,справочник!$B$2:$E$322,4,0)</f>
        <v>114</v>
      </c>
      <c r="B33" s="0" t="e">
        <f aca="false">CONCATENATE(C33;D33)</f>
        <v>#VALUE!</v>
      </c>
      <c r="C33" s="24" t="n">
        <v>119</v>
      </c>
      <c r="D33" s="29" t="s">
        <v>48</v>
      </c>
      <c r="E33" s="24" t="s">
        <v>403</v>
      </c>
      <c r="F33" s="30" t="n">
        <v>41262</v>
      </c>
      <c r="G33" s="30" t="n">
        <v>41275</v>
      </c>
      <c r="H33" s="31" t="n">
        <f aca="false">INT(($H$326-G33)/30)</f>
        <v>36</v>
      </c>
      <c r="I33" s="24" t="n">
        <f aca="false">H33*1000</f>
        <v>36000</v>
      </c>
      <c r="J33" s="31" t="n">
        <v>1000</v>
      </c>
      <c r="K33" s="31"/>
      <c r="L33" s="59" t="n">
        <f aca="false">I33-J33-K33</f>
        <v>35000</v>
      </c>
      <c r="M33" s="85" t="n">
        <f aca="false">SUM('план на 2016'!$L34:M34)-SUM('членские взносы'!$M34:M34)</f>
        <v>35800</v>
      </c>
      <c r="N33" s="85" t="n">
        <f aca="false">SUM('план на 2016'!$L34:N34)-SUM('членские взносы'!$M34:N34)</f>
        <v>36600</v>
      </c>
      <c r="O33" s="85" t="n">
        <f aca="false">SUM('план на 2016'!$L34:O34)-SUM('членские взносы'!$M34:O34)</f>
        <v>37400</v>
      </c>
      <c r="P33" s="85" t="n">
        <f aca="false">SUM('план на 2016'!$L34:P34)-SUM('членские взносы'!$M34:P34)</f>
        <v>38200</v>
      </c>
      <c r="Q33" s="85" t="n">
        <f aca="false">SUM('план на 2016'!$L34:Q34)-SUM('членские взносы'!$M34:Q34)</f>
        <v>39000</v>
      </c>
      <c r="R33" s="85" t="n">
        <f aca="false">SUM('план на 2016'!$L34:R34)-SUM('членские взносы'!$M34:R34)</f>
        <v>39800</v>
      </c>
      <c r="S33" s="85" t="n">
        <f aca="false">SUM('план на 2016'!$L34:S34)-SUM('членские взносы'!$M34:S34)</f>
        <v>40600</v>
      </c>
      <c r="T33" s="85" t="n">
        <f aca="false">SUM('план на 2016'!$L34:T34)-SUM('членские взносы'!$M34:T34)</f>
        <v>41400</v>
      </c>
      <c r="U33" s="85" t="n">
        <f aca="false">SUM('план на 2016'!$L34:U34)-SUM('членские взносы'!$M34:U34)</f>
        <v>42200</v>
      </c>
      <c r="V33" s="85" t="n">
        <f aca="false">SUM('план на 2016'!$L34:V34)-SUM('членские взносы'!$M34:V34)</f>
        <v>43000</v>
      </c>
      <c r="W33" s="85" t="n">
        <f aca="false">SUM('план на 2016'!$L34:W34)-SUM('членские взносы'!$M34:W34)</f>
        <v>43800</v>
      </c>
      <c r="X33" s="85" t="n">
        <f aca="false">SUM('план на 2016'!$L34:X34)-SUM('членские взносы'!$M34:X34)</f>
        <v>44600</v>
      </c>
      <c r="Y33" s="59" t="n">
        <f aca="false">X33</f>
        <v>44600</v>
      </c>
    </row>
    <row collapsed="false" customFormat="false" customHeight="false" hidden="false" ht="15" outlineLevel="0" r="34">
      <c r="A34" s="19" t="n">
        <f aca="false">VLOOKUP(B34,справочник!$B$2:$E$322,4,0)</f>
        <v>151</v>
      </c>
      <c r="B34" s="0" t="e">
        <f aca="false">CONCATENATE(C34;D34)</f>
        <v>#VALUE!</v>
      </c>
      <c r="C34" s="24" t="n">
        <v>159</v>
      </c>
      <c r="D34" s="29" t="s">
        <v>78</v>
      </c>
      <c r="E34" s="24" t="s">
        <v>404</v>
      </c>
      <c r="F34" s="30" t="n">
        <v>41121</v>
      </c>
      <c r="G34" s="30" t="n">
        <v>41122</v>
      </c>
      <c r="H34" s="31" t="n">
        <f aca="false">INT(($H$326-G34)/30)</f>
        <v>41</v>
      </c>
      <c r="I34" s="24" t="n">
        <f aca="false">H34*1000</f>
        <v>41000</v>
      </c>
      <c r="J34" s="31" t="n">
        <v>17000</v>
      </c>
      <c r="K34" s="31"/>
      <c r="L34" s="59" t="n">
        <f aca="false">I34-J34-K34</f>
        <v>24000</v>
      </c>
      <c r="M34" s="85" t="n">
        <f aca="false">SUM('план на 2016'!$L35:M35)-SUM('членские взносы'!$M35:M35)</f>
        <v>24800</v>
      </c>
      <c r="N34" s="85" t="n">
        <f aca="false">SUM('план на 2016'!$L35:N35)-SUM('членские взносы'!$M35:N35)</f>
        <v>25600</v>
      </c>
      <c r="O34" s="85" t="n">
        <f aca="false">SUM('план на 2016'!$L35:O35)-SUM('членские взносы'!$M35:O35)</f>
        <v>26400</v>
      </c>
      <c r="P34" s="85" t="n">
        <f aca="false">SUM('план на 2016'!$L35:P35)-SUM('членские взносы'!$M35:P35)</f>
        <v>27200</v>
      </c>
      <c r="Q34" s="85" t="n">
        <f aca="false">SUM('план на 2016'!$L35:Q35)-SUM('членские взносы'!$M35:Q35)</f>
        <v>28000</v>
      </c>
      <c r="R34" s="85" t="n">
        <f aca="false">SUM('план на 2016'!$L35:R35)-SUM('членские взносы'!$M35:R35)</f>
        <v>28800</v>
      </c>
      <c r="S34" s="85" t="n">
        <f aca="false">SUM('план на 2016'!$L35:S35)-SUM('членские взносы'!$M35:S35)</f>
        <v>29600</v>
      </c>
      <c r="T34" s="85" t="n">
        <f aca="false">SUM('план на 2016'!$L35:T35)-SUM('членские взносы'!$M35:T35)</f>
        <v>30400</v>
      </c>
      <c r="U34" s="85" t="n">
        <f aca="false">SUM('план на 2016'!$L35:U35)-SUM('членские взносы'!$M35:U35)</f>
        <v>31200</v>
      </c>
      <c r="V34" s="85" t="n">
        <f aca="false">SUM('план на 2016'!$L35:V35)-SUM('членские взносы'!$M35:V35)</f>
        <v>32000</v>
      </c>
      <c r="W34" s="85" t="n">
        <f aca="false">SUM('план на 2016'!$L35:W35)-SUM('членские взносы'!$M35:W35)</f>
        <v>32800</v>
      </c>
      <c r="X34" s="85" t="n">
        <f aca="false">SUM('план на 2016'!$L35:X35)-SUM('членские взносы'!$M35:X35)</f>
        <v>33600</v>
      </c>
      <c r="Y34" s="59" t="n">
        <f aca="false">X34</f>
        <v>33600</v>
      </c>
    </row>
    <row collapsed="false" customFormat="false" customHeight="false" hidden="false" ht="15" outlineLevel="0" r="35">
      <c r="A35" s="19" t="n">
        <f aca="false">VLOOKUP(B35,справочник!$B$2:$E$322,4,0)</f>
        <v>142</v>
      </c>
      <c r="B35" s="0" t="e">
        <f aca="false">CONCATENATE(C35;D35)</f>
        <v>#VALUE!</v>
      </c>
      <c r="C35" s="24" t="n">
        <v>150</v>
      </c>
      <c r="D35" s="29" t="s">
        <v>216</v>
      </c>
      <c r="E35" s="24" t="s">
        <v>405</v>
      </c>
      <c r="F35" s="30" t="n">
        <v>40771</v>
      </c>
      <c r="G35" s="30" t="n">
        <v>40787</v>
      </c>
      <c r="H35" s="31" t="n">
        <f aca="false">INT(($H$326-G35)/30)</f>
        <v>52</v>
      </c>
      <c r="I35" s="24" t="n">
        <f aca="false">H35*1000</f>
        <v>52000</v>
      </c>
      <c r="J35" s="31" t="n">
        <f aca="false">32000+1000</f>
        <v>33000</v>
      </c>
      <c r="K35" s="31" t="n">
        <v>19000</v>
      </c>
      <c r="L35" s="59" t="n">
        <f aca="false">I35-J35-K35</f>
        <v>0</v>
      </c>
      <c r="M35" s="85" t="n">
        <f aca="false">SUM('план на 2016'!$L36:M36)-SUM('членские взносы'!$M36:M36)</f>
        <v>800</v>
      </c>
      <c r="N35" s="85" t="n">
        <f aca="false">SUM('план на 2016'!$L36:N36)-SUM('членские взносы'!$M36:N36)</f>
        <v>1600</v>
      </c>
      <c r="O35" s="85" t="n">
        <f aca="false">SUM('план на 2016'!$L36:O36)-SUM('членские взносы'!$M36:O36)</f>
        <v>2400</v>
      </c>
      <c r="P35" s="85" t="n">
        <f aca="false">SUM('план на 2016'!$L36:P36)-SUM('членские взносы'!$M36:P36)</f>
        <v>3200</v>
      </c>
      <c r="Q35" s="85" t="n">
        <f aca="false">SUM('план на 2016'!$L36:Q36)-SUM('членские взносы'!$M36:Q36)</f>
        <v>4000</v>
      </c>
      <c r="R35" s="85" t="n">
        <f aca="false">SUM('план на 2016'!$L36:R36)-SUM('членские взносы'!$M36:R36)</f>
        <v>4800</v>
      </c>
      <c r="S35" s="85" t="n">
        <f aca="false">SUM('план на 2016'!$L36:S36)-SUM('членские взносы'!$M36:S36)</f>
        <v>-800</v>
      </c>
      <c r="T35" s="85" t="n">
        <f aca="false">SUM('план на 2016'!$L36:T36)-SUM('членские взносы'!$M36:T36)</f>
        <v>0</v>
      </c>
      <c r="U35" s="85" t="n">
        <f aca="false">SUM('план на 2016'!$L36:U36)-SUM('членские взносы'!$M36:U36)</f>
        <v>800</v>
      </c>
      <c r="V35" s="85" t="n">
        <f aca="false">SUM('план на 2016'!$L36:V36)-SUM('членские взносы'!$M36:V36)</f>
        <v>1600</v>
      </c>
      <c r="W35" s="85" t="n">
        <f aca="false">SUM('план на 2016'!$L36:W36)-SUM('членские взносы'!$M36:W36)</f>
        <v>2400</v>
      </c>
      <c r="X35" s="85" t="n">
        <f aca="false">SUM('план на 2016'!$L36:X36)-SUM('членские взносы'!$M36:X36)</f>
        <v>3200</v>
      </c>
      <c r="Y35" s="59" t="n">
        <f aca="false">X35</f>
        <v>3200</v>
      </c>
    </row>
    <row collapsed="false" customFormat="false" customHeight="false" hidden="false" ht="15" outlineLevel="0" r="36">
      <c r="A36" s="19" t="n">
        <f aca="false">VLOOKUP(B36,справочник!$B$2:$E$322,4,0)</f>
        <v>245</v>
      </c>
      <c r="B36" s="0" t="e">
        <f aca="false">CONCATENATE(C36;D36)</f>
        <v>#VALUE!</v>
      </c>
      <c r="C36" s="24" t="n">
        <v>256</v>
      </c>
      <c r="D36" s="29" t="s">
        <v>259</v>
      </c>
      <c r="E36" s="24" t="s">
        <v>406</v>
      </c>
      <c r="F36" s="30" t="n">
        <v>41930</v>
      </c>
      <c r="G36" s="30" t="n">
        <v>41944</v>
      </c>
      <c r="H36" s="31" t="n">
        <f aca="false">INT(($H$326-G36)/30)</f>
        <v>14</v>
      </c>
      <c r="I36" s="24" t="n">
        <f aca="false">H36*1000</f>
        <v>14000</v>
      </c>
      <c r="J36" s="31" t="n">
        <v>9000</v>
      </c>
      <c r="K36" s="31"/>
      <c r="L36" s="59" t="n">
        <f aca="false">I36-J36-K36</f>
        <v>5000</v>
      </c>
      <c r="M36" s="85" t="n">
        <f aca="false">SUM('план на 2016'!$L37:M37)-SUM('членские взносы'!$M37:M37)</f>
        <v>5800</v>
      </c>
      <c r="N36" s="85" t="n">
        <f aca="false">SUM('план на 2016'!$L37:N37)-SUM('членские взносы'!$M37:N37)</f>
        <v>6600</v>
      </c>
      <c r="O36" s="85" t="n">
        <f aca="false">SUM('план на 2016'!$L37:O37)-SUM('членские взносы'!$M37:O37)</f>
        <v>7400</v>
      </c>
      <c r="P36" s="85" t="n">
        <f aca="false">SUM('план на 2016'!$L37:P37)-SUM('членские взносы'!$M37:P37)</f>
        <v>8200</v>
      </c>
      <c r="Q36" s="85" t="n">
        <f aca="false">SUM('план на 2016'!$L37:Q37)-SUM('членские взносы'!$M37:Q37)</f>
        <v>9000</v>
      </c>
      <c r="R36" s="85" t="n">
        <f aca="false">SUM('план на 2016'!$L37:R37)-SUM('членские взносы'!$M37:R37)</f>
        <v>800</v>
      </c>
      <c r="S36" s="85" t="n">
        <f aca="false">SUM('план на 2016'!$L37:S37)-SUM('членские взносы'!$M37:S37)</f>
        <v>1600</v>
      </c>
      <c r="T36" s="85" t="n">
        <f aca="false">SUM('план на 2016'!$L37:T37)-SUM('членские взносы'!$M37:T37)</f>
        <v>2400</v>
      </c>
      <c r="U36" s="85" t="n">
        <f aca="false">SUM('план на 2016'!$L37:U37)-SUM('членские взносы'!$M37:U37)</f>
        <v>3200</v>
      </c>
      <c r="V36" s="85" t="n">
        <f aca="false">SUM('план на 2016'!$L37:V37)-SUM('членские взносы'!$M37:V37)</f>
        <v>4000</v>
      </c>
      <c r="W36" s="85" t="n">
        <f aca="false">SUM('план на 2016'!$L37:W37)-SUM('членские взносы'!$M37:W37)</f>
        <v>4800</v>
      </c>
      <c r="X36" s="85" t="n">
        <f aca="false">SUM('план на 2016'!$L37:X37)-SUM('членские взносы'!$M37:X37)</f>
        <v>5600</v>
      </c>
      <c r="Y36" s="59" t="n">
        <f aca="false">X36</f>
        <v>5600</v>
      </c>
    </row>
    <row collapsed="false" customFormat="false" customHeight="false" hidden="false" ht="15" outlineLevel="0" r="37">
      <c r="A37" s="19" t="n">
        <f aca="false">VLOOKUP(B37,справочник!$B$2:$E$322,4,0)</f>
        <v>188</v>
      </c>
      <c r="B37" s="0" t="e">
        <f aca="false">CONCATENATE(C37;D37)</f>
        <v>#VALUE!</v>
      </c>
      <c r="C37" s="24" t="n">
        <v>196</v>
      </c>
      <c r="D37" s="29" t="s">
        <v>53</v>
      </c>
      <c r="E37" s="24" t="s">
        <v>407</v>
      </c>
      <c r="F37" s="34" t="n">
        <v>41674</v>
      </c>
      <c r="G37" s="34" t="n">
        <v>41699</v>
      </c>
      <c r="H37" s="35" t="n">
        <f aca="false">INT(($H$326-G37)/30)</f>
        <v>22</v>
      </c>
      <c r="I37" s="36" t="n">
        <f aca="false">H37*1000</f>
        <v>22000</v>
      </c>
      <c r="J37" s="35" t="n">
        <v>10000</v>
      </c>
      <c r="K37" s="35"/>
      <c r="L37" s="66" t="n">
        <f aca="false">I37-J37-K37</f>
        <v>12000</v>
      </c>
      <c r="M37" s="85" t="n">
        <f aca="false">SUM('план на 2016'!$L38:M38)-SUM('членские взносы'!$M38:M38)</f>
        <v>12800</v>
      </c>
      <c r="N37" s="85" t="n">
        <f aca="false">SUM('план на 2016'!$L38:N38)-SUM('членские взносы'!$M38:N38)</f>
        <v>13600</v>
      </c>
      <c r="O37" s="85" t="n">
        <f aca="false">SUM('план на 2016'!$L38:O38)-SUM('членские взносы'!$M38:O38)</f>
        <v>14400</v>
      </c>
      <c r="P37" s="85" t="n">
        <f aca="false">SUM('план на 2016'!$L38:P38)-SUM('членские взносы'!$M38:P38)</f>
        <v>15200</v>
      </c>
      <c r="Q37" s="85" t="n">
        <f aca="false">SUM('план на 2016'!$L38:Q38)-SUM('членские взносы'!$M38:Q38)</f>
        <v>16000</v>
      </c>
      <c r="R37" s="85" t="n">
        <f aca="false">SUM('план на 2016'!$L38:R38)-SUM('членские взносы'!$M38:R38)</f>
        <v>16800</v>
      </c>
      <c r="S37" s="85" t="n">
        <f aca="false">SUM('план на 2016'!$L38:S38)-SUM('членские взносы'!$M38:S38)</f>
        <v>17600</v>
      </c>
      <c r="T37" s="85" t="n">
        <f aca="false">SUM('план на 2016'!$L38:T38)-SUM('членские взносы'!$M38:T38)</f>
        <v>18400</v>
      </c>
      <c r="U37" s="85" t="n">
        <f aca="false">SUM('план на 2016'!$L38:U38)-SUM('членские взносы'!$M38:U38)</f>
        <v>19200</v>
      </c>
      <c r="V37" s="85" t="n">
        <f aca="false">SUM('план на 2016'!$L38:V38)-SUM('членские взносы'!$M38:V38)</f>
        <v>20000</v>
      </c>
      <c r="W37" s="85" t="n">
        <f aca="false">SUM('план на 2016'!$L38:W38)-SUM('членские взносы'!$M38:W38)</f>
        <v>20800</v>
      </c>
      <c r="X37" s="85" t="n">
        <f aca="false">SUM('план на 2016'!$L38:X38)-SUM('членские взносы'!$M38:X38)</f>
        <v>21600</v>
      </c>
      <c r="Y37" s="59" t="n">
        <f aca="false">X37</f>
        <v>21600</v>
      </c>
    </row>
    <row collapsed="false" customFormat="false" customHeight="false" hidden="false" ht="15" outlineLevel="0" r="38">
      <c r="A38" s="19" t="n">
        <f aca="false">VLOOKUP(B38,справочник!$B$2:$E$322,4,0)</f>
        <v>188</v>
      </c>
      <c r="B38" s="0" t="e">
        <f aca="false">CONCATENATE(C38;D38)</f>
        <v>#VALUE!</v>
      </c>
      <c r="C38" s="24" t="n">
        <v>197</v>
      </c>
      <c r="D38" s="29" t="s">
        <v>53</v>
      </c>
      <c r="E38" s="24"/>
      <c r="F38" s="34" t="n">
        <v>41674</v>
      </c>
      <c r="G38" s="34" t="n">
        <v>41699</v>
      </c>
      <c r="H38" s="35" t="n">
        <f aca="false">INT(($H$326-G38)/30)</f>
        <v>22</v>
      </c>
      <c r="I38" s="36" t="n">
        <f aca="false">H38*1000</f>
        <v>22000</v>
      </c>
      <c r="J38" s="35"/>
      <c r="K38" s="35"/>
      <c r="L38" s="66" t="n">
        <f aca="false">I38-J38-K38</f>
        <v>22000</v>
      </c>
      <c r="M38" s="85" t="n">
        <f aca="false">SUM('план на 2016'!$L39:M39)-SUM('членские взносы'!$M39:M39)</f>
        <v>22000</v>
      </c>
      <c r="N38" s="85" t="n">
        <f aca="false">SUM('план на 2016'!$L39:N39)-SUM('членские взносы'!$M39:N39)</f>
        <v>22000</v>
      </c>
      <c r="O38" s="85" t="n">
        <f aca="false">SUM('план на 2016'!$L39:O39)-SUM('членские взносы'!$M39:O39)</f>
        <v>22000</v>
      </c>
      <c r="P38" s="85" t="n">
        <f aca="false">SUM('план на 2016'!$L39:P39)-SUM('членские взносы'!$M39:P39)</f>
        <v>22000</v>
      </c>
      <c r="Q38" s="85" t="n">
        <f aca="false">SUM('план на 2016'!$L39:Q39)-SUM('членские взносы'!$M39:Q39)</f>
        <v>22000</v>
      </c>
      <c r="R38" s="85" t="n">
        <f aca="false">SUM('план на 2016'!$L39:R39)-SUM('членские взносы'!$M39:R39)</f>
        <v>22000</v>
      </c>
      <c r="S38" s="85" t="n">
        <f aca="false">SUM('план на 2016'!$L39:S39)-SUM('членские взносы'!$M39:S39)</f>
        <v>22000</v>
      </c>
      <c r="T38" s="85" t="n">
        <f aca="false">SUM('план на 2016'!$L39:T39)-SUM('членские взносы'!$M39:T39)</f>
        <v>22000</v>
      </c>
      <c r="U38" s="85" t="n">
        <f aca="false">SUM('план на 2016'!$L39:U39)-SUM('членские взносы'!$M39:U39)</f>
        <v>22000</v>
      </c>
      <c r="V38" s="85" t="n">
        <f aca="false">SUM('план на 2016'!$L39:V39)-SUM('членские взносы'!$M39:V39)</f>
        <v>22000</v>
      </c>
      <c r="W38" s="85" t="n">
        <f aca="false">SUM('план на 2016'!$L39:W39)-SUM('членские взносы'!$M39:W39)</f>
        <v>22000</v>
      </c>
      <c r="X38" s="85" t="n">
        <f aca="false">SUM('план на 2016'!$L39:X39)-SUM('членские взносы'!$M39:X39)</f>
        <v>22000</v>
      </c>
      <c r="Y38" s="59" t="n">
        <f aca="false">X38</f>
        <v>22000</v>
      </c>
    </row>
    <row collapsed="false" customFormat="false" customHeight="false" hidden="false" ht="15" outlineLevel="0" r="39">
      <c r="A39" s="19" t="n">
        <f aca="false">VLOOKUP(B39,справочник!$B$2:$E$322,4,0)</f>
        <v>219</v>
      </c>
      <c r="B39" s="0" t="e">
        <f aca="false">CONCATENATE(C39;D39)</f>
        <v>#VALUE!</v>
      </c>
      <c r="C39" s="24" t="n">
        <v>228</v>
      </c>
      <c r="D39" s="29" t="s">
        <v>304</v>
      </c>
      <c r="E39" s="24" t="s">
        <v>408</v>
      </c>
      <c r="F39" s="30" t="n">
        <v>41848</v>
      </c>
      <c r="G39" s="30" t="n">
        <v>41883</v>
      </c>
      <c r="H39" s="31" t="n">
        <f aca="false">INT(($H$326-G39)/30)</f>
        <v>16</v>
      </c>
      <c r="I39" s="24" t="n">
        <f aca="false">H39*1000</f>
        <v>16000</v>
      </c>
      <c r="J39" s="31" t="n">
        <v>13000</v>
      </c>
      <c r="K39" s="31" t="n">
        <v>3000</v>
      </c>
      <c r="L39" s="59" t="n">
        <f aca="false">I39-J39-K39</f>
        <v>0</v>
      </c>
      <c r="M39" s="85" t="n">
        <f aca="false">SUM('план на 2016'!$L40:M40)-SUM('членские взносы'!$M40:M40)</f>
        <v>800</v>
      </c>
      <c r="N39" s="85" t="n">
        <f aca="false">SUM('план на 2016'!$L40:N40)-SUM('членские взносы'!$M40:N40)</f>
        <v>1600</v>
      </c>
      <c r="O39" s="85" t="n">
        <f aca="false">SUM('план на 2016'!$L40:O40)-SUM('членские взносы'!$M40:O40)</f>
        <v>-600</v>
      </c>
      <c r="P39" s="85" t="n">
        <f aca="false">SUM('план на 2016'!$L40:P40)-SUM('членские взносы'!$M40:P40)</f>
        <v>200</v>
      </c>
      <c r="Q39" s="85" t="n">
        <f aca="false">SUM('план на 2016'!$L40:Q40)-SUM('членские взносы'!$M40:Q40)</f>
        <v>1000</v>
      </c>
      <c r="R39" s="85" t="n">
        <f aca="false">SUM('план на 2016'!$L40:R40)-SUM('членские взносы'!$M40:R40)</f>
        <v>-1200</v>
      </c>
      <c r="S39" s="85" t="n">
        <f aca="false">SUM('план на 2016'!$L40:S40)-SUM('членские взносы'!$M40:S40)</f>
        <v>-400</v>
      </c>
      <c r="T39" s="85" t="n">
        <f aca="false">SUM('план на 2016'!$L40:T40)-SUM('членские взносы'!$M40:T40)</f>
        <v>400</v>
      </c>
      <c r="U39" s="85" t="n">
        <f aca="false">SUM('план на 2016'!$L40:U40)-SUM('членские взносы'!$M40:U40)</f>
        <v>-1800</v>
      </c>
      <c r="V39" s="85" t="n">
        <f aca="false">SUM('план на 2016'!$L40:V40)-SUM('членские взносы'!$M40:V40)</f>
        <v>-1600</v>
      </c>
      <c r="W39" s="85" t="n">
        <f aca="false">SUM('план на 2016'!$L40:W40)-SUM('членские взносы'!$M40:W40)</f>
        <v>-800</v>
      </c>
      <c r="X39" s="85" t="n">
        <f aca="false">SUM('план на 2016'!$L40:X40)-SUM('членские взносы'!$M40:X40)</f>
        <v>0</v>
      </c>
      <c r="Y39" s="59" t="n">
        <f aca="false">X39</f>
        <v>0</v>
      </c>
    </row>
    <row collapsed="false" customFormat="false" customHeight="false" hidden="false" ht="15" outlineLevel="0" r="40">
      <c r="A40" s="19" t="n">
        <f aca="false">VLOOKUP(B40,справочник!$B$2:$E$322,4,0)</f>
        <v>223</v>
      </c>
      <c r="B40" s="0" t="e">
        <f aca="false">CONCATENATE(C40;D40)</f>
        <v>#VALUE!</v>
      </c>
      <c r="C40" s="24" t="n">
        <v>232</v>
      </c>
      <c r="D40" s="29" t="s">
        <v>26</v>
      </c>
      <c r="E40" s="24" t="s">
        <v>409</v>
      </c>
      <c r="F40" s="30" t="n">
        <v>40955</v>
      </c>
      <c r="G40" s="30" t="n">
        <v>40940</v>
      </c>
      <c r="H40" s="31" t="n">
        <f aca="false">INT(($H$326-G40)/30)</f>
        <v>47</v>
      </c>
      <c r="I40" s="24" t="n">
        <f aca="false">H40*1000</f>
        <v>47000</v>
      </c>
      <c r="J40" s="31" t="n">
        <v>1000</v>
      </c>
      <c r="K40" s="31"/>
      <c r="L40" s="59" t="n">
        <f aca="false">I40-J40-K40</f>
        <v>46000</v>
      </c>
      <c r="M40" s="85" t="n">
        <f aca="false">SUM('план на 2016'!$L41:M41)-SUM('членские взносы'!$M41:M41)</f>
        <v>1800</v>
      </c>
      <c r="N40" s="85" t="n">
        <f aca="false">SUM('план на 2016'!$L41:N41)-SUM('членские взносы'!$M41:N41)</f>
        <v>2600</v>
      </c>
      <c r="O40" s="85" t="n">
        <f aca="false">SUM('план на 2016'!$L41:O41)-SUM('членские взносы'!$M41:O41)</f>
        <v>3400</v>
      </c>
      <c r="P40" s="85" t="n">
        <f aca="false">SUM('план на 2016'!$L41:P41)-SUM('членские взносы'!$M41:P41)</f>
        <v>4200</v>
      </c>
      <c r="Q40" s="85" t="n">
        <f aca="false">SUM('план на 2016'!$L41:Q41)-SUM('членские взносы'!$M41:Q41)</f>
        <v>5000</v>
      </c>
      <c r="R40" s="85" t="n">
        <f aca="false">SUM('план на 2016'!$L41:R41)-SUM('членские взносы'!$M41:R41)</f>
        <v>5800</v>
      </c>
      <c r="S40" s="85" t="n">
        <f aca="false">SUM('план на 2016'!$L41:S41)-SUM('членские взносы'!$M41:S41)</f>
        <v>6600</v>
      </c>
      <c r="T40" s="85" t="n">
        <f aca="false">SUM('план на 2016'!$L41:T41)-SUM('членские взносы'!$M41:T41)</f>
        <v>7400</v>
      </c>
      <c r="U40" s="85" t="n">
        <f aca="false">SUM('план на 2016'!$L41:U41)-SUM('членские взносы'!$M41:U41)</f>
        <v>-1800</v>
      </c>
      <c r="V40" s="85" t="n">
        <f aca="false">SUM('план на 2016'!$L41:V41)-SUM('членские взносы'!$M41:V41)</f>
        <v>-1000</v>
      </c>
      <c r="W40" s="85" t="n">
        <f aca="false">SUM('план на 2016'!$L41:W41)-SUM('членские взносы'!$M41:W41)</f>
        <v>-200</v>
      </c>
      <c r="X40" s="85" t="n">
        <f aca="false">SUM('план на 2016'!$L41:X41)-SUM('членские взносы'!$M41:X41)</f>
        <v>600</v>
      </c>
      <c r="Y40" s="59" t="n">
        <f aca="false">X40</f>
        <v>600</v>
      </c>
    </row>
    <row collapsed="false" customFormat="false" customHeight="false" hidden="false" ht="15" outlineLevel="0" r="41">
      <c r="A41" s="19" t="n">
        <f aca="false">VLOOKUP(B41,справочник!$B$2:$E$322,4,0)</f>
        <v>137</v>
      </c>
      <c r="B41" s="0" t="e">
        <f aca="false">CONCATENATE(C41;D41)</f>
        <v>#VALUE!</v>
      </c>
      <c r="C41" s="24" t="n">
        <v>145</v>
      </c>
      <c r="D41" s="29" t="s">
        <v>242</v>
      </c>
      <c r="E41" s="24" t="s">
        <v>410</v>
      </c>
      <c r="F41" s="30" t="n">
        <v>41030</v>
      </c>
      <c r="G41" s="30" t="n">
        <v>41030</v>
      </c>
      <c r="H41" s="31" t="n">
        <f aca="false">INT(($H$326-G41)/30)</f>
        <v>44</v>
      </c>
      <c r="I41" s="24" t="n">
        <f aca="false">H41*1000</f>
        <v>44000</v>
      </c>
      <c r="J41" s="31" t="n">
        <v>44000</v>
      </c>
      <c r="K41" s="31"/>
      <c r="L41" s="59" t="n">
        <f aca="false">I41-J41-K41</f>
        <v>0</v>
      </c>
      <c r="M41" s="85" t="n">
        <f aca="false">SUM('план на 2016'!$L42:M42)-SUM('членские взносы'!$M42:M42)</f>
        <v>800</v>
      </c>
      <c r="N41" s="85" t="n">
        <f aca="false">SUM('план на 2016'!$L42:N42)-SUM('членские взносы'!$M42:N42)</f>
        <v>0</v>
      </c>
      <c r="O41" s="85" t="n">
        <f aca="false">SUM('план на 2016'!$L42:O42)-SUM('членские взносы'!$M42:O42)</f>
        <v>800</v>
      </c>
      <c r="P41" s="85" t="n">
        <f aca="false">SUM('план на 2016'!$L42:P42)-SUM('членские взносы'!$M42:P42)</f>
        <v>1600</v>
      </c>
      <c r="Q41" s="85" t="n">
        <f aca="false">SUM('план на 2016'!$L42:Q42)-SUM('членские взносы'!$M42:Q42)</f>
        <v>2400</v>
      </c>
      <c r="R41" s="85" t="n">
        <f aca="false">SUM('план на 2016'!$L42:R42)-SUM('членские взносы'!$M42:R42)</f>
        <v>2400</v>
      </c>
      <c r="S41" s="85" t="n">
        <f aca="false">SUM('план на 2016'!$L42:S42)-SUM('членские взносы'!$M42:S42)</f>
        <v>3200</v>
      </c>
      <c r="T41" s="85" t="n">
        <f aca="false">SUM('план на 2016'!$L42:T42)-SUM('членские взносы'!$M42:T42)</f>
        <v>4000</v>
      </c>
      <c r="U41" s="85" t="n">
        <f aca="false">SUM('план на 2016'!$L42:U42)-SUM('членские взносы'!$M42:U42)</f>
        <v>4800</v>
      </c>
      <c r="V41" s="85" t="n">
        <f aca="false">SUM('план на 2016'!$L42:V42)-SUM('членские взносы'!$M42:V42)</f>
        <v>5600</v>
      </c>
      <c r="W41" s="85" t="n">
        <f aca="false">SUM('план на 2016'!$L42:W42)-SUM('членские взносы'!$M42:W42)</f>
        <v>6400</v>
      </c>
      <c r="X41" s="85" t="n">
        <f aca="false">SUM('план на 2016'!$L42:X42)-SUM('членские взносы'!$M42:X42)</f>
        <v>7200</v>
      </c>
      <c r="Y41" s="59" t="n">
        <f aca="false">X41</f>
        <v>7200</v>
      </c>
    </row>
    <row collapsed="false" customFormat="false" customHeight="false" hidden="false" ht="15" outlineLevel="0" r="42">
      <c r="A42" s="19" t="n">
        <f aca="false">VLOOKUP(B42,справочник!$B$2:$E$322,4,0)</f>
        <v>105</v>
      </c>
      <c r="B42" s="0" t="e">
        <f aca="false">CONCATENATE(C42;D42)</f>
        <v>#VALUE!</v>
      </c>
      <c r="C42" s="24" t="n">
        <v>110</v>
      </c>
      <c r="D42" s="29" t="s">
        <v>113</v>
      </c>
      <c r="E42" s="24" t="s">
        <v>411</v>
      </c>
      <c r="F42" s="30" t="n">
        <v>40925</v>
      </c>
      <c r="G42" s="30" t="n">
        <v>40909</v>
      </c>
      <c r="H42" s="31" t="n">
        <f aca="false">INT(($H$326-G42)/30)</f>
        <v>48</v>
      </c>
      <c r="I42" s="24" t="n">
        <f aca="false">H42*1000</f>
        <v>48000</v>
      </c>
      <c r="J42" s="31" t="n">
        <v>28000</v>
      </c>
      <c r="K42" s="31"/>
      <c r="L42" s="59" t="n">
        <f aca="false">I42-J42-K42</f>
        <v>20000</v>
      </c>
      <c r="M42" s="85" t="n">
        <f aca="false">SUM('план на 2016'!$L43:M43)-SUM('членские взносы'!$M43:M43)</f>
        <v>17800</v>
      </c>
      <c r="N42" s="85" t="n">
        <f aca="false">SUM('план на 2016'!$L43:N43)-SUM('членские взносы'!$M43:N43)</f>
        <v>18600</v>
      </c>
      <c r="O42" s="85" t="n">
        <f aca="false">SUM('план на 2016'!$L43:O43)-SUM('членские взносы'!$M43:O43)</f>
        <v>19400</v>
      </c>
      <c r="P42" s="85" t="n">
        <f aca="false">SUM('план на 2016'!$L43:P43)-SUM('членские взносы'!$M43:P43)</f>
        <v>20200</v>
      </c>
      <c r="Q42" s="85" t="n">
        <f aca="false">SUM('план на 2016'!$L43:Q43)-SUM('членские взносы'!$M43:Q43)</f>
        <v>21000</v>
      </c>
      <c r="R42" s="85" t="n">
        <f aca="false">SUM('план на 2016'!$L43:R43)-SUM('членские взносы'!$M43:R43)</f>
        <v>21000</v>
      </c>
      <c r="S42" s="85" t="n">
        <f aca="false">SUM('план на 2016'!$L43:S43)-SUM('членские взносы'!$M43:S43)</f>
        <v>21800</v>
      </c>
      <c r="T42" s="85" t="n">
        <f aca="false">SUM('план на 2016'!$L43:T43)-SUM('членские взносы'!$M43:T43)</f>
        <v>22600</v>
      </c>
      <c r="U42" s="85" t="n">
        <f aca="false">SUM('план на 2016'!$L43:U43)-SUM('членские взносы'!$M43:U43)</f>
        <v>21800</v>
      </c>
      <c r="V42" s="85" t="n">
        <f aca="false">SUM('план на 2016'!$L43:V43)-SUM('членские взносы'!$M43:V43)</f>
        <v>22600</v>
      </c>
      <c r="W42" s="85" t="n">
        <f aca="false">SUM('план на 2016'!$L43:W43)-SUM('членские взносы'!$M43:W43)</f>
        <v>23400</v>
      </c>
      <c r="X42" s="85" t="n">
        <f aca="false">SUM('план на 2016'!$L43:X43)-SUM('членские взносы'!$M43:X43)</f>
        <v>23400</v>
      </c>
      <c r="Y42" s="59" t="n">
        <f aca="false">X42</f>
        <v>23400</v>
      </c>
    </row>
    <row collapsed="false" customFormat="false" customHeight="false" hidden="false" ht="15" outlineLevel="0" r="43">
      <c r="A43" s="19" t="n">
        <f aca="false">VLOOKUP(B43,справочник!$B$2:$E$322,4,0)</f>
        <v>98</v>
      </c>
      <c r="B43" s="0" t="e">
        <f aca="false">CONCATENATE(C43;D43)</f>
        <v>#VALUE!</v>
      </c>
      <c r="C43" s="24" t="n">
        <v>103</v>
      </c>
      <c r="D43" s="29" t="s">
        <v>103</v>
      </c>
      <c r="E43" s="24" t="s">
        <v>412</v>
      </c>
      <c r="F43" s="30" t="n">
        <v>40897</v>
      </c>
      <c r="G43" s="30" t="n">
        <v>40878</v>
      </c>
      <c r="H43" s="31" t="n">
        <f aca="false">INT(($H$326-G43)/30)</f>
        <v>49</v>
      </c>
      <c r="I43" s="24" t="n">
        <f aca="false">H43*1000</f>
        <v>49000</v>
      </c>
      <c r="J43" s="31" t="n">
        <f aca="false">29000+1000</f>
        <v>30000</v>
      </c>
      <c r="K43" s="31"/>
      <c r="L43" s="59" t="n">
        <f aca="false">I43-J43-K43</f>
        <v>19000</v>
      </c>
      <c r="M43" s="85" t="n">
        <f aca="false">SUM('план на 2016'!$L44:M44)-SUM('членские взносы'!$M44:M44)</f>
        <v>19800</v>
      </c>
      <c r="N43" s="85" t="n">
        <f aca="false">SUM('план на 2016'!$L44:N44)-SUM('членские взносы'!$M44:N44)</f>
        <v>20600</v>
      </c>
      <c r="O43" s="85" t="n">
        <f aca="false">SUM('план на 2016'!$L44:O44)-SUM('членские взносы'!$M44:O44)</f>
        <v>21400</v>
      </c>
      <c r="P43" s="85" t="n">
        <f aca="false">SUM('план на 2016'!$L44:P44)-SUM('членские взносы'!$M44:P44)</f>
        <v>22200</v>
      </c>
      <c r="Q43" s="85" t="n">
        <f aca="false">SUM('план на 2016'!$L44:Q44)-SUM('членские взносы'!$M44:Q44)</f>
        <v>23000</v>
      </c>
      <c r="R43" s="85" t="n">
        <f aca="false">SUM('план на 2016'!$L44:R44)-SUM('членские взносы'!$M44:R44)</f>
        <v>23800</v>
      </c>
      <c r="S43" s="85" t="n">
        <f aca="false">SUM('план на 2016'!$L44:S44)-SUM('членские взносы'!$M44:S44)</f>
        <v>24600</v>
      </c>
      <c r="T43" s="85" t="n">
        <f aca="false">SUM('план на 2016'!$L44:T44)-SUM('членские взносы'!$M44:T44)</f>
        <v>21400</v>
      </c>
      <c r="U43" s="85" t="n">
        <f aca="false">SUM('план на 2016'!$L44:U44)-SUM('членские взносы'!$M44:U44)</f>
        <v>22200</v>
      </c>
      <c r="V43" s="85" t="n">
        <f aca="false">SUM('план на 2016'!$L44:V44)-SUM('членские взносы'!$M44:V44)</f>
        <v>23000</v>
      </c>
      <c r="W43" s="85" t="n">
        <f aca="false">SUM('план на 2016'!$L44:W44)-SUM('членские взносы'!$M44:W44)</f>
        <v>23800</v>
      </c>
      <c r="X43" s="85" t="n">
        <f aca="false">SUM('план на 2016'!$L44:X44)-SUM('членские взносы'!$M44:X44)</f>
        <v>24600</v>
      </c>
      <c r="Y43" s="59" t="n">
        <f aca="false">X43</f>
        <v>24600</v>
      </c>
    </row>
    <row collapsed="false" customFormat="false" customHeight="false" hidden="false" ht="15" outlineLevel="0" r="44">
      <c r="A44" s="19" t="n">
        <f aca="false">VLOOKUP(B44,справочник!$B$2:$E$322,4,0)</f>
        <v>274</v>
      </c>
      <c r="B44" s="0" t="e">
        <f aca="false">CONCATENATE(C44;D44)</f>
        <v>#VALUE!</v>
      </c>
      <c r="C44" s="24" t="n">
        <v>287</v>
      </c>
      <c r="D44" s="29" t="s">
        <v>314</v>
      </c>
      <c r="E44" s="36"/>
      <c r="F44" s="34" t="n">
        <v>42023</v>
      </c>
      <c r="G44" s="34" t="n">
        <v>42036</v>
      </c>
      <c r="H44" s="35" t="n">
        <f aca="false">INT(($H$326-G44)/30)</f>
        <v>11</v>
      </c>
      <c r="I44" s="36" t="n">
        <f aca="false">H44*1000</f>
        <v>11000</v>
      </c>
      <c r="J44" s="35" t="n">
        <v>2000</v>
      </c>
      <c r="K44" s="35"/>
      <c r="L44" s="66" t="n">
        <f aca="false">I44-J44-K44</f>
        <v>9000</v>
      </c>
      <c r="M44" s="85" t="n">
        <f aca="false">SUM('план на 2016'!$L45:M45)-SUM('членские взносы'!$M45:M45)</f>
        <v>9800</v>
      </c>
      <c r="N44" s="85" t="n">
        <f aca="false">SUM('план на 2016'!$L45:N45)-SUM('членские взносы'!$M45:N45)</f>
        <v>10600</v>
      </c>
      <c r="O44" s="85" t="n">
        <f aca="false">SUM('план на 2016'!$L45:O45)-SUM('членские взносы'!$M45:O45)</f>
        <v>9800</v>
      </c>
      <c r="P44" s="85" t="n">
        <f aca="false">SUM('план на 2016'!$L45:P45)-SUM('членские взносы'!$M45:P45)</f>
        <v>10600</v>
      </c>
      <c r="Q44" s="85" t="n">
        <f aca="false">SUM('план на 2016'!$L45:Q45)-SUM('членские взносы'!$M45:Q45)</f>
        <v>11400</v>
      </c>
      <c r="R44" s="85" t="n">
        <f aca="false">SUM('план на 2016'!$L45:R45)-SUM('членские взносы'!$M45:R45)</f>
        <v>-14600</v>
      </c>
      <c r="S44" s="85" t="n">
        <f aca="false">SUM('план на 2016'!$L45:S45)-SUM('членские взносы'!$M45:S45)</f>
        <v>-14600</v>
      </c>
      <c r="T44" s="85" t="n">
        <f aca="false">SUM('план на 2016'!$L45:T45)-SUM('членские взносы'!$M45:T45)</f>
        <v>-13800</v>
      </c>
      <c r="U44" s="85" t="n">
        <f aca="false">SUM('план на 2016'!$L45:U45)-SUM('членские взносы'!$M45:U45)</f>
        <v>-13000</v>
      </c>
      <c r="V44" s="85" t="n">
        <f aca="false">SUM('план на 2016'!$L45:V45)-SUM('членские взносы'!$M45:V45)</f>
        <v>-12200</v>
      </c>
      <c r="W44" s="85" t="n">
        <f aca="false">SUM('план на 2016'!$L45:W45)-SUM('членские взносы'!$M45:W45)</f>
        <v>-11400</v>
      </c>
      <c r="X44" s="85" t="n">
        <f aca="false">SUM('план на 2016'!$L45:X45)-SUM('членские взносы'!$M45:X45)</f>
        <v>-10600</v>
      </c>
      <c r="Y44" s="59" t="n">
        <f aca="false">X44</f>
        <v>-10600</v>
      </c>
    </row>
    <row collapsed="false" customFormat="false" customHeight="false" hidden="false" ht="15" outlineLevel="0" r="45">
      <c r="A45" s="19" t="n">
        <f aca="false">VLOOKUP(B45,справочник!$B$2:$E$322,4,0)</f>
        <v>274</v>
      </c>
      <c r="B45" s="0" t="e">
        <f aca="false">CONCATENATE(C45;D45)</f>
        <v>#VALUE!</v>
      </c>
      <c r="C45" s="24" t="n">
        <v>295</v>
      </c>
      <c r="D45" s="29" t="s">
        <v>314</v>
      </c>
      <c r="E45" s="36"/>
      <c r="F45" s="34" t="n">
        <v>42023</v>
      </c>
      <c r="G45" s="34" t="n">
        <v>42036</v>
      </c>
      <c r="H45" s="35" t="n">
        <f aca="false">INT(($H$326-G45)/30)</f>
        <v>11</v>
      </c>
      <c r="I45" s="36" t="n">
        <f aca="false">H45*1000</f>
        <v>11000</v>
      </c>
      <c r="J45" s="35"/>
      <c r="K45" s="35"/>
      <c r="L45" s="66" t="n">
        <f aca="false">I45-J45-K45</f>
        <v>11000</v>
      </c>
      <c r="M45" s="85" t="n">
        <f aca="false">SUM('план на 2016'!$L46:M46)-SUM('членские взносы'!$M46:M46)</f>
        <v>11000</v>
      </c>
      <c r="N45" s="85" t="n">
        <f aca="false">SUM('план на 2016'!$L46:N46)-SUM('членские взносы'!$M46:N46)</f>
        <v>11000</v>
      </c>
      <c r="O45" s="85" t="n">
        <f aca="false">SUM('план на 2016'!$L46:O46)-SUM('членские взносы'!$M46:O46)</f>
        <v>11000</v>
      </c>
      <c r="P45" s="85" t="n">
        <f aca="false">SUM('план на 2016'!$L46:P46)-SUM('членские взносы'!$M46:P46)</f>
        <v>11000</v>
      </c>
      <c r="Q45" s="85" t="n">
        <f aca="false">SUM('план на 2016'!$L46:Q46)-SUM('членские взносы'!$M46:Q46)</f>
        <v>11000</v>
      </c>
      <c r="R45" s="85" t="n">
        <f aca="false">SUM('план на 2016'!$L46:R46)-SUM('членские взносы'!$M46:R46)</f>
        <v>11000</v>
      </c>
      <c r="S45" s="85" t="n">
        <f aca="false">SUM('план на 2016'!$L46:S46)-SUM('членские взносы'!$M46:S46)</f>
        <v>11000</v>
      </c>
      <c r="T45" s="85" t="n">
        <f aca="false">SUM('план на 2016'!$L46:T46)-SUM('членские взносы'!$M46:T46)</f>
        <v>11000</v>
      </c>
      <c r="U45" s="85" t="n">
        <f aca="false">SUM('план на 2016'!$L46:U46)-SUM('членские взносы'!$M46:U46)</f>
        <v>9400</v>
      </c>
      <c r="V45" s="85" t="n">
        <f aca="false">SUM('план на 2016'!$L46:V46)-SUM('членские взносы'!$M46:V46)</f>
        <v>8600</v>
      </c>
      <c r="W45" s="85" t="n">
        <f aca="false">SUM('план на 2016'!$L46:W46)-SUM('членские взносы'!$M46:W46)</f>
        <v>7800</v>
      </c>
      <c r="X45" s="85" t="n">
        <f aca="false">SUM('план на 2016'!$L46:X46)-SUM('членские взносы'!$M46:X46)</f>
        <v>7000</v>
      </c>
      <c r="Y45" s="59" t="n">
        <f aca="false">X45</f>
        <v>7000</v>
      </c>
    </row>
    <row collapsed="false" customFormat="false" customHeight="false" hidden="false" ht="15" outlineLevel="0" r="46">
      <c r="A46" s="19" t="n">
        <f aca="false">VLOOKUP(B46,справочник!$B$2:$E$322,4,0)</f>
        <v>175</v>
      </c>
      <c r="B46" s="0" t="e">
        <f aca="false">CONCATENATE(C46;D46)</f>
        <v>#VALUE!</v>
      </c>
      <c r="C46" s="24" t="n">
        <v>183</v>
      </c>
      <c r="D46" s="29" t="s">
        <v>150</v>
      </c>
      <c r="E46" s="24" t="s">
        <v>413</v>
      </c>
      <c r="F46" s="34" t="n">
        <v>41865</v>
      </c>
      <c r="G46" s="34" t="n">
        <v>41883</v>
      </c>
      <c r="H46" s="35" t="n">
        <f aca="false">INT(($H$326-G46)/30)</f>
        <v>16</v>
      </c>
      <c r="I46" s="36" t="n">
        <f aca="false">H46*1000</f>
        <v>16000</v>
      </c>
      <c r="J46" s="35"/>
      <c r="K46" s="35"/>
      <c r="L46" s="66" t="n">
        <f aca="false">I46-J46-K46</f>
        <v>16000</v>
      </c>
      <c r="M46" s="85" t="n">
        <f aca="false">SUM('план на 2016'!$L47:M47)-SUM('членские взносы'!$M47:M47)</f>
        <v>16800</v>
      </c>
      <c r="N46" s="85" t="n">
        <f aca="false">SUM('план на 2016'!$L47:N47)-SUM('членские взносы'!$M47:N47)</f>
        <v>17600</v>
      </c>
      <c r="O46" s="85" t="n">
        <f aca="false">SUM('план на 2016'!$L47:O47)-SUM('членские взносы'!$M47:O47)</f>
        <v>18400</v>
      </c>
      <c r="P46" s="85" t="n">
        <f aca="false">SUM('план на 2016'!$L47:P47)-SUM('членские взносы'!$M47:P47)</f>
        <v>19200</v>
      </c>
      <c r="Q46" s="85" t="n">
        <f aca="false">SUM('план на 2016'!$L47:Q47)-SUM('членские взносы'!$M47:Q47)</f>
        <v>-1600</v>
      </c>
      <c r="R46" s="85" t="n">
        <f aca="false">SUM('план на 2016'!$L47:R47)-SUM('членские взносы'!$M47:R47)</f>
        <v>-800</v>
      </c>
      <c r="S46" s="85" t="n">
        <f aca="false">SUM('план на 2016'!$L47:S47)-SUM('членские взносы'!$M47:S47)</f>
        <v>0</v>
      </c>
      <c r="T46" s="85" t="n">
        <f aca="false">SUM('план на 2016'!$L47:T47)-SUM('членские взносы'!$M47:T47)</f>
        <v>800</v>
      </c>
      <c r="U46" s="85" t="n">
        <f aca="false">SUM('план на 2016'!$L47:U47)-SUM('членские взносы'!$M47:U47)</f>
        <v>-18400</v>
      </c>
      <c r="V46" s="85" t="n">
        <f aca="false">SUM('план на 2016'!$L47:V47)-SUM('членские взносы'!$M47:V47)</f>
        <v>-17600</v>
      </c>
      <c r="W46" s="85" t="n">
        <f aca="false">SUM('план на 2016'!$L47:W47)-SUM('членские взносы'!$M47:W47)</f>
        <v>-16800</v>
      </c>
      <c r="X46" s="85" t="n">
        <f aca="false">SUM('план на 2016'!$L47:X47)-SUM('членские взносы'!$M47:X47)</f>
        <v>-16000</v>
      </c>
      <c r="Y46" s="59" t="n">
        <f aca="false">X46</f>
        <v>-16000</v>
      </c>
    </row>
    <row collapsed="false" customFormat="false" customHeight="false" hidden="false" ht="15" outlineLevel="0" r="47">
      <c r="A47" s="19" t="n">
        <f aca="false">VLOOKUP(B47,справочник!$B$2:$E$322,4,0)</f>
        <v>175</v>
      </c>
      <c r="B47" s="0" t="e">
        <f aca="false">CONCATENATE(C47;D47)</f>
        <v>#VALUE!</v>
      </c>
      <c r="C47" s="24" t="n">
        <v>187</v>
      </c>
      <c r="D47" s="29" t="s">
        <v>150</v>
      </c>
      <c r="E47" s="24" t="s">
        <v>414</v>
      </c>
      <c r="F47" s="34" t="n">
        <v>41865</v>
      </c>
      <c r="G47" s="34" t="n">
        <v>41883</v>
      </c>
      <c r="H47" s="35" t="n">
        <f aca="false">INT(($H$326-G47)/30)</f>
        <v>16</v>
      </c>
      <c r="I47" s="36" t="n">
        <f aca="false">H47*1000</f>
        <v>16000</v>
      </c>
      <c r="J47" s="35"/>
      <c r="K47" s="35"/>
      <c r="L47" s="66" t="n">
        <f aca="false">I47-J47-K47</f>
        <v>16000</v>
      </c>
      <c r="M47" s="85" t="n">
        <f aca="false">SUM('план на 2016'!$L48:M48)-SUM('членские взносы'!$M48:M48)</f>
        <v>16000</v>
      </c>
      <c r="N47" s="85" t="n">
        <f aca="false">SUM('план на 2016'!$L48:N48)-SUM('членские взносы'!$M48:N48)</f>
        <v>16000</v>
      </c>
      <c r="O47" s="85" t="n">
        <f aca="false">SUM('план на 2016'!$L48:O48)-SUM('членские взносы'!$M48:O48)</f>
        <v>16000</v>
      </c>
      <c r="P47" s="85" t="n">
        <f aca="false">SUM('план на 2016'!$L48:P48)-SUM('членские взносы'!$M48:P48)</f>
        <v>16000</v>
      </c>
      <c r="Q47" s="85" t="n">
        <f aca="false">SUM('план на 2016'!$L48:Q48)-SUM('членские взносы'!$M48:Q48)</f>
        <v>16000</v>
      </c>
      <c r="R47" s="85" t="n">
        <f aca="false">SUM('план на 2016'!$L48:R48)-SUM('членские взносы'!$M48:R48)</f>
        <v>16000</v>
      </c>
      <c r="S47" s="85" t="n">
        <f aca="false">SUM('план на 2016'!$L48:S48)-SUM('членские взносы'!$M48:S48)</f>
        <v>16000</v>
      </c>
      <c r="T47" s="85" t="n">
        <f aca="false">SUM('план на 2016'!$L48:T48)-SUM('членские взносы'!$M48:T48)</f>
        <v>16000</v>
      </c>
      <c r="U47" s="85" t="n">
        <f aca="false">SUM('план на 2016'!$L48:U48)-SUM('членские взносы'!$M48:U48)</f>
        <v>16000</v>
      </c>
      <c r="V47" s="85" t="n">
        <f aca="false">SUM('план на 2016'!$L48:V48)-SUM('членские взносы'!$M48:V48)</f>
        <v>16000</v>
      </c>
      <c r="W47" s="85" t="n">
        <f aca="false">SUM('план на 2016'!$L48:W48)-SUM('членские взносы'!$M48:W48)</f>
        <v>16000</v>
      </c>
      <c r="X47" s="85" t="n">
        <f aca="false">SUM('план на 2016'!$L48:X48)-SUM('членские взносы'!$M48:X48)</f>
        <v>16000</v>
      </c>
      <c r="Y47" s="59" t="n">
        <f aca="false">X47</f>
        <v>16000</v>
      </c>
    </row>
    <row collapsed="false" customFormat="false" customHeight="false" hidden="false" ht="15" outlineLevel="0" r="48">
      <c r="A48" s="19" t="n">
        <f aca="false">VLOOKUP(B48,справочник!$B$2:$E$322,4,0)</f>
        <v>303</v>
      </c>
      <c r="B48" s="0" t="e">
        <f aca="false">CONCATENATE(C48;D48)</f>
        <v>#VALUE!</v>
      </c>
      <c r="C48" s="24" t="n">
        <v>318</v>
      </c>
      <c r="D48" s="29" t="s">
        <v>74</v>
      </c>
      <c r="E48" s="24" t="s">
        <v>415</v>
      </c>
      <c r="F48" s="34" t="n">
        <v>42002</v>
      </c>
      <c r="G48" s="34" t="n">
        <v>42005</v>
      </c>
      <c r="H48" s="35" t="n">
        <f aca="false">INT(($H$326-G48)/30)</f>
        <v>12</v>
      </c>
      <c r="I48" s="36" t="n">
        <f aca="false">H48*1000</f>
        <v>12000</v>
      </c>
      <c r="J48" s="35"/>
      <c r="K48" s="35"/>
      <c r="L48" s="66" t="n">
        <f aca="false">I48-J48-K48</f>
        <v>12000</v>
      </c>
      <c r="M48" s="85" t="n">
        <f aca="false">SUM('план на 2016'!$L49:M49)-SUM('членские взносы'!$M49:M49)</f>
        <v>12800</v>
      </c>
      <c r="N48" s="85" t="n">
        <f aca="false">SUM('план на 2016'!$L49:N49)-SUM('членские взносы'!$M49:N49)</f>
        <v>13600</v>
      </c>
      <c r="O48" s="85" t="n">
        <f aca="false">SUM('план на 2016'!$L49:O49)-SUM('членские взносы'!$M49:O49)</f>
        <v>14400</v>
      </c>
      <c r="P48" s="85" t="n">
        <f aca="false">SUM('план на 2016'!$L49:P49)-SUM('членские взносы'!$M49:P49)</f>
        <v>15200</v>
      </c>
      <c r="Q48" s="85" t="n">
        <f aca="false">SUM('план на 2016'!$L49:Q49)-SUM('членские взносы'!$M49:Q49)</f>
        <v>16000</v>
      </c>
      <c r="R48" s="85" t="n">
        <f aca="false">SUM('план на 2016'!$L49:R49)-SUM('членские взносы'!$M49:R49)</f>
        <v>16800</v>
      </c>
      <c r="S48" s="85" t="n">
        <f aca="false">SUM('план на 2016'!$L49:S49)-SUM('членские взносы'!$M49:S49)</f>
        <v>17600</v>
      </c>
      <c r="T48" s="85" t="n">
        <f aca="false">SUM('план на 2016'!$L49:T49)-SUM('членские взносы'!$M49:T49)</f>
        <v>18400</v>
      </c>
      <c r="U48" s="85" t="n">
        <f aca="false">SUM('план на 2016'!$L49:U49)-SUM('членские взносы'!$M49:U49)</f>
        <v>19200</v>
      </c>
      <c r="V48" s="85" t="n">
        <f aca="false">SUM('план на 2016'!$L49:V49)-SUM('членские взносы'!$M49:V49)</f>
        <v>20000</v>
      </c>
      <c r="W48" s="85" t="n">
        <f aca="false">SUM('план на 2016'!$L49:W49)-SUM('членские взносы'!$M49:W49)</f>
        <v>20800</v>
      </c>
      <c r="X48" s="85" t="n">
        <f aca="false">SUM('план на 2016'!$L49:X49)-SUM('членские взносы'!$M49:X49)</f>
        <v>21600</v>
      </c>
      <c r="Y48" s="59" t="n">
        <f aca="false">X48</f>
        <v>21600</v>
      </c>
    </row>
    <row collapsed="false" customFormat="false" customHeight="false" hidden="false" ht="15" outlineLevel="0" r="49">
      <c r="A49" s="19" t="n">
        <f aca="false">VLOOKUP(B49,справочник!$B$2:$E$322,4,0)</f>
        <v>303</v>
      </c>
      <c r="B49" s="0" t="e">
        <f aca="false">CONCATENATE(C49;D49)</f>
        <v>#VALUE!</v>
      </c>
      <c r="C49" s="24" t="n">
        <v>319</v>
      </c>
      <c r="D49" s="29" t="s">
        <v>74</v>
      </c>
      <c r="E49" s="24" t="s">
        <v>416</v>
      </c>
      <c r="F49" s="34" t="n">
        <v>42002</v>
      </c>
      <c r="G49" s="34" t="n">
        <v>42005</v>
      </c>
      <c r="H49" s="35" t="n">
        <f aca="false">INT(($H$326-G49)/30)</f>
        <v>12</v>
      </c>
      <c r="I49" s="36" t="n">
        <f aca="false">H49*1000</f>
        <v>12000</v>
      </c>
      <c r="J49" s="35"/>
      <c r="K49" s="35"/>
      <c r="L49" s="66" t="n">
        <f aca="false">I49-J49-K49</f>
        <v>12000</v>
      </c>
      <c r="M49" s="85" t="n">
        <f aca="false">SUM('план на 2016'!$L50:M50)-SUM('членские взносы'!$M50:M50)</f>
        <v>12000</v>
      </c>
      <c r="N49" s="85" t="n">
        <f aca="false">SUM('план на 2016'!$L50:N50)-SUM('членские взносы'!$M50:N50)</f>
        <v>12000</v>
      </c>
      <c r="O49" s="85" t="n">
        <f aca="false">SUM('план на 2016'!$L50:O50)-SUM('членские взносы'!$M50:O50)</f>
        <v>12000</v>
      </c>
      <c r="P49" s="85" t="n">
        <f aca="false">SUM('план на 2016'!$L50:P50)-SUM('членские взносы'!$M50:P50)</f>
        <v>12000</v>
      </c>
      <c r="Q49" s="85" t="n">
        <f aca="false">SUM('план на 2016'!$L50:Q50)-SUM('членские взносы'!$M50:Q50)</f>
        <v>12000</v>
      </c>
      <c r="R49" s="85" t="n">
        <f aca="false">SUM('план на 2016'!$L50:R50)-SUM('членские взносы'!$M50:R50)</f>
        <v>12000</v>
      </c>
      <c r="S49" s="85" t="n">
        <f aca="false">SUM('план на 2016'!$L50:S50)-SUM('членские взносы'!$M50:S50)</f>
        <v>12000</v>
      </c>
      <c r="T49" s="85" t="n">
        <f aca="false">SUM('план на 2016'!$L50:T50)-SUM('членские взносы'!$M50:T50)</f>
        <v>12000</v>
      </c>
      <c r="U49" s="85" t="n">
        <f aca="false">SUM('план на 2016'!$L50:U50)-SUM('членские взносы'!$M50:U50)</f>
        <v>12000</v>
      </c>
      <c r="V49" s="85" t="n">
        <f aca="false">SUM('план на 2016'!$L50:V50)-SUM('членские взносы'!$M50:V50)</f>
        <v>12000</v>
      </c>
      <c r="W49" s="85" t="n">
        <f aca="false">SUM('план на 2016'!$L50:W50)-SUM('членские взносы'!$M50:W50)</f>
        <v>12000</v>
      </c>
      <c r="X49" s="85" t="n">
        <f aca="false">SUM('план на 2016'!$L50:X50)-SUM('членские взносы'!$M50:X50)</f>
        <v>12000</v>
      </c>
      <c r="Y49" s="59" t="n">
        <f aca="false">X49</f>
        <v>12000</v>
      </c>
    </row>
    <row collapsed="false" customFormat="false" customHeight="false" hidden="false" ht="15" outlineLevel="0" r="50">
      <c r="A50" s="19" t="n">
        <f aca="false">VLOOKUP(B50,справочник!$B$2:$E$322,4,0)</f>
        <v>90</v>
      </c>
      <c r="B50" s="0" t="e">
        <f aca="false">CONCATENATE(C50;D50)</f>
        <v>#VALUE!</v>
      </c>
      <c r="C50" s="24" t="n">
        <v>95</v>
      </c>
      <c r="D50" s="29" t="s">
        <v>286</v>
      </c>
      <c r="E50" s="24" t="s">
        <v>417</v>
      </c>
      <c r="F50" s="30" t="n">
        <v>40795</v>
      </c>
      <c r="G50" s="30" t="n">
        <v>40787</v>
      </c>
      <c r="H50" s="31" t="n">
        <f aca="false">INT(($H$326-G50)/30)</f>
        <v>52</v>
      </c>
      <c r="I50" s="24" t="n">
        <f aca="false">H50*1000</f>
        <v>52000</v>
      </c>
      <c r="J50" s="31" t="n">
        <f aca="false">36000+4000+12000</f>
        <v>52000</v>
      </c>
      <c r="K50" s="31"/>
      <c r="L50" s="59" t="n">
        <f aca="false">I50-J50-K50</f>
        <v>0</v>
      </c>
      <c r="M50" s="85" t="n">
        <f aca="false">SUM('план на 2016'!$L51:M51)-SUM('членские взносы'!$M51:M51)</f>
        <v>800</v>
      </c>
      <c r="N50" s="85" t="n">
        <f aca="false">SUM('план на 2016'!$L51:N51)-SUM('членские взносы'!$M51:N51)</f>
        <v>1600</v>
      </c>
      <c r="O50" s="85" t="n">
        <f aca="false">SUM('план на 2016'!$L51:O51)-SUM('членские взносы'!$M51:O51)</f>
        <v>2400</v>
      </c>
      <c r="P50" s="85" t="n">
        <f aca="false">SUM('план на 2016'!$L51:P51)-SUM('членские взносы'!$M51:P51)</f>
        <v>-1600</v>
      </c>
      <c r="Q50" s="85" t="n">
        <f aca="false">SUM('план на 2016'!$L51:Q51)-SUM('членские взносы'!$M51:Q51)</f>
        <v>-800</v>
      </c>
      <c r="R50" s="85" t="n">
        <f aca="false">SUM('план на 2016'!$L51:R51)-SUM('членские взносы'!$M51:R51)</f>
        <v>0</v>
      </c>
      <c r="S50" s="85" t="n">
        <f aca="false">SUM('план на 2016'!$L51:S51)-SUM('членские взносы'!$M51:S51)</f>
        <v>800</v>
      </c>
      <c r="T50" s="85" t="n">
        <f aca="false">SUM('план на 2016'!$L51:T51)-SUM('членские взносы'!$M51:T51)</f>
        <v>1600</v>
      </c>
      <c r="U50" s="85" t="n">
        <f aca="false">SUM('план на 2016'!$L51:U51)-SUM('членские взносы'!$M51:U51)</f>
        <v>-2400</v>
      </c>
      <c r="V50" s="85" t="n">
        <f aca="false">SUM('план на 2016'!$L51:V51)-SUM('членские взносы'!$M51:V51)</f>
        <v>-1600</v>
      </c>
      <c r="W50" s="85" t="n">
        <f aca="false">SUM('план на 2016'!$L51:W51)-SUM('членские взносы'!$M51:W51)</f>
        <v>-800</v>
      </c>
      <c r="X50" s="85" t="n">
        <f aca="false">SUM('план на 2016'!$L51:X51)-SUM('членские взносы'!$M51:X51)</f>
        <v>0</v>
      </c>
      <c r="Y50" s="59" t="n">
        <f aca="false">X50</f>
        <v>0</v>
      </c>
    </row>
    <row collapsed="false" customFormat="false" customHeight="false" hidden="false" ht="15" outlineLevel="0" r="51">
      <c r="A51" s="19" t="n">
        <f aca="false">VLOOKUP(B51,справочник!$B$2:$E$322,4,0)</f>
        <v>206</v>
      </c>
      <c r="B51" s="0" t="e">
        <f aca="false">CONCATENATE(C51;D51)</f>
        <v>#VALUE!</v>
      </c>
      <c r="C51" s="24" t="n">
        <v>216</v>
      </c>
      <c r="D51" s="29" t="s">
        <v>159</v>
      </c>
      <c r="E51" s="24" t="s">
        <v>418</v>
      </c>
      <c r="F51" s="30" t="n">
        <v>40953</v>
      </c>
      <c r="G51" s="30" t="n">
        <v>40940</v>
      </c>
      <c r="H51" s="31" t="n">
        <f aca="false">INT(($H$326-G51)/30)</f>
        <v>47</v>
      </c>
      <c r="I51" s="24" t="n">
        <f aca="false">H51*1000</f>
        <v>47000</v>
      </c>
      <c r="J51" s="31" t="n">
        <v>38000</v>
      </c>
      <c r="K51" s="31"/>
      <c r="L51" s="59" t="n">
        <f aca="false">I51-J51-K51</f>
        <v>9000</v>
      </c>
      <c r="M51" s="85" t="n">
        <f aca="false">SUM('план на 2016'!$L52:M52)-SUM('членские взносы'!$M52:M52)</f>
        <v>9800</v>
      </c>
      <c r="N51" s="85" t="n">
        <f aca="false">SUM('план на 2016'!$L52:N52)-SUM('членские взносы'!$M52:N52)</f>
        <v>10600</v>
      </c>
      <c r="O51" s="85" t="n">
        <f aca="false">SUM('план на 2016'!$L52:O52)-SUM('членские взносы'!$M52:O52)</f>
        <v>11400</v>
      </c>
      <c r="P51" s="85" t="n">
        <f aca="false">SUM('план на 2016'!$L52:P52)-SUM('членские взносы'!$M52:P52)</f>
        <v>12200</v>
      </c>
      <c r="Q51" s="85" t="n">
        <f aca="false">SUM('план на 2016'!$L52:Q52)-SUM('членские взносы'!$M52:Q52)</f>
        <v>13000</v>
      </c>
      <c r="R51" s="85" t="n">
        <f aca="false">SUM('план на 2016'!$L52:R52)-SUM('членские взносы'!$M52:R52)</f>
        <v>13800</v>
      </c>
      <c r="S51" s="85" t="n">
        <f aca="false">SUM('план на 2016'!$L52:S52)-SUM('членские взносы'!$M52:S52)</f>
        <v>14600</v>
      </c>
      <c r="T51" s="85" t="n">
        <f aca="false">SUM('план на 2016'!$L52:T52)-SUM('членские взносы'!$M52:T52)</f>
        <v>15400</v>
      </c>
      <c r="U51" s="85" t="n">
        <f aca="false">SUM('план на 2016'!$L52:U52)-SUM('членские взносы'!$M52:U52)</f>
        <v>16200</v>
      </c>
      <c r="V51" s="85" t="n">
        <f aca="false">SUM('план на 2016'!$L52:V52)-SUM('членские взносы'!$M52:V52)</f>
        <v>17000</v>
      </c>
      <c r="W51" s="85" t="n">
        <f aca="false">SUM('план на 2016'!$L52:W52)-SUM('членские взносы'!$M52:W52)</f>
        <v>17800</v>
      </c>
      <c r="X51" s="85" t="n">
        <f aca="false">SUM('план на 2016'!$L52:X52)-SUM('членские взносы'!$M52:X52)</f>
        <v>8600</v>
      </c>
      <c r="Y51" s="59" t="n">
        <f aca="false">X51</f>
        <v>8600</v>
      </c>
    </row>
    <row collapsed="false" customFormat="false" customHeight="false" hidden="false" ht="15" outlineLevel="0" r="52">
      <c r="A52" s="19" t="n">
        <f aca="false">VLOOKUP(B52,справочник!$B$2:$E$322,4,0)</f>
        <v>101</v>
      </c>
      <c r="B52" s="0" t="e">
        <f aca="false">CONCATENATE(C52;D52)</f>
        <v>#VALUE!</v>
      </c>
      <c r="C52" s="24" t="n">
        <v>106</v>
      </c>
      <c r="D52" s="29" t="s">
        <v>196</v>
      </c>
      <c r="E52" s="24" t="s">
        <v>419</v>
      </c>
      <c r="F52" s="30" t="n">
        <v>40816</v>
      </c>
      <c r="G52" s="30" t="n">
        <v>40787</v>
      </c>
      <c r="H52" s="31" t="n">
        <f aca="false">INT(($H$326-G52)/30)</f>
        <v>52</v>
      </c>
      <c r="I52" s="24" t="n">
        <f aca="false">H52*1000</f>
        <v>52000</v>
      </c>
      <c r="J52" s="31" t="n">
        <f aca="false">42000+1000</f>
        <v>43000</v>
      </c>
      <c r="K52" s="31"/>
      <c r="L52" s="59" t="n">
        <f aca="false">I52-J52-K52</f>
        <v>9000</v>
      </c>
      <c r="M52" s="85" t="n">
        <f aca="false">SUM('план на 2016'!$L53:M53)-SUM('членские взносы'!$M53:M53)</f>
        <v>2800</v>
      </c>
      <c r="N52" s="85" t="n">
        <f aca="false">SUM('план на 2016'!$L53:N53)-SUM('членские взносы'!$M53:N53)</f>
        <v>3600</v>
      </c>
      <c r="O52" s="85" t="n">
        <f aca="false">SUM('план на 2016'!$L53:O53)-SUM('членские взносы'!$M53:O53)</f>
        <v>4400</v>
      </c>
      <c r="P52" s="85" t="n">
        <f aca="false">SUM('план на 2016'!$L53:P53)-SUM('членские взносы'!$M53:P53)</f>
        <v>5200</v>
      </c>
      <c r="Q52" s="85" t="n">
        <f aca="false">SUM('план на 2016'!$L53:Q53)-SUM('членские взносы'!$M53:Q53)</f>
        <v>6000</v>
      </c>
      <c r="R52" s="85" t="n">
        <f aca="false">SUM('план на 2016'!$L53:R53)-SUM('членские взносы'!$M53:R53)</f>
        <v>6800</v>
      </c>
      <c r="S52" s="85" t="n">
        <f aca="false">SUM('план на 2016'!$L53:S53)-SUM('членские взносы'!$M53:S53)</f>
        <v>7600</v>
      </c>
      <c r="T52" s="85" t="n">
        <f aca="false">SUM('план на 2016'!$L53:T53)-SUM('членские взносы'!$M53:T53)</f>
        <v>8400</v>
      </c>
      <c r="U52" s="85" t="n">
        <f aca="false">SUM('план на 2016'!$L53:U53)-SUM('членские взносы'!$M53:U53)</f>
        <v>9200</v>
      </c>
      <c r="V52" s="85" t="n">
        <f aca="false">SUM('план на 2016'!$L53:V53)-SUM('членские взносы'!$M53:V53)</f>
        <v>10000</v>
      </c>
      <c r="W52" s="85" t="n">
        <f aca="false">SUM('план на 2016'!$L53:W53)-SUM('членские взносы'!$M53:W53)</f>
        <v>10800</v>
      </c>
      <c r="X52" s="85" t="n">
        <f aca="false">SUM('план на 2016'!$L53:X53)-SUM('членские взносы'!$M53:X53)</f>
        <v>11600</v>
      </c>
      <c r="Y52" s="59" t="n">
        <f aca="false">X52</f>
        <v>11600</v>
      </c>
    </row>
    <row collapsed="false" customFormat="false" customHeight="false" hidden="false" ht="15" outlineLevel="0" r="53">
      <c r="A53" s="19" t="n">
        <f aca="false">VLOOKUP(B53,справочник!$B$2:$E$322,4,0)</f>
        <v>86</v>
      </c>
      <c r="B53" s="0" t="e">
        <f aca="false">CONCATENATE(C53;D53)</f>
        <v>#VALUE!</v>
      </c>
      <c r="C53" s="24" t="n">
        <v>91</v>
      </c>
      <c r="D53" s="29" t="s">
        <v>277</v>
      </c>
      <c r="E53" s="24" t="s">
        <v>420</v>
      </c>
      <c r="F53" s="30" t="n">
        <v>40847</v>
      </c>
      <c r="G53" s="30" t="n">
        <v>40817</v>
      </c>
      <c r="H53" s="31" t="n">
        <f aca="false">INT(($H$326-G53)/30)</f>
        <v>51</v>
      </c>
      <c r="I53" s="24" t="n">
        <f aca="false">H53*1000</f>
        <v>51000</v>
      </c>
      <c r="J53" s="31" t="n">
        <f aca="false">34000+13000</f>
        <v>47000</v>
      </c>
      <c r="K53" s="31" t="n">
        <v>4000</v>
      </c>
      <c r="L53" s="59" t="n">
        <f aca="false">I53-J53-K53</f>
        <v>0</v>
      </c>
      <c r="M53" s="85" t="n">
        <f aca="false">SUM('план на 2016'!$L54:M54)-SUM('членские взносы'!$M54:M54)</f>
        <v>-200</v>
      </c>
      <c r="N53" s="85" t="n">
        <f aca="false">SUM('план на 2016'!$L54:N54)-SUM('членские взносы'!$M54:N54)</f>
        <v>-1400</v>
      </c>
      <c r="O53" s="85" t="n">
        <f aca="false">SUM('план на 2016'!$L54:O54)-SUM('членские взносы'!$M54:O54)</f>
        <v>-600</v>
      </c>
      <c r="P53" s="85" t="n">
        <f aca="false">SUM('план на 2016'!$L54:P54)-SUM('членские взносы'!$M54:P54)</f>
        <v>-800</v>
      </c>
      <c r="Q53" s="85" t="n">
        <f aca="false">SUM('план на 2016'!$L54:Q54)-SUM('членские взносы'!$M54:Q54)</f>
        <v>0</v>
      </c>
      <c r="R53" s="85" t="n">
        <f aca="false">SUM('план на 2016'!$L54:R54)-SUM('членские взносы'!$M54:R54)</f>
        <v>-800</v>
      </c>
      <c r="S53" s="85" t="n">
        <f aca="false">SUM('план на 2016'!$L54:S54)-SUM('членские взносы'!$M54:S54)</f>
        <v>0</v>
      </c>
      <c r="T53" s="85" t="n">
        <f aca="false">SUM('план на 2016'!$L54:T54)-SUM('членские взносы'!$M54:T54)</f>
        <v>0</v>
      </c>
      <c r="U53" s="85" t="n">
        <f aca="false">SUM('план на 2016'!$L54:U54)-SUM('членские взносы'!$M54:U54)</f>
        <v>0</v>
      </c>
      <c r="V53" s="85" t="n">
        <f aca="false">SUM('план на 2016'!$L54:V54)-SUM('членские взносы'!$M54:V54)</f>
        <v>800</v>
      </c>
      <c r="W53" s="85" t="n">
        <f aca="false">SUM('план на 2016'!$L54:W54)-SUM('членские взносы'!$M54:W54)</f>
        <v>-800</v>
      </c>
      <c r="X53" s="85" t="n">
        <f aca="false">SUM('план на 2016'!$L54:X54)-SUM('членские взносы'!$M54:X54)</f>
        <v>0</v>
      </c>
      <c r="Y53" s="59" t="n">
        <f aca="false">X53</f>
        <v>0</v>
      </c>
    </row>
    <row collapsed="false" customFormat="false" customHeight="false" hidden="false" ht="15" outlineLevel="0" r="54">
      <c r="A54" s="19" t="n">
        <f aca="false">VLOOKUP(B54,справочник!$B$2:$E$322,4,0)</f>
        <v>43</v>
      </c>
      <c r="B54" s="0" t="e">
        <f aca="false">CONCATENATE(C54;D54)</f>
        <v>#VALUE!</v>
      </c>
      <c r="C54" s="24" t="n">
        <v>43</v>
      </c>
      <c r="D54" s="29" t="s">
        <v>89</v>
      </c>
      <c r="E54" s="24" t="s">
        <v>421</v>
      </c>
      <c r="F54" s="30" t="n">
        <v>40786</v>
      </c>
      <c r="G54" s="30" t="n">
        <v>40787</v>
      </c>
      <c r="H54" s="31" t="n">
        <f aca="false">INT(($H$326-G54)/30)</f>
        <v>52</v>
      </c>
      <c r="I54" s="24" t="n">
        <f aca="false">H54*1000</f>
        <v>52000</v>
      </c>
      <c r="J54" s="31" t="n">
        <f aca="false">27000+2000</f>
        <v>29000</v>
      </c>
      <c r="K54" s="31"/>
      <c r="L54" s="59" t="n">
        <f aca="false">I54-J54-K54</f>
        <v>23000</v>
      </c>
      <c r="M54" s="85" t="n">
        <f aca="false">SUM('план на 2016'!$L55:M55)-SUM('членские взносы'!$M55:M55)</f>
        <v>23800</v>
      </c>
      <c r="N54" s="85" t="n">
        <f aca="false">SUM('план на 2016'!$L55:N55)-SUM('членские взносы'!$M55:N55)</f>
        <v>24600</v>
      </c>
      <c r="O54" s="85" t="n">
        <f aca="false">SUM('план на 2016'!$L55:O55)-SUM('членские взносы'!$M55:O55)</f>
        <v>25400</v>
      </c>
      <c r="P54" s="85" t="n">
        <f aca="false">SUM('план на 2016'!$L55:P55)-SUM('членские взносы'!$M55:P55)</f>
        <v>26200</v>
      </c>
      <c r="Q54" s="85" t="n">
        <f aca="false">SUM('план на 2016'!$L55:Q55)-SUM('членские взносы'!$M55:Q55)</f>
        <v>27000</v>
      </c>
      <c r="R54" s="85" t="n">
        <f aca="false">SUM('план на 2016'!$L55:R55)-SUM('членские взносы'!$M55:R55)</f>
        <v>25800</v>
      </c>
      <c r="S54" s="85" t="n">
        <f aca="false">SUM('план на 2016'!$L55:S55)-SUM('членские взносы'!$M55:S55)</f>
        <v>26600</v>
      </c>
      <c r="T54" s="85" t="n">
        <f aca="false">SUM('план на 2016'!$L55:T55)-SUM('членские взносы'!$M55:T55)</f>
        <v>25400</v>
      </c>
      <c r="U54" s="85" t="n">
        <f aca="false">SUM('план на 2016'!$L55:U55)-SUM('членские взносы'!$M55:U55)</f>
        <v>24200</v>
      </c>
      <c r="V54" s="85" t="n">
        <f aca="false">SUM('план на 2016'!$L55:V55)-SUM('членские взносы'!$M55:V55)</f>
        <v>25000</v>
      </c>
      <c r="W54" s="85" t="n">
        <f aca="false">SUM('план на 2016'!$L55:W55)-SUM('членские взносы'!$M55:W55)</f>
        <v>25800</v>
      </c>
      <c r="X54" s="85" t="n">
        <f aca="false">SUM('план на 2016'!$L55:X55)-SUM('членские взносы'!$M55:X55)</f>
        <v>26600</v>
      </c>
      <c r="Y54" s="59" t="n">
        <f aca="false">X54</f>
        <v>26600</v>
      </c>
    </row>
    <row collapsed="false" customFormat="false" customHeight="false" hidden="false" ht="15" outlineLevel="0" r="55">
      <c r="A55" s="19" t="n">
        <f aca="false">VLOOKUP(B55,справочник!$B$2:$E$322,4,0)</f>
        <v>25</v>
      </c>
      <c r="B55" s="0" t="e">
        <f aca="false">CONCATENATE(C55;D55)</f>
        <v>#VALUE!</v>
      </c>
      <c r="C55" s="24" t="n">
        <v>25</v>
      </c>
      <c r="D55" s="29" t="s">
        <v>310</v>
      </c>
      <c r="E55" s="24" t="s">
        <v>422</v>
      </c>
      <c r="F55" s="30" t="n">
        <v>40955</v>
      </c>
      <c r="G55" s="30" t="n">
        <v>40940</v>
      </c>
      <c r="H55" s="31" t="n">
        <f aca="false">INT(($H$326-G55)/30)</f>
        <v>47</v>
      </c>
      <c r="I55" s="24" t="n">
        <f aca="false">H55*1000</f>
        <v>47000</v>
      </c>
      <c r="J55" s="31" t="n">
        <f aca="false">33000+11000</f>
        <v>44000</v>
      </c>
      <c r="K55" s="31" t="n">
        <v>3000</v>
      </c>
      <c r="L55" s="59" t="n">
        <f aca="false">I55-J55-K55</f>
        <v>0</v>
      </c>
      <c r="M55" s="85" t="n">
        <f aca="false">SUM('план на 2016'!$L56:M56)-SUM('членские взносы'!$M56:M56)</f>
        <v>800</v>
      </c>
      <c r="N55" s="85" t="n">
        <f aca="false">SUM('план на 2016'!$L56:N56)-SUM('членские взносы'!$M56:N56)</f>
        <v>1600</v>
      </c>
      <c r="O55" s="85" t="n">
        <f aca="false">SUM('план на 2016'!$L56:O56)-SUM('членские взносы'!$M56:O56)</f>
        <v>-600</v>
      </c>
      <c r="P55" s="85" t="n">
        <f aca="false">SUM('план на 2016'!$L56:P56)-SUM('членские взносы'!$M56:P56)</f>
        <v>200</v>
      </c>
      <c r="Q55" s="85" t="n">
        <f aca="false">SUM('план на 2016'!$L56:Q56)-SUM('членские взносы'!$M56:Q56)</f>
        <v>-2000</v>
      </c>
      <c r="R55" s="85" t="n">
        <f aca="false">SUM('план на 2016'!$L56:R56)-SUM('членские взносы'!$M56:R56)</f>
        <v>-2000</v>
      </c>
      <c r="S55" s="85" t="n">
        <f aca="false">SUM('план на 2016'!$L56:S56)-SUM('членские взносы'!$M56:S56)</f>
        <v>-1200</v>
      </c>
      <c r="T55" s="85" t="n">
        <f aca="false">SUM('план на 2016'!$L56:T56)-SUM('членские взносы'!$M56:T56)</f>
        <v>-3400</v>
      </c>
      <c r="U55" s="85" t="n">
        <f aca="false">SUM('план на 2016'!$L56:U56)-SUM('членские взносы'!$M56:U56)</f>
        <v>-2600</v>
      </c>
      <c r="V55" s="85" t="n">
        <f aca="false">SUM('план на 2016'!$L56:V56)-SUM('членские взносы'!$M56:V56)</f>
        <v>-4800</v>
      </c>
      <c r="W55" s="85" t="n">
        <f aca="false">SUM('план на 2016'!$L56:W56)-SUM('членские взносы'!$M56:W56)</f>
        <v>-4000</v>
      </c>
      <c r="X55" s="85" t="n">
        <f aca="false">SUM('план на 2016'!$L56:X56)-SUM('членские взносы'!$M56:X56)</f>
        <v>-3200</v>
      </c>
      <c r="Y55" s="59" t="n">
        <f aca="false">X55</f>
        <v>-3200</v>
      </c>
    </row>
    <row collapsed="false" customFormat="false" customHeight="false" hidden="false" ht="15" outlineLevel="0" r="56">
      <c r="A56" s="19" t="n">
        <f aca="false">VLOOKUP(B56,справочник!$B$2:$E$322,4,0)</f>
        <v>138</v>
      </c>
      <c r="B56" s="0" t="e">
        <f aca="false">CONCATENATE(C56;D56)</f>
        <v>#VALUE!</v>
      </c>
      <c r="C56" s="24" t="n">
        <v>146</v>
      </c>
      <c r="D56" s="29" t="s">
        <v>302</v>
      </c>
      <c r="E56" s="24" t="s">
        <v>423</v>
      </c>
      <c r="F56" s="30" t="n">
        <v>40784</v>
      </c>
      <c r="G56" s="30" t="n">
        <v>40756</v>
      </c>
      <c r="H56" s="31" t="n">
        <f aca="false">INT(($H$326-G56)/30)</f>
        <v>53</v>
      </c>
      <c r="I56" s="24" t="n">
        <f aca="false">H56*1000</f>
        <v>53000</v>
      </c>
      <c r="J56" s="31" t="n">
        <f aca="false">53000</f>
        <v>53000</v>
      </c>
      <c r="K56" s="31"/>
      <c r="L56" s="59" t="n">
        <f aca="false">I56-J56-K56</f>
        <v>0</v>
      </c>
      <c r="M56" s="85" t="n">
        <f aca="false">SUM('план на 2016'!$L57:M57)-SUM('членские взносы'!$M57:M57)</f>
        <v>800</v>
      </c>
      <c r="N56" s="85" t="n">
        <f aca="false">SUM('план на 2016'!$L57:N57)-SUM('членские взносы'!$M57:N57)</f>
        <v>-1400</v>
      </c>
      <c r="O56" s="85" t="n">
        <f aca="false">SUM('план на 2016'!$L57:O57)-SUM('членские взносы'!$M57:O57)</f>
        <v>-600</v>
      </c>
      <c r="P56" s="85" t="n">
        <f aca="false">SUM('план на 2016'!$L57:P57)-SUM('членские взносы'!$M57:P57)</f>
        <v>200</v>
      </c>
      <c r="Q56" s="85" t="n">
        <f aca="false">SUM('план на 2016'!$L57:Q57)-SUM('членские взносы'!$M57:Q57)</f>
        <v>1000</v>
      </c>
      <c r="R56" s="85" t="n">
        <f aca="false">SUM('план на 2016'!$L57:R57)-SUM('членские взносы'!$M57:R57)</f>
        <v>-1100</v>
      </c>
      <c r="S56" s="85" t="n">
        <f aca="false">SUM('план на 2016'!$L57:S57)-SUM('членские взносы'!$M57:S57)</f>
        <v>-300</v>
      </c>
      <c r="T56" s="85" t="n">
        <f aca="false">SUM('план на 2016'!$L57:T57)-SUM('членские взносы'!$M57:T57)</f>
        <v>500</v>
      </c>
      <c r="U56" s="85" t="n">
        <f aca="false">SUM('план на 2016'!$L57:U57)-SUM('членские взносы'!$M57:U57)</f>
        <v>1300</v>
      </c>
      <c r="V56" s="85" t="n">
        <f aca="false">SUM('план на 2016'!$L57:V57)-SUM('членские взносы'!$M57:V57)</f>
        <v>2100</v>
      </c>
      <c r="W56" s="85" t="n">
        <f aca="false">SUM('план на 2016'!$L57:W57)-SUM('членские взносы'!$M57:W57)</f>
        <v>-2100</v>
      </c>
      <c r="X56" s="85" t="n">
        <f aca="false">SUM('план на 2016'!$L57:X57)-SUM('членские взносы'!$M57:X57)</f>
        <v>-1300</v>
      </c>
      <c r="Y56" s="59" t="n">
        <f aca="false">X56</f>
        <v>-1300</v>
      </c>
    </row>
    <row collapsed="false" customFormat="false" customHeight="false" hidden="false" ht="15" outlineLevel="0" r="57">
      <c r="A57" s="19" t="n">
        <f aca="false">VLOOKUP(B57,справочник!$B$2:$E$322,4,0)</f>
        <v>228</v>
      </c>
      <c r="B57" s="0" t="e">
        <f aca="false">CONCATENATE(C57;D57)</f>
        <v>#VALUE!</v>
      </c>
      <c r="C57" s="24" t="n">
        <v>237</v>
      </c>
      <c r="D57" s="29" t="s">
        <v>85</v>
      </c>
      <c r="E57" s="24" t="s">
        <v>424</v>
      </c>
      <c r="F57" s="30" t="n">
        <v>41703</v>
      </c>
      <c r="G57" s="30" t="n">
        <v>41730</v>
      </c>
      <c r="H57" s="31" t="n">
        <f aca="false">INT(($H$326-G57)/30)</f>
        <v>21</v>
      </c>
      <c r="I57" s="24" t="n">
        <f aca="false">H57*1000</f>
        <v>21000</v>
      </c>
      <c r="J57" s="31"/>
      <c r="K57" s="31"/>
      <c r="L57" s="59" t="n">
        <f aca="false">I57-J57-K57</f>
        <v>21000</v>
      </c>
      <c r="M57" s="85" t="n">
        <f aca="false">SUM('план на 2016'!$L58:M58)-SUM('членские взносы'!$M58:M58)</f>
        <v>21800</v>
      </c>
      <c r="N57" s="85" t="n">
        <f aca="false">SUM('план на 2016'!$L58:N58)-SUM('членские взносы'!$M58:N58)</f>
        <v>22600</v>
      </c>
      <c r="O57" s="85" t="n">
        <f aca="false">SUM('план на 2016'!$L58:O58)-SUM('членские взносы'!$M58:O58)</f>
        <v>23400</v>
      </c>
      <c r="P57" s="85" t="n">
        <f aca="false">SUM('план на 2016'!$L58:P58)-SUM('членские взносы'!$M58:P58)</f>
        <v>24200</v>
      </c>
      <c r="Q57" s="85" t="n">
        <f aca="false">SUM('план на 2016'!$L58:Q58)-SUM('членские взносы'!$M58:Q58)</f>
        <v>25000</v>
      </c>
      <c r="R57" s="85" t="n">
        <f aca="false">SUM('план на 2016'!$L58:R58)-SUM('членские взносы'!$M58:R58)</f>
        <v>25800</v>
      </c>
      <c r="S57" s="85" t="n">
        <f aca="false">SUM('план на 2016'!$L58:S58)-SUM('членские взносы'!$M58:S58)</f>
        <v>800</v>
      </c>
      <c r="T57" s="85" t="n">
        <f aca="false">SUM('план на 2016'!$L58:T58)-SUM('членские взносы'!$M58:T58)</f>
        <v>1600</v>
      </c>
      <c r="U57" s="85" t="n">
        <f aca="false">SUM('план на 2016'!$L58:U58)-SUM('членские взносы'!$M58:U58)</f>
        <v>2400</v>
      </c>
      <c r="V57" s="85" t="n">
        <f aca="false">SUM('план на 2016'!$L58:V58)-SUM('членские взносы'!$M58:V58)</f>
        <v>3200</v>
      </c>
      <c r="W57" s="85" t="n">
        <f aca="false">SUM('план на 2016'!$L58:W58)-SUM('членские взносы'!$M58:W58)</f>
        <v>4000</v>
      </c>
      <c r="X57" s="85" t="n">
        <f aca="false">SUM('план на 2016'!$L58:X58)-SUM('членские взносы'!$M58:X58)</f>
        <v>4800</v>
      </c>
      <c r="Y57" s="59" t="n">
        <f aca="false">X57</f>
        <v>4800</v>
      </c>
    </row>
    <row collapsed="false" customFormat="false" customHeight="false" hidden="false" ht="15" outlineLevel="0" r="58">
      <c r="A58" s="19" t="n">
        <f aca="false">VLOOKUP(B58,справочник!$B$2:$E$322,4,0)</f>
        <v>37</v>
      </c>
      <c r="B58" s="0" t="e">
        <f aca="false">CONCATENATE(C58;D58)</f>
        <v>#VALUE!</v>
      </c>
      <c r="C58" s="24" t="n">
        <v>37</v>
      </c>
      <c r="D58" s="29" t="s">
        <v>218</v>
      </c>
      <c r="E58" s="24" t="s">
        <v>425</v>
      </c>
      <c r="F58" s="30" t="n">
        <v>40795</v>
      </c>
      <c r="G58" s="30" t="n">
        <v>40787</v>
      </c>
      <c r="H58" s="31" t="n">
        <f aca="false">INT(($H$326-G58)/30)</f>
        <v>52</v>
      </c>
      <c r="I58" s="24" t="n">
        <f aca="false">H58*1000</f>
        <v>52000</v>
      </c>
      <c r="J58" s="31" t="n">
        <f aca="false">48000+4000</f>
        <v>52000</v>
      </c>
      <c r="K58" s="31"/>
      <c r="L58" s="59" t="n">
        <f aca="false">I58-J58-K58</f>
        <v>0</v>
      </c>
      <c r="M58" s="85" t="n">
        <f aca="false">SUM('план на 2016'!$L59:M59)-SUM('членские взносы'!$M59:M59)</f>
        <v>800</v>
      </c>
      <c r="N58" s="85" t="n">
        <f aca="false">SUM('план на 2016'!$L59:N59)-SUM('членские взносы'!$M59:N59)</f>
        <v>1600</v>
      </c>
      <c r="O58" s="85" t="n">
        <f aca="false">SUM('план на 2016'!$L59:O59)-SUM('членские взносы'!$M59:O59)</f>
        <v>2400</v>
      </c>
      <c r="P58" s="85" t="n">
        <f aca="false">SUM('план на 2016'!$L59:P59)-SUM('членские взносы'!$M59:P59)</f>
        <v>3200</v>
      </c>
      <c r="Q58" s="85" t="n">
        <f aca="false">SUM('план на 2016'!$L59:Q59)-SUM('членские взносы'!$M59:Q59)</f>
        <v>4000</v>
      </c>
      <c r="R58" s="85" t="n">
        <f aca="false">SUM('план на 2016'!$L59:R59)-SUM('членские взносы'!$M59:R59)</f>
        <v>4800</v>
      </c>
      <c r="S58" s="85" t="n">
        <f aca="false">SUM('план на 2016'!$L59:S59)-SUM('членские взносы'!$M59:S59)</f>
        <v>0</v>
      </c>
      <c r="T58" s="85" t="n">
        <f aca="false">SUM('план на 2016'!$L59:T59)-SUM('членские взносы'!$M59:T59)</f>
        <v>800</v>
      </c>
      <c r="U58" s="85" t="n">
        <f aca="false">SUM('план на 2016'!$L59:U59)-SUM('членские взносы'!$M59:U59)</f>
        <v>-2400</v>
      </c>
      <c r="V58" s="85" t="n">
        <f aca="false">SUM('план на 2016'!$L59:V59)-SUM('членские взносы'!$M59:V59)</f>
        <v>-1600</v>
      </c>
      <c r="W58" s="85" t="n">
        <f aca="false">SUM('план на 2016'!$L59:W59)-SUM('членские взносы'!$M59:W59)</f>
        <v>-800</v>
      </c>
      <c r="X58" s="85" t="n">
        <f aca="false">SUM('план на 2016'!$L59:X59)-SUM('членские взносы'!$M59:X59)</f>
        <v>0</v>
      </c>
      <c r="Y58" s="59" t="n">
        <f aca="false">X58</f>
        <v>0</v>
      </c>
    </row>
    <row collapsed="false" customFormat="false" customHeight="false" hidden="false" ht="15" outlineLevel="0" r="59">
      <c r="A59" s="19" t="n">
        <f aca="false">VLOOKUP(B59,справочник!$B$2:$E$322,4,0)</f>
        <v>126</v>
      </c>
      <c r="B59" s="0" t="e">
        <f aca="false">CONCATENATE(C59;D59)</f>
        <v>#VALUE!</v>
      </c>
      <c r="C59" s="24" t="n">
        <v>131</v>
      </c>
      <c r="D59" s="29" t="s">
        <v>244</v>
      </c>
      <c r="E59" s="24" t="s">
        <v>426</v>
      </c>
      <c r="F59" s="30" t="n">
        <v>41183</v>
      </c>
      <c r="G59" s="30" t="n">
        <v>41244</v>
      </c>
      <c r="H59" s="31" t="n">
        <f aca="false">INT(($H$326-G59)/30)</f>
        <v>37</v>
      </c>
      <c r="I59" s="24" t="n">
        <f aca="false">H59*1000</f>
        <v>37000</v>
      </c>
      <c r="J59" s="31" t="n">
        <f aca="false">24000</f>
        <v>24000</v>
      </c>
      <c r="K59" s="31" t="n">
        <v>13000</v>
      </c>
      <c r="L59" s="59" t="n">
        <f aca="false">I59-J59-K59</f>
        <v>0</v>
      </c>
      <c r="M59" s="85" t="n">
        <f aca="false">SUM('план на 2016'!$L60:M60)-SUM('членские взносы'!$M60:M60)</f>
        <v>800</v>
      </c>
      <c r="N59" s="85" t="n">
        <f aca="false">SUM('план на 2016'!$L60:N60)-SUM('членские взносы'!$M60:N60)</f>
        <v>1600</v>
      </c>
      <c r="O59" s="85" t="n">
        <f aca="false">SUM('план на 2016'!$L60:O60)-SUM('членские взносы'!$M60:O60)</f>
        <v>0</v>
      </c>
      <c r="P59" s="85" t="n">
        <f aca="false">SUM('план на 2016'!$L60:P60)-SUM('членские взносы'!$M60:P60)</f>
        <v>800</v>
      </c>
      <c r="Q59" s="85" t="n">
        <f aca="false">SUM('план на 2016'!$L60:Q60)-SUM('членские взносы'!$M60:Q60)</f>
        <v>1600</v>
      </c>
      <c r="R59" s="85" t="n">
        <f aca="false">SUM('план на 2016'!$L60:R60)-SUM('членские взносы'!$M60:R60)</f>
        <v>2400</v>
      </c>
      <c r="S59" s="85" t="n">
        <f aca="false">SUM('план на 2016'!$L60:S60)-SUM('членские взносы'!$M60:S60)</f>
        <v>3200</v>
      </c>
      <c r="T59" s="85" t="n">
        <f aca="false">SUM('план на 2016'!$L60:T60)-SUM('членские взносы'!$M60:T60)</f>
        <v>4000</v>
      </c>
      <c r="U59" s="85" t="n">
        <f aca="false">SUM('план на 2016'!$L60:U60)-SUM('членские взносы'!$M60:U60)</f>
        <v>4800</v>
      </c>
      <c r="V59" s="85" t="n">
        <f aca="false">SUM('план на 2016'!$L60:V60)-SUM('членские взносы'!$M60:V60)</f>
        <v>5600</v>
      </c>
      <c r="W59" s="85" t="n">
        <f aca="false">SUM('план на 2016'!$L60:W60)-SUM('членские взносы'!$M60:W60)</f>
        <v>6400</v>
      </c>
      <c r="X59" s="85" t="n">
        <f aca="false">SUM('план на 2016'!$L60:X60)-SUM('членские взносы'!$M60:X60)</f>
        <v>7200</v>
      </c>
      <c r="Y59" s="59" t="n">
        <f aca="false">X59</f>
        <v>7200</v>
      </c>
    </row>
    <row collapsed="false" customFormat="false" customHeight="false" hidden="false" ht="15" outlineLevel="0" r="60">
      <c r="A60" s="19" t="n">
        <f aca="false">VLOOKUP(B60,справочник!$B$2:$E$322,4,0)</f>
        <v>58</v>
      </c>
      <c r="B60" s="0" t="e">
        <f aca="false">CONCATENATE(C60;D60)</f>
        <v>#VALUE!</v>
      </c>
      <c r="C60" s="24" t="n">
        <v>60</v>
      </c>
      <c r="D60" s="29" t="s">
        <v>273</v>
      </c>
      <c r="E60" s="24" t="s">
        <v>427</v>
      </c>
      <c r="F60" s="30" t="n">
        <v>41303</v>
      </c>
      <c r="G60" s="30" t="n">
        <v>41306</v>
      </c>
      <c r="H60" s="31" t="n">
        <f aca="false">INT(($H$326-G60)/30)</f>
        <v>35</v>
      </c>
      <c r="I60" s="24" t="n">
        <f aca="false">H60*1000</f>
        <v>35000</v>
      </c>
      <c r="J60" s="31" t="n">
        <f aca="false">31000</f>
        <v>31000</v>
      </c>
      <c r="K60" s="31"/>
      <c r="L60" s="59" t="n">
        <f aca="false">I60-J60-K60</f>
        <v>4000</v>
      </c>
      <c r="M60" s="85" t="n">
        <f aca="false">SUM('план на 2016'!$L61:M61)-SUM('членские взносы'!$M61:M61)</f>
        <v>4800</v>
      </c>
      <c r="N60" s="85" t="n">
        <f aca="false">SUM('план на 2016'!$L61:N61)-SUM('членские взносы'!$M61:N61)</f>
        <v>5600</v>
      </c>
      <c r="O60" s="85" t="n">
        <f aca="false">SUM('план на 2016'!$L61:O61)-SUM('членские взносы'!$M61:O61)</f>
        <v>4000</v>
      </c>
      <c r="P60" s="85" t="n">
        <f aca="false">SUM('план на 2016'!$L61:P61)-SUM('членские взносы'!$M61:P61)</f>
        <v>4800</v>
      </c>
      <c r="Q60" s="85" t="n">
        <f aca="false">SUM('план на 2016'!$L61:Q61)-SUM('членские взносы'!$M61:Q61)</f>
        <v>5600</v>
      </c>
      <c r="R60" s="85" t="n">
        <f aca="false">SUM('план на 2016'!$L61:R61)-SUM('членские взносы'!$M61:R61)</f>
        <v>800</v>
      </c>
      <c r="S60" s="85" t="n">
        <f aca="false">SUM('план на 2016'!$L61:S61)-SUM('членские взносы'!$M61:S61)</f>
        <v>1600</v>
      </c>
      <c r="T60" s="85" t="n">
        <f aca="false">SUM('план на 2016'!$L61:T61)-SUM('членские взносы'!$M61:T61)</f>
        <v>2400</v>
      </c>
      <c r="U60" s="85" t="n">
        <f aca="false">SUM('план на 2016'!$L61:U61)-SUM('членские взносы'!$M61:U61)</f>
        <v>3200</v>
      </c>
      <c r="V60" s="85" t="n">
        <f aca="false">SUM('план на 2016'!$L61:V61)-SUM('членские взносы'!$M61:V61)</f>
        <v>4000</v>
      </c>
      <c r="W60" s="85" t="n">
        <f aca="false">SUM('план на 2016'!$L61:W61)-SUM('членские взносы'!$M61:W61)</f>
        <v>4800</v>
      </c>
      <c r="X60" s="85" t="n">
        <f aca="false">SUM('план на 2016'!$L61:X61)-SUM('членские взносы'!$M61:X61)</f>
        <v>5600</v>
      </c>
      <c r="Y60" s="59" t="n">
        <f aca="false">X60</f>
        <v>5600</v>
      </c>
    </row>
    <row collapsed="false" customFormat="false" customHeight="false" hidden="false" ht="15" outlineLevel="0" r="61">
      <c r="A61" s="19" t="n">
        <f aca="false">VLOOKUP(B61,справочник!$B$2:$E$322,4,0)</f>
        <v>117</v>
      </c>
      <c r="B61" s="0" t="e">
        <f aca="false">CONCATENATE(C61;D61)</f>
        <v>#VALUE!</v>
      </c>
      <c r="C61" s="24" t="n">
        <v>122</v>
      </c>
      <c r="D61" s="29" t="s">
        <v>100</v>
      </c>
      <c r="E61" s="24" t="s">
        <v>428</v>
      </c>
      <c r="F61" s="30" t="n">
        <v>41407</v>
      </c>
      <c r="G61" s="30" t="n">
        <v>41426</v>
      </c>
      <c r="H61" s="31" t="n">
        <f aca="false">INT(($H$326-G61)/30)</f>
        <v>31</v>
      </c>
      <c r="I61" s="24" t="n">
        <f aca="false">H61*1000</f>
        <v>31000</v>
      </c>
      <c r="J61" s="31" t="n">
        <f aca="false">12000</f>
        <v>12000</v>
      </c>
      <c r="K61" s="31"/>
      <c r="L61" s="59" t="n">
        <f aca="false">I61-J61-K61</f>
        <v>19000</v>
      </c>
      <c r="M61" s="85" t="n">
        <f aca="false">SUM('план на 2016'!$L62:M62)-SUM('членские взносы'!$M62:M62)</f>
        <v>19800</v>
      </c>
      <c r="N61" s="85" t="n">
        <f aca="false">SUM('план на 2016'!$L62:N62)-SUM('членские взносы'!$M62:N62)</f>
        <v>20600</v>
      </c>
      <c r="O61" s="85" t="n">
        <f aca="false">SUM('план на 2016'!$L62:O62)-SUM('членские взносы'!$M62:O62)</f>
        <v>21400</v>
      </c>
      <c r="P61" s="85" t="n">
        <f aca="false">SUM('план на 2016'!$L62:P62)-SUM('членские взносы'!$M62:P62)</f>
        <v>22200</v>
      </c>
      <c r="Q61" s="85" t="n">
        <f aca="false">SUM('план на 2016'!$L62:Q62)-SUM('членские взносы'!$M62:Q62)</f>
        <v>23000</v>
      </c>
      <c r="R61" s="85" t="n">
        <f aca="false">SUM('план на 2016'!$L62:R62)-SUM('членские взносы'!$M62:R62)</f>
        <v>23800</v>
      </c>
      <c r="S61" s="85" t="n">
        <f aca="false">SUM('план на 2016'!$L62:S62)-SUM('членские взносы'!$M62:S62)</f>
        <v>24600</v>
      </c>
      <c r="T61" s="85" t="n">
        <f aca="false">SUM('план на 2016'!$L62:T62)-SUM('членские взносы'!$M62:T62)</f>
        <v>25400</v>
      </c>
      <c r="U61" s="85" t="n">
        <f aca="false">SUM('план на 2016'!$L62:U62)-SUM('членские взносы'!$M62:U62)</f>
        <v>26200</v>
      </c>
      <c r="V61" s="85" t="n">
        <f aca="false">SUM('план на 2016'!$L62:V62)-SUM('членские взносы'!$M62:V62)</f>
        <v>27000</v>
      </c>
      <c r="W61" s="85" t="n">
        <f aca="false">SUM('план на 2016'!$L62:W62)-SUM('членские взносы'!$M62:W62)</f>
        <v>27800</v>
      </c>
      <c r="X61" s="85" t="n">
        <f aca="false">SUM('план на 2016'!$L62:X62)-SUM('членские взносы'!$M62:X62)</f>
        <v>28600</v>
      </c>
      <c r="Y61" s="59" t="n">
        <f aca="false">X61</f>
        <v>28600</v>
      </c>
    </row>
    <row collapsed="false" customFormat="false" customHeight="false" hidden="false" ht="15" outlineLevel="0" r="62">
      <c r="A62" s="19" t="n">
        <f aca="false">VLOOKUP(B62,справочник!$B$2:$E$322,4,0)</f>
        <v>61</v>
      </c>
      <c r="B62" s="0" t="e">
        <f aca="false">CONCATENATE(C62;D62)</f>
        <v>#VALUE!</v>
      </c>
      <c r="C62" s="24" t="n">
        <v>63</v>
      </c>
      <c r="D62" s="29" t="s">
        <v>88</v>
      </c>
      <c r="E62" s="24" t="s">
        <v>429</v>
      </c>
      <c r="F62" s="30" t="n">
        <v>40921</v>
      </c>
      <c r="G62" s="30" t="n">
        <v>40909</v>
      </c>
      <c r="H62" s="31" t="n">
        <f aca="false">INT(($H$326-G62)/30)</f>
        <v>48</v>
      </c>
      <c r="I62" s="24" t="n">
        <f aca="false">H62*1000</f>
        <v>48000</v>
      </c>
      <c r="J62" s="31" t="n">
        <f aca="false">27000</f>
        <v>27000</v>
      </c>
      <c r="K62" s="31"/>
      <c r="L62" s="59" t="n">
        <f aca="false">I62-J62-K62</f>
        <v>21000</v>
      </c>
      <c r="M62" s="85" t="n">
        <f aca="false">SUM('план на 2016'!$L63:M63)-SUM('членские взносы'!$M63:M63)</f>
        <v>21800</v>
      </c>
      <c r="N62" s="85" t="n">
        <f aca="false">SUM('план на 2016'!$L63:N63)-SUM('членские взносы'!$M63:N63)</f>
        <v>22600</v>
      </c>
      <c r="O62" s="85" t="n">
        <f aca="false">SUM('план на 2016'!$L63:O63)-SUM('членские взносы'!$M63:O63)</f>
        <v>23400</v>
      </c>
      <c r="P62" s="85" t="n">
        <f aca="false">SUM('план на 2016'!$L63:P63)-SUM('членские взносы'!$M63:P63)</f>
        <v>24200</v>
      </c>
      <c r="Q62" s="85" t="n">
        <f aca="false">SUM('план на 2016'!$L63:Q63)-SUM('членские взносы'!$M63:Q63)</f>
        <v>25000</v>
      </c>
      <c r="R62" s="85" t="n">
        <f aca="false">SUM('план на 2016'!$L63:R63)-SUM('членские взносы'!$M63:R63)</f>
        <v>25800</v>
      </c>
      <c r="S62" s="85" t="n">
        <f aca="false">SUM('план на 2016'!$L63:S63)-SUM('членские взносы'!$M63:S63)</f>
        <v>26600</v>
      </c>
      <c r="T62" s="85" t="n">
        <f aca="false">SUM('план на 2016'!$L63:T63)-SUM('членские взносы'!$M63:T63)</f>
        <v>27400</v>
      </c>
      <c r="U62" s="85" t="n">
        <f aca="false">SUM('план на 2016'!$L63:U63)-SUM('членские взносы'!$M63:U63)</f>
        <v>28200</v>
      </c>
      <c r="V62" s="85" t="n">
        <f aca="false">SUM('план на 2016'!$L63:V63)-SUM('членские взносы'!$M63:V63)</f>
        <v>29000</v>
      </c>
      <c r="W62" s="85" t="n">
        <f aca="false">SUM('план на 2016'!$L63:W63)-SUM('членские взносы'!$M63:W63)</f>
        <v>29800</v>
      </c>
      <c r="X62" s="85" t="n">
        <f aca="false">SUM('план на 2016'!$L63:X63)-SUM('членские взносы'!$M63:X63)</f>
        <v>30600</v>
      </c>
      <c r="Y62" s="59" t="n">
        <f aca="false">X62</f>
        <v>30600</v>
      </c>
    </row>
    <row collapsed="false" customFormat="false" customHeight="false" hidden="false" ht="15" outlineLevel="0" r="63">
      <c r="A63" s="19" t="n">
        <f aca="false">VLOOKUP(B63,справочник!$B$2:$E$322,4,0)</f>
        <v>294</v>
      </c>
      <c r="B63" s="0" t="e">
        <f aca="false">CONCATENATE(C63;D63)</f>
        <v>#VALUE!</v>
      </c>
      <c r="C63" s="24" t="n">
        <v>309</v>
      </c>
      <c r="D63" s="29" t="s">
        <v>316</v>
      </c>
      <c r="E63" s="24" t="s">
        <v>430</v>
      </c>
      <c r="F63" s="30" t="n">
        <v>40953</v>
      </c>
      <c r="G63" s="30" t="n">
        <v>40940</v>
      </c>
      <c r="H63" s="31" t="n">
        <f aca="false">INT(($H$326-G63)/30)</f>
        <v>47</v>
      </c>
      <c r="I63" s="24" t="n">
        <f aca="false">H63*1000</f>
        <v>47000</v>
      </c>
      <c r="J63" s="31" t="n">
        <v>47000</v>
      </c>
      <c r="K63" s="31"/>
      <c r="L63" s="59" t="n">
        <f aca="false">I63-J63-K63</f>
        <v>0</v>
      </c>
      <c r="M63" s="85" t="n">
        <f aca="false">SUM('план на 2016'!$L64:M64)-SUM('членские взносы'!$M64:M64)</f>
        <v>-8800</v>
      </c>
      <c r="N63" s="85" t="n">
        <f aca="false">SUM('план на 2016'!$L64:N64)-SUM('членские взносы'!$M64:N64)</f>
        <v>-8000</v>
      </c>
      <c r="O63" s="85" t="n">
        <f aca="false">SUM('план на 2016'!$L64:O64)-SUM('членские взносы'!$M64:O64)</f>
        <v>-7200</v>
      </c>
      <c r="P63" s="85" t="n">
        <f aca="false">SUM('план на 2016'!$L64:P64)-SUM('членские взносы'!$M64:P64)</f>
        <v>-6400</v>
      </c>
      <c r="Q63" s="85" t="n">
        <f aca="false">SUM('план на 2016'!$L64:Q64)-SUM('членские взносы'!$M64:Q64)</f>
        <v>-5600</v>
      </c>
      <c r="R63" s="85" t="n">
        <f aca="false">SUM('план на 2016'!$L64:R64)-SUM('членские взносы'!$M64:R64)</f>
        <v>-4800</v>
      </c>
      <c r="S63" s="85" t="n">
        <f aca="false">SUM('план на 2016'!$L64:S64)-SUM('членские взносы'!$M64:S64)</f>
        <v>-4000</v>
      </c>
      <c r="T63" s="85" t="n">
        <f aca="false">SUM('план на 2016'!$L64:T64)-SUM('членские взносы'!$M64:T64)</f>
        <v>-3200</v>
      </c>
      <c r="U63" s="85" t="n">
        <f aca="false">SUM('план на 2016'!$L64:U64)-SUM('членские взносы'!$M64:U64)</f>
        <v>-2400</v>
      </c>
      <c r="V63" s="85" t="n">
        <f aca="false">SUM('план на 2016'!$L64:V64)-SUM('членские взносы'!$M64:V64)</f>
        <v>-1600</v>
      </c>
      <c r="W63" s="85" t="n">
        <f aca="false">SUM('план на 2016'!$L64:W64)-SUM('членские взносы'!$M64:W64)</f>
        <v>-800</v>
      </c>
      <c r="X63" s="85" t="n">
        <f aca="false">SUM('план на 2016'!$L64:X64)-SUM('членские взносы'!$M64:X64)</f>
        <v>0</v>
      </c>
      <c r="Y63" s="59" t="n">
        <f aca="false">X63</f>
        <v>0</v>
      </c>
    </row>
    <row collapsed="false" customFormat="false" customHeight="false" hidden="false" ht="15" outlineLevel="0" r="64">
      <c r="A64" s="19" t="n">
        <f aca="false">VLOOKUP(B64,справочник!$B$2:$E$322,4,0)</f>
        <v>286</v>
      </c>
      <c r="B64" s="0" t="e">
        <f aca="false">CONCATENATE(C64;D64)</f>
        <v>#VALUE!</v>
      </c>
      <c r="C64" s="24" t="n">
        <v>298</v>
      </c>
      <c r="D64" s="29" t="s">
        <v>320</v>
      </c>
      <c r="E64" s="24" t="s">
        <v>431</v>
      </c>
      <c r="F64" s="30" t="n">
        <v>41791</v>
      </c>
      <c r="G64" s="30" t="n">
        <v>41791</v>
      </c>
      <c r="H64" s="31" t="n">
        <f aca="false">INT(($H$326-G64)/30)</f>
        <v>19</v>
      </c>
      <c r="I64" s="24" t="n">
        <f aca="false">H64*1000</f>
        <v>19000</v>
      </c>
      <c r="J64" s="31" t="n">
        <v>19000</v>
      </c>
      <c r="K64" s="31"/>
      <c r="L64" s="59" t="n">
        <f aca="false">I64-J64-K64</f>
        <v>0</v>
      </c>
      <c r="M64" s="85" t="n">
        <f aca="false">SUM('план на 2016'!$L65:M65)-SUM('членские взносы'!$M65:M65)</f>
        <v>800</v>
      </c>
      <c r="N64" s="85" t="n">
        <f aca="false">SUM('план на 2016'!$L65:N65)-SUM('членские взносы'!$M65:N65)</f>
        <v>-6400</v>
      </c>
      <c r="O64" s="85" t="n">
        <f aca="false">SUM('план на 2016'!$L65:O65)-SUM('членские взносы'!$M65:O65)</f>
        <v>-5600</v>
      </c>
      <c r="P64" s="85" t="n">
        <f aca="false">SUM('план на 2016'!$L65:P65)-SUM('членские взносы'!$M65:P65)</f>
        <v>-4800</v>
      </c>
      <c r="Q64" s="85" t="n">
        <f aca="false">SUM('план на 2016'!$L65:Q65)-SUM('членские взносы'!$M65:Q65)</f>
        <v>-4000</v>
      </c>
      <c r="R64" s="85" t="n">
        <f aca="false">SUM('план на 2016'!$L65:R65)-SUM('членские взносы'!$M65:R65)</f>
        <v>-7200</v>
      </c>
      <c r="S64" s="85" t="n">
        <f aca="false">SUM('план на 2016'!$L65:S65)-SUM('членские взносы'!$M65:S65)</f>
        <v>-9400</v>
      </c>
      <c r="T64" s="85" t="n">
        <f aca="false">SUM('план на 2016'!$L65:T65)-SUM('членские взносы'!$M65:T65)</f>
        <v>-8600</v>
      </c>
      <c r="U64" s="85" t="n">
        <f aca="false">SUM('план на 2016'!$L65:U65)-SUM('членские взносы'!$M65:U65)</f>
        <v>-7800</v>
      </c>
      <c r="V64" s="85" t="n">
        <f aca="false">SUM('план на 2016'!$L65:V65)-SUM('членские взносы'!$M65:V65)</f>
        <v>-7000</v>
      </c>
      <c r="W64" s="85" t="n">
        <f aca="false">SUM('план на 2016'!$L65:W65)-SUM('членские взносы'!$M65:W65)</f>
        <v>-6200</v>
      </c>
      <c r="X64" s="85" t="n">
        <f aca="false">SUM('план на 2016'!$L65:X65)-SUM('членские взносы'!$M65:X65)</f>
        <v>-11400</v>
      </c>
      <c r="Y64" s="59" t="n">
        <f aca="false">X64</f>
        <v>-11400</v>
      </c>
    </row>
    <row collapsed="false" customFormat="false" customHeight="false" hidden="false" ht="15" outlineLevel="0" r="65">
      <c r="A65" s="19" t="n">
        <f aca="false">VLOOKUP(B65,справочник!$B$2:$E$322,4,0)</f>
        <v>64</v>
      </c>
      <c r="B65" s="0" t="e">
        <f aca="false">CONCATENATE(C65;D65)</f>
        <v>#VALUE!</v>
      </c>
      <c r="C65" s="24" t="n">
        <v>66</v>
      </c>
      <c r="D65" s="29" t="s">
        <v>204</v>
      </c>
      <c r="E65" s="24" t="s">
        <v>432</v>
      </c>
      <c r="F65" s="30" t="n">
        <v>40772</v>
      </c>
      <c r="G65" s="30" t="n">
        <v>40756</v>
      </c>
      <c r="H65" s="31" t="n">
        <f aca="false">INT(($H$326-G65)/30)</f>
        <v>53</v>
      </c>
      <c r="I65" s="24" t="n">
        <f aca="false">H65*1000</f>
        <v>53000</v>
      </c>
      <c r="J65" s="31" t="n">
        <f aca="false">1000+45000</f>
        <v>46000</v>
      </c>
      <c r="K65" s="31"/>
      <c r="L65" s="59" t="n">
        <f aca="false">I65-J65-K65</f>
        <v>7000</v>
      </c>
      <c r="M65" s="85" t="n">
        <f aca="false">SUM('план на 2016'!$L66:M66)-SUM('членские взносы'!$M66:M66)</f>
        <v>4800</v>
      </c>
      <c r="N65" s="85" t="n">
        <f aca="false">SUM('план на 2016'!$L66:N66)-SUM('членские взносы'!$M66:N66)</f>
        <v>5600</v>
      </c>
      <c r="O65" s="85" t="n">
        <f aca="false">SUM('план на 2016'!$L66:O66)-SUM('членские взносы'!$M66:O66)</f>
        <v>4800</v>
      </c>
      <c r="P65" s="85" t="n">
        <f aca="false">SUM('план на 2016'!$L66:P66)-SUM('членские взносы'!$M66:P66)</f>
        <v>5600</v>
      </c>
      <c r="Q65" s="85" t="n">
        <f aca="false">SUM('план на 2016'!$L66:Q66)-SUM('членские взносы'!$M66:Q66)</f>
        <v>6400</v>
      </c>
      <c r="R65" s="85" t="n">
        <f aca="false">SUM('план на 2016'!$L66:R66)-SUM('членские взносы'!$M66:R66)</f>
        <v>5600</v>
      </c>
      <c r="S65" s="85" t="n">
        <f aca="false">SUM('план на 2016'!$L66:S66)-SUM('членские взносы'!$M66:S66)</f>
        <v>2400</v>
      </c>
      <c r="T65" s="85" t="n">
        <f aca="false">SUM('план на 2016'!$L66:T66)-SUM('членские взносы'!$M66:T66)</f>
        <v>3200</v>
      </c>
      <c r="U65" s="85" t="n">
        <f aca="false">SUM('план на 2016'!$L66:U66)-SUM('членские взносы'!$M66:U66)</f>
        <v>3200</v>
      </c>
      <c r="V65" s="85" t="n">
        <f aca="false">SUM('план на 2016'!$L66:V66)-SUM('членские взносы'!$M66:V66)</f>
        <v>3200</v>
      </c>
      <c r="W65" s="85" t="n">
        <f aca="false">SUM('план на 2016'!$L66:W66)-SUM('членские взносы'!$M66:W66)</f>
        <v>3200</v>
      </c>
      <c r="X65" s="85" t="n">
        <f aca="false">SUM('план на 2016'!$L66:X66)-SUM('членские взносы'!$M66:X66)</f>
        <v>2400</v>
      </c>
      <c r="Y65" s="59" t="n">
        <f aca="false">X65</f>
        <v>2400</v>
      </c>
    </row>
    <row collapsed="false" customFormat="false" customHeight="false" hidden="false" ht="15" outlineLevel="0" r="66">
      <c r="A66" s="19" t="n">
        <f aca="false">VLOOKUP(B66,справочник!$B$2:$E$322,4,0)</f>
        <v>94</v>
      </c>
      <c r="B66" s="0" t="e">
        <f aca="false">CONCATENATE(C66;D66)</f>
        <v>#VALUE!</v>
      </c>
      <c r="C66" s="24" t="n">
        <v>99</v>
      </c>
      <c r="D66" s="29" t="s">
        <v>173</v>
      </c>
      <c r="E66" s="24" t="s">
        <v>433</v>
      </c>
      <c r="F66" s="30" t="n">
        <v>40774</v>
      </c>
      <c r="G66" s="30" t="n">
        <v>40756</v>
      </c>
      <c r="H66" s="31" t="n">
        <f aca="false">INT(($H$326-G66)/30)</f>
        <v>53</v>
      </c>
      <c r="I66" s="24" t="n">
        <f aca="false">H66*1000</f>
        <v>53000</v>
      </c>
      <c r="J66" s="31" t="n">
        <f aca="false">42000+5000</f>
        <v>47000</v>
      </c>
      <c r="K66" s="31"/>
      <c r="L66" s="59" t="n">
        <f aca="false">I66-J66-K66</f>
        <v>6000</v>
      </c>
      <c r="M66" s="85" t="n">
        <f aca="false">SUM('план на 2016'!$L67:M67)-SUM('членские взносы'!$M67:M67)</f>
        <v>6800</v>
      </c>
      <c r="N66" s="85" t="n">
        <f aca="false">SUM('план на 2016'!$L67:N67)-SUM('членские взносы'!$M67:N67)</f>
        <v>7600</v>
      </c>
      <c r="O66" s="85" t="n">
        <f aca="false">SUM('план на 2016'!$L67:O67)-SUM('членские взносы'!$M67:O67)</f>
        <v>8400</v>
      </c>
      <c r="P66" s="85" t="n">
        <f aca="false">SUM('план на 2016'!$L67:P67)-SUM('членские взносы'!$M67:P67)</f>
        <v>9200</v>
      </c>
      <c r="Q66" s="85" t="n">
        <f aca="false">SUM('план на 2016'!$L67:Q67)-SUM('членские взносы'!$M67:Q67)</f>
        <v>10000</v>
      </c>
      <c r="R66" s="85" t="n">
        <f aca="false">SUM('план на 2016'!$L67:R67)-SUM('членские взносы'!$M67:R67)</f>
        <v>10800</v>
      </c>
      <c r="S66" s="85" t="n">
        <f aca="false">SUM('план на 2016'!$L67:S67)-SUM('членские взносы'!$M67:S67)</f>
        <v>11600</v>
      </c>
      <c r="T66" s="85" t="n">
        <f aca="false">SUM('план на 2016'!$L67:T67)-SUM('членские взносы'!$M67:T67)</f>
        <v>12400</v>
      </c>
      <c r="U66" s="85" t="n">
        <f aca="false">SUM('план на 2016'!$L67:U67)-SUM('членские взносы'!$M67:U67)</f>
        <v>13200</v>
      </c>
      <c r="V66" s="85" t="n">
        <f aca="false">SUM('план на 2016'!$L67:V67)-SUM('членские взносы'!$M67:V67)</f>
        <v>14000</v>
      </c>
      <c r="W66" s="85" t="n">
        <f aca="false">SUM('план на 2016'!$L67:W67)-SUM('членские взносы'!$M67:W67)</f>
        <v>14800</v>
      </c>
      <c r="X66" s="85" t="n">
        <f aca="false">SUM('план на 2016'!$L67:X67)-SUM('членские взносы'!$M67:X67)</f>
        <v>15600</v>
      </c>
      <c r="Y66" s="59" t="n">
        <f aca="false">X66</f>
        <v>15600</v>
      </c>
    </row>
    <row collapsed="false" customFormat="false" customHeight="false" hidden="false" ht="15" outlineLevel="0" r="67">
      <c r="A67" s="19" t="n">
        <f aca="false">VLOOKUP(B67,справочник!$B$2:$E$322,4,0)</f>
        <v>39</v>
      </c>
      <c r="B67" s="0" t="e">
        <f aca="false">CONCATENATE(C67;D67)</f>
        <v>#VALUE!</v>
      </c>
      <c r="C67" s="24" t="n">
        <v>39</v>
      </c>
      <c r="D67" s="29" t="s">
        <v>140</v>
      </c>
      <c r="E67" s="24" t="s">
        <v>434</v>
      </c>
      <c r="F67" s="30" t="n">
        <v>40698</v>
      </c>
      <c r="G67" s="30" t="n">
        <v>40695</v>
      </c>
      <c r="H67" s="31" t="n">
        <f aca="false">INT(($H$326-G67)/30)</f>
        <v>55</v>
      </c>
      <c r="I67" s="24" t="n">
        <f aca="false">H67*1000</f>
        <v>55000</v>
      </c>
      <c r="J67" s="31" t="n">
        <f aca="false">1000+42000</f>
        <v>43000</v>
      </c>
      <c r="K67" s="31"/>
      <c r="L67" s="59" t="n">
        <f aca="false">I67-J67-K67</f>
        <v>12000</v>
      </c>
      <c r="M67" s="85" t="n">
        <f aca="false">SUM('план на 2016'!$L68:M68)-SUM('членские взносы'!$M68:M68)</f>
        <v>12800</v>
      </c>
      <c r="N67" s="85" t="n">
        <f aca="false">SUM('план на 2016'!$L68:N68)-SUM('членские взносы'!$M68:N68)</f>
        <v>13600</v>
      </c>
      <c r="O67" s="85" t="n">
        <f aca="false">SUM('план на 2016'!$L68:O68)-SUM('членские взносы'!$M68:O68)</f>
        <v>14400</v>
      </c>
      <c r="P67" s="85" t="n">
        <f aca="false">SUM('план на 2016'!$L68:P68)-SUM('членские взносы'!$M68:P68)</f>
        <v>15200</v>
      </c>
      <c r="Q67" s="85" t="n">
        <f aca="false">SUM('план на 2016'!$L68:Q68)-SUM('членские взносы'!$M68:Q68)</f>
        <v>16000</v>
      </c>
      <c r="R67" s="85" t="n">
        <f aca="false">SUM('план на 2016'!$L68:R68)-SUM('членские взносы'!$M68:R68)</f>
        <v>16800</v>
      </c>
      <c r="S67" s="85" t="n">
        <f aca="false">SUM('план на 2016'!$L68:S68)-SUM('членские взносы'!$M68:S68)</f>
        <v>17600</v>
      </c>
      <c r="T67" s="85" t="n">
        <f aca="false">SUM('план на 2016'!$L68:T68)-SUM('членские взносы'!$M68:T68)</f>
        <v>18400</v>
      </c>
      <c r="U67" s="85" t="n">
        <f aca="false">SUM('план на 2016'!$L68:U68)-SUM('членские взносы'!$M68:U68)</f>
        <v>9600</v>
      </c>
      <c r="V67" s="85" t="n">
        <f aca="false">SUM('план на 2016'!$L68:V68)-SUM('членские взносы'!$M68:V68)</f>
        <v>10400</v>
      </c>
      <c r="W67" s="85" t="n">
        <f aca="false">SUM('план на 2016'!$L68:W68)-SUM('членские взносы'!$M68:W68)</f>
        <v>11200</v>
      </c>
      <c r="X67" s="85" t="n">
        <f aca="false">SUM('план на 2016'!$L68:X68)-SUM('членские взносы'!$M68:X68)</f>
        <v>12000</v>
      </c>
      <c r="Y67" s="59" t="n">
        <f aca="false">X67</f>
        <v>12000</v>
      </c>
    </row>
    <row collapsed="false" customFormat="false" customHeight="false" hidden="false" ht="15" outlineLevel="0" r="68">
      <c r="A68" s="19" t="n">
        <f aca="false">VLOOKUP(B68,справочник!$B$2:$E$322,4,0)</f>
        <v>276</v>
      </c>
      <c r="B68" s="0" t="e">
        <f aca="false">CONCATENATE(C68;D68)</f>
        <v>#VALUE!</v>
      </c>
      <c r="C68" s="24" t="n">
        <v>289</v>
      </c>
      <c r="D68" s="29" t="s">
        <v>317</v>
      </c>
      <c r="E68" s="24" t="s">
        <v>435</v>
      </c>
      <c r="F68" s="30" t="n">
        <v>40890</v>
      </c>
      <c r="G68" s="30" t="n">
        <v>40878</v>
      </c>
      <c r="H68" s="31" t="n">
        <f aca="false">INT(($H$326-G68)/30)</f>
        <v>49</v>
      </c>
      <c r="I68" s="24" t="n">
        <f aca="false">H68*1000</f>
        <v>49000</v>
      </c>
      <c r="J68" s="31" t="n">
        <f aca="false">1000+36000</f>
        <v>37000</v>
      </c>
      <c r="K68" s="31"/>
      <c r="L68" s="59" t="n">
        <f aca="false">I68-J68-K68</f>
        <v>12000</v>
      </c>
      <c r="M68" s="85" t="n">
        <f aca="false">SUM('план на 2016'!$L69:M69)-SUM('членские взносы'!$M69:M69)</f>
        <v>12800</v>
      </c>
      <c r="N68" s="85" t="n">
        <f aca="false">SUM('план на 2016'!$L69:N69)-SUM('членские взносы'!$M69:N69)</f>
        <v>13600</v>
      </c>
      <c r="O68" s="85" t="n">
        <f aca="false">SUM('план на 2016'!$L69:O69)-SUM('членские взносы'!$M69:O69)</f>
        <v>14400</v>
      </c>
      <c r="P68" s="85" t="n">
        <f aca="false">SUM('план на 2016'!$L69:P69)-SUM('членские взносы'!$M69:P69)</f>
        <v>15200</v>
      </c>
      <c r="Q68" s="85" t="n">
        <f aca="false">SUM('план на 2016'!$L69:Q69)-SUM('членские взносы'!$M69:Q69)</f>
        <v>16000</v>
      </c>
      <c r="R68" s="85" t="n">
        <f aca="false">SUM('план на 2016'!$L69:R69)-SUM('членские взносы'!$M69:R69)</f>
        <v>-4800</v>
      </c>
      <c r="S68" s="85" t="n">
        <f aca="false">SUM('план на 2016'!$L69:S69)-SUM('членские взносы'!$M69:S69)</f>
        <v>-4000</v>
      </c>
      <c r="T68" s="85" t="n">
        <f aca="false">SUM('план на 2016'!$L69:T69)-SUM('членские взносы'!$M69:T69)</f>
        <v>-3200</v>
      </c>
      <c r="U68" s="85" t="n">
        <f aca="false">SUM('план на 2016'!$L69:U69)-SUM('членские взносы'!$M69:U69)</f>
        <v>-2400</v>
      </c>
      <c r="V68" s="85" t="n">
        <f aca="false">SUM('план на 2016'!$L69:V69)-SUM('членские взносы'!$M69:V69)</f>
        <v>-1600</v>
      </c>
      <c r="W68" s="85" t="n">
        <f aca="false">SUM('план на 2016'!$L69:W69)-SUM('членские взносы'!$M69:W69)</f>
        <v>-800</v>
      </c>
      <c r="X68" s="85" t="n">
        <f aca="false">SUM('план на 2016'!$L69:X69)-SUM('членские взносы'!$M69:X69)</f>
        <v>0</v>
      </c>
      <c r="Y68" s="59" t="n">
        <f aca="false">X68</f>
        <v>0</v>
      </c>
    </row>
    <row collapsed="false" customFormat="false" customHeight="false" hidden="false" ht="15" outlineLevel="0" r="69">
      <c r="A69" s="19" t="n">
        <f aca="false">VLOOKUP(B69,справочник!$B$2:$E$322,4,0)</f>
        <v>148</v>
      </c>
      <c r="B69" s="0" t="e">
        <f aca="false">CONCATENATE(C69;D69)</f>
        <v>#VALUE!</v>
      </c>
      <c r="C69" s="24" t="n">
        <v>156</v>
      </c>
      <c r="D69" s="29" t="s">
        <v>67</v>
      </c>
      <c r="E69" s="24" t="s">
        <v>436</v>
      </c>
      <c r="F69" s="30" t="n">
        <v>41008</v>
      </c>
      <c r="G69" s="30" t="n">
        <v>41000</v>
      </c>
      <c r="H69" s="31" t="n">
        <f aca="false">INT(($H$326-G69)/30)</f>
        <v>45</v>
      </c>
      <c r="I69" s="24" t="n">
        <f aca="false">H69*1000</f>
        <v>45000</v>
      </c>
      <c r="J69" s="31" t="n">
        <f aca="false">12000</f>
        <v>12000</v>
      </c>
      <c r="K69" s="31"/>
      <c r="L69" s="59" t="n">
        <f aca="false">I69-J69-K69</f>
        <v>33000</v>
      </c>
      <c r="M69" s="85" t="n">
        <f aca="false">SUM('план на 2016'!$L70:M70)-SUM('членские взносы'!$M70:M70)</f>
        <v>33800</v>
      </c>
      <c r="N69" s="85" t="n">
        <f aca="false">SUM('план на 2016'!$L70:N70)-SUM('членские взносы'!$M70:N70)</f>
        <v>32800</v>
      </c>
      <c r="O69" s="85" t="n">
        <f aca="false">SUM('план на 2016'!$L70:O70)-SUM('членские взносы'!$M70:O70)</f>
        <v>31800</v>
      </c>
      <c r="P69" s="85" t="n">
        <f aca="false">SUM('план на 2016'!$L70:P70)-SUM('членские взносы'!$M70:P70)</f>
        <v>30800</v>
      </c>
      <c r="Q69" s="85" t="n">
        <f aca="false">SUM('план на 2016'!$L70:Q70)-SUM('членские взносы'!$M70:Q70)</f>
        <v>31600</v>
      </c>
      <c r="R69" s="85" t="n">
        <f aca="false">SUM('план на 2016'!$L70:R70)-SUM('членские взносы'!$M70:R70)</f>
        <v>32400</v>
      </c>
      <c r="S69" s="85" t="n">
        <f aca="false">SUM('план на 2016'!$L70:S70)-SUM('членские взносы'!$M70:S70)</f>
        <v>33200</v>
      </c>
      <c r="T69" s="85" t="n">
        <f aca="false">SUM('план на 2016'!$L70:T70)-SUM('членские взносы'!$M70:T70)</f>
        <v>34000</v>
      </c>
      <c r="U69" s="85" t="n">
        <f aca="false">SUM('план на 2016'!$L70:U70)-SUM('членские взносы'!$M70:U70)</f>
        <v>34800</v>
      </c>
      <c r="V69" s="85" t="n">
        <f aca="false">SUM('план на 2016'!$L70:V70)-SUM('членские взносы'!$M70:V70)</f>
        <v>35600</v>
      </c>
      <c r="W69" s="85" t="n">
        <f aca="false">SUM('план на 2016'!$L70:W70)-SUM('членские взносы'!$M70:W70)</f>
        <v>36400</v>
      </c>
      <c r="X69" s="85" t="n">
        <f aca="false">SUM('план на 2016'!$L70:X70)-SUM('членские взносы'!$M70:X70)</f>
        <v>37200</v>
      </c>
      <c r="Y69" s="59" t="n">
        <f aca="false">X69</f>
        <v>37200</v>
      </c>
    </row>
    <row collapsed="false" customFormat="false" customHeight="false" hidden="false" ht="15" outlineLevel="0" r="70">
      <c r="A70" s="19" t="n">
        <f aca="false">VLOOKUP(B70,справочник!$B$2:$E$322,4,0)</f>
        <v>308</v>
      </c>
      <c r="B70" s="0" t="e">
        <f aca="false">CONCATENATE(C70;D70)</f>
        <v>#VALUE!</v>
      </c>
      <c r="C70" s="24" t="n">
        <v>323</v>
      </c>
      <c r="D70" s="29" t="s">
        <v>163</v>
      </c>
      <c r="E70" s="24" t="s">
        <v>437</v>
      </c>
      <c r="F70" s="30" t="n">
        <v>42025</v>
      </c>
      <c r="G70" s="30" t="n">
        <v>42036</v>
      </c>
      <c r="H70" s="31" t="n">
        <f aca="false">INT(($H$326-G70)/30)</f>
        <v>11</v>
      </c>
      <c r="I70" s="24" t="n">
        <f aca="false">H70*1000</f>
        <v>11000</v>
      </c>
      <c r="J70" s="31" t="n">
        <v>3000</v>
      </c>
      <c r="K70" s="31"/>
      <c r="L70" s="59" t="n">
        <f aca="false">I70-J70-K70</f>
        <v>8000</v>
      </c>
      <c r="M70" s="85" t="n">
        <f aca="false">SUM('план на 2016'!$L71:M71)-SUM('членские взносы'!$M71:M71)</f>
        <v>8800</v>
      </c>
      <c r="N70" s="85" t="n">
        <f aca="false">SUM('план на 2016'!$L71:N71)-SUM('членские взносы'!$M71:N71)</f>
        <v>9600</v>
      </c>
      <c r="O70" s="85" t="n">
        <f aca="false">SUM('план на 2016'!$L71:O71)-SUM('членские взносы'!$M71:O71)</f>
        <v>10400</v>
      </c>
      <c r="P70" s="85" t="n">
        <f aca="false">SUM('план на 2016'!$L71:P71)-SUM('членские взносы'!$M71:P71)</f>
        <v>11200</v>
      </c>
      <c r="Q70" s="85" t="n">
        <f aca="false">SUM('план на 2016'!$L71:Q71)-SUM('членские взносы'!$M71:Q71)</f>
        <v>12000</v>
      </c>
      <c r="R70" s="85" t="n">
        <f aca="false">SUM('план на 2016'!$L71:R71)-SUM('членские взносы'!$M71:R71)</f>
        <v>12800</v>
      </c>
      <c r="S70" s="85" t="n">
        <f aca="false">SUM('план на 2016'!$L71:S71)-SUM('членские взносы'!$M71:S71)</f>
        <v>8800</v>
      </c>
      <c r="T70" s="85" t="n">
        <f aca="false">SUM('план на 2016'!$L71:T71)-SUM('членские взносы'!$M71:T71)</f>
        <v>9600</v>
      </c>
      <c r="U70" s="85" t="n">
        <f aca="false">SUM('план на 2016'!$L71:U71)-SUM('членские взносы'!$M71:U71)</f>
        <v>10400</v>
      </c>
      <c r="V70" s="85" t="n">
        <f aca="false">SUM('план на 2016'!$L71:V71)-SUM('членские взносы'!$M71:V71)</f>
        <v>11200</v>
      </c>
      <c r="W70" s="85" t="n">
        <f aca="false">SUM('план на 2016'!$L71:W71)-SUM('членские взносы'!$M71:W71)</f>
        <v>12000</v>
      </c>
      <c r="X70" s="85" t="n">
        <f aca="false">SUM('план на 2016'!$L71:X71)-SUM('членские взносы'!$M71:X71)</f>
        <v>12800</v>
      </c>
      <c r="Y70" s="59" t="n">
        <f aca="false">X70</f>
        <v>12800</v>
      </c>
    </row>
    <row collapsed="false" customFormat="false" customHeight="false" hidden="false" ht="15" outlineLevel="0" r="71">
      <c r="A71" s="19" t="n">
        <f aca="false">VLOOKUP(B71,справочник!$B$2:$E$322,4,0)</f>
        <v>318</v>
      </c>
      <c r="B71" s="0" t="e">
        <f aca="false">CONCATENATE(C71;D71)</f>
        <v>#VALUE!</v>
      </c>
      <c r="C71" s="24" t="s">
        <v>438</v>
      </c>
      <c r="D71" s="29" t="s">
        <v>315</v>
      </c>
      <c r="E71" s="24" t="s">
        <v>439</v>
      </c>
      <c r="F71" s="30" t="n">
        <v>40694</v>
      </c>
      <c r="G71" s="30" t="n">
        <v>40725</v>
      </c>
      <c r="H71" s="31" t="n">
        <f aca="false">INT(($H$326-G71)/30)</f>
        <v>54</v>
      </c>
      <c r="I71" s="24" t="n">
        <f aca="false">H71*1000*2</f>
        <v>108000</v>
      </c>
      <c r="J71" s="31" t="n">
        <f aca="false">2000+102000</f>
        <v>104000</v>
      </c>
      <c r="K71" s="31" t="n">
        <v>4000</v>
      </c>
      <c r="L71" s="60" t="n">
        <f aca="false">I71-J71-K71</f>
        <v>0</v>
      </c>
      <c r="M71" s="85" t="n">
        <f aca="false">SUM('план на 2016'!$L72:M72)-SUM('членские взносы'!$M72:M72)</f>
        <v>800</v>
      </c>
      <c r="N71" s="85" t="n">
        <f aca="false">SUM('план на 2016'!$L72:N72)-SUM('членские взносы'!$M72:N72)</f>
        <v>-3200</v>
      </c>
      <c r="O71" s="85" t="n">
        <f aca="false">SUM('план на 2016'!$L72:O72)-SUM('членские взносы'!$M72:O72)</f>
        <v>-2400</v>
      </c>
      <c r="P71" s="85" t="n">
        <f aca="false">SUM('план на 2016'!$L72:P72)-SUM('членские взносы'!$M72:P72)</f>
        <v>-6400</v>
      </c>
      <c r="Q71" s="85" t="n">
        <f aca="false">SUM('план на 2016'!$L72:Q72)-SUM('членские взносы'!$M72:Q72)</f>
        <v>-5600</v>
      </c>
      <c r="R71" s="85" t="n">
        <f aca="false">SUM('план на 2016'!$L72:R72)-SUM('членские взносы'!$M72:R72)</f>
        <v>-4800</v>
      </c>
      <c r="S71" s="85" t="n">
        <f aca="false">SUM('план на 2016'!$L72:S72)-SUM('членские взносы'!$M72:S72)</f>
        <v>-8800</v>
      </c>
      <c r="T71" s="85" t="n">
        <f aca="false">SUM('план на 2016'!$L72:T72)-SUM('членские взносы'!$M72:T72)</f>
        <v>-8000</v>
      </c>
      <c r="U71" s="85" t="n">
        <f aca="false">SUM('план на 2016'!$L72:U72)-SUM('членские взносы'!$M72:U72)</f>
        <v>-7200</v>
      </c>
      <c r="V71" s="85" t="n">
        <f aca="false">SUM('план на 2016'!$L72:V72)-SUM('членские взносы'!$M72:V72)</f>
        <v>-11200</v>
      </c>
      <c r="W71" s="85" t="n">
        <f aca="false">SUM('план на 2016'!$L72:W72)-SUM('членские взносы'!$M72:W72)</f>
        <v>-10400</v>
      </c>
      <c r="X71" s="85" t="n">
        <f aca="false">SUM('план на 2016'!$L72:X72)-SUM('членские взносы'!$M72:X72)</f>
        <v>-9600</v>
      </c>
      <c r="Y71" s="59" t="n">
        <f aca="false">X71</f>
        <v>-9600</v>
      </c>
    </row>
    <row collapsed="false" customFormat="false" customHeight="false" hidden="false" ht="15" outlineLevel="0" r="72">
      <c r="A72" s="19" t="n">
        <f aca="false">VLOOKUP(B72,справочник!$B$2:$E$322,4,0)</f>
        <v>236</v>
      </c>
      <c r="B72" s="0" t="e">
        <f aca="false">CONCATENATE(C72;D72)</f>
        <v>#VALUE!</v>
      </c>
      <c r="C72" s="24" t="n">
        <v>245</v>
      </c>
      <c r="D72" s="29" t="s">
        <v>311</v>
      </c>
      <c r="E72" s="24" t="s">
        <v>440</v>
      </c>
      <c r="F72" s="30" t="n">
        <v>40945</v>
      </c>
      <c r="G72" s="30" t="n">
        <v>40940</v>
      </c>
      <c r="H72" s="31" t="n">
        <f aca="false">INT(($H$326-G72)/30)</f>
        <v>47</v>
      </c>
      <c r="I72" s="24" t="n">
        <f aca="false">H72*1000</f>
        <v>47000</v>
      </c>
      <c r="J72" s="31" t="n">
        <f aca="false">18000+11000</f>
        <v>29000</v>
      </c>
      <c r="K72" s="31"/>
      <c r="L72" s="59" t="n">
        <f aca="false">I72-J72-K72</f>
        <v>18000</v>
      </c>
      <c r="M72" s="85" t="n">
        <f aca="false">SUM('план на 2016'!$L73:M73)-SUM('членские взносы'!$M73:M73)</f>
        <v>18800</v>
      </c>
      <c r="N72" s="85" t="n">
        <f aca="false">SUM('план на 2016'!$L73:N73)-SUM('членские взносы'!$M73:N73)</f>
        <v>19600</v>
      </c>
      <c r="O72" s="85" t="n">
        <f aca="false">SUM('план на 2016'!$L73:O73)-SUM('членские взносы'!$M73:O73)</f>
        <v>20400</v>
      </c>
      <c r="P72" s="85" t="n">
        <f aca="false">SUM('план на 2016'!$L73:P73)-SUM('членские взносы'!$M73:P73)</f>
        <v>21200</v>
      </c>
      <c r="Q72" s="85" t="n">
        <f aca="false">SUM('план на 2016'!$L73:Q73)-SUM('членские взносы'!$M73:Q73)</f>
        <v>-3000</v>
      </c>
      <c r="R72" s="85" t="n">
        <f aca="false">SUM('план на 2016'!$L73:R73)-SUM('членские взносы'!$M73:R73)</f>
        <v>-2200</v>
      </c>
      <c r="S72" s="85" t="n">
        <f aca="false">SUM('план на 2016'!$L73:S73)-SUM('членские взносы'!$M73:S73)</f>
        <v>-1400</v>
      </c>
      <c r="T72" s="85" t="n">
        <f aca="false">SUM('план на 2016'!$L73:T73)-SUM('членские взносы'!$M73:T73)</f>
        <v>-600</v>
      </c>
      <c r="U72" s="85" t="n">
        <f aca="false">SUM('план на 2016'!$L73:U73)-SUM('членские взносы'!$M73:U73)</f>
        <v>200</v>
      </c>
      <c r="V72" s="85" t="n">
        <f aca="false">SUM('план на 2016'!$L73:V73)-SUM('членские взносы'!$M73:V73)</f>
        <v>-1600</v>
      </c>
      <c r="W72" s="85" t="n">
        <f aca="false">SUM('план на 2016'!$L73:W73)-SUM('членские взносы'!$M73:W73)</f>
        <v>-800</v>
      </c>
      <c r="X72" s="85" t="n">
        <f aca="false">SUM('план на 2016'!$L73:X73)-SUM('членские взносы'!$M73:X73)</f>
        <v>0</v>
      </c>
      <c r="Y72" s="59" t="n">
        <f aca="false">X72</f>
        <v>0</v>
      </c>
    </row>
    <row collapsed="false" customFormat="false" customHeight="false" hidden="false" ht="15" outlineLevel="0" r="73">
      <c r="A73" s="19" t="n">
        <f aca="false">VLOOKUP(B73,справочник!$B$2:$E$322,4,0)</f>
        <v>226</v>
      </c>
      <c r="B73" s="0" t="e">
        <f aca="false">CONCATENATE(C73;D73)</f>
        <v>#VALUE!</v>
      </c>
      <c r="C73" s="24" t="n">
        <v>235</v>
      </c>
      <c r="D73" s="29" t="s">
        <v>95</v>
      </c>
      <c r="E73" s="24" t="s">
        <v>441</v>
      </c>
      <c r="F73" s="30" t="n">
        <v>41739</v>
      </c>
      <c r="G73" s="30" t="n">
        <v>41760</v>
      </c>
      <c r="H73" s="31" t="n">
        <f aca="false">INT(($H$326-G73)/30)</f>
        <v>20</v>
      </c>
      <c r="I73" s="24" t="n">
        <f aca="false">H73*1000</f>
        <v>20000</v>
      </c>
      <c r="J73" s="31"/>
      <c r="K73" s="31"/>
      <c r="L73" s="59" t="n">
        <f aca="false">I73-J73-K73</f>
        <v>20000</v>
      </c>
      <c r="M73" s="85" t="n">
        <f aca="false">SUM('план на 2016'!$L74:M74)-SUM('членские взносы'!$M74:M74)</f>
        <v>20800</v>
      </c>
      <c r="N73" s="85" t="n">
        <f aca="false">SUM('план на 2016'!$L74:N74)-SUM('членские взносы'!$M74:N74)</f>
        <v>21600</v>
      </c>
      <c r="O73" s="85" t="n">
        <f aca="false">SUM('план на 2016'!$L74:O74)-SUM('членские взносы'!$M74:O74)</f>
        <v>22400</v>
      </c>
      <c r="P73" s="85" t="n">
        <f aca="false">SUM('план на 2016'!$L74:P74)-SUM('членские взносы'!$M74:P74)</f>
        <v>23200</v>
      </c>
      <c r="Q73" s="85" t="n">
        <f aca="false">SUM('план на 2016'!$L74:Q74)-SUM('членские взносы'!$M74:Q74)</f>
        <v>24000</v>
      </c>
      <c r="R73" s="85" t="n">
        <f aca="false">SUM('план на 2016'!$L74:R74)-SUM('членские взносы'!$M74:R74)</f>
        <v>24800</v>
      </c>
      <c r="S73" s="85" t="n">
        <f aca="false">SUM('план на 2016'!$L74:S74)-SUM('членские взносы'!$M74:S74)</f>
        <v>25600</v>
      </c>
      <c r="T73" s="85" t="n">
        <f aca="false">SUM('план на 2016'!$L74:T74)-SUM('членские взносы'!$M74:T74)</f>
        <v>26400</v>
      </c>
      <c r="U73" s="85" t="n">
        <f aca="false">SUM('план на 2016'!$L74:U74)-SUM('членские взносы'!$M74:U74)</f>
        <v>23200</v>
      </c>
      <c r="V73" s="85" t="n">
        <f aca="false">SUM('план на 2016'!$L74:V74)-SUM('членские взносы'!$M74:V74)</f>
        <v>24000</v>
      </c>
      <c r="W73" s="85" t="n">
        <f aca="false">SUM('план на 2016'!$L74:W74)-SUM('членские взносы'!$M74:W74)</f>
        <v>24800</v>
      </c>
      <c r="X73" s="85" t="n">
        <f aca="false">SUM('план на 2016'!$L74:X74)-SUM('членские взносы'!$M74:X74)</f>
        <v>25600</v>
      </c>
      <c r="Y73" s="59" t="n">
        <f aca="false">X73</f>
        <v>25600</v>
      </c>
    </row>
    <row collapsed="false" customFormat="false" customHeight="false" hidden="false" ht="15" outlineLevel="0" r="74">
      <c r="A74" s="19" t="n">
        <f aca="false">VLOOKUP(B74,справочник!$B$2:$E$322,4,0)</f>
        <v>285</v>
      </c>
      <c r="B74" s="0" t="e">
        <f aca="false">CONCATENATE(C74;D74)</f>
        <v>#VALUE!</v>
      </c>
      <c r="C74" s="24" t="n">
        <v>297</v>
      </c>
      <c r="D74" s="29" t="s">
        <v>321</v>
      </c>
      <c r="E74" s="24" t="s">
        <v>442</v>
      </c>
      <c r="F74" s="24"/>
      <c r="G74" s="24"/>
      <c r="H74" s="31"/>
      <c r="I74" s="24" t="n">
        <v>19000</v>
      </c>
      <c r="J74" s="31" t="n">
        <v>19000</v>
      </c>
      <c r="K74" s="31"/>
      <c r="L74" s="59" t="n">
        <f aca="false">I74-J74-K74</f>
        <v>0</v>
      </c>
      <c r="M74" s="85" t="n">
        <f aca="false">SUM('план на 2016'!$L75:M75)-SUM('членские взносы'!$M75:M75)</f>
        <v>800</v>
      </c>
      <c r="N74" s="85" t="n">
        <f aca="false">SUM('план на 2016'!$L75:N75)-SUM('членские взносы'!$M75:N75)</f>
        <v>-6400</v>
      </c>
      <c r="O74" s="85" t="n">
        <f aca="false">SUM('план на 2016'!$L75:O75)-SUM('членские взносы'!$M75:O75)</f>
        <v>-5600</v>
      </c>
      <c r="P74" s="85" t="n">
        <f aca="false">SUM('план на 2016'!$L75:P75)-SUM('членские взносы'!$M75:P75)</f>
        <v>-4800</v>
      </c>
      <c r="Q74" s="85" t="n">
        <f aca="false">SUM('план на 2016'!$L75:Q75)-SUM('членские взносы'!$M75:Q75)</f>
        <v>-4000</v>
      </c>
      <c r="R74" s="85" t="n">
        <f aca="false">SUM('план на 2016'!$L75:R75)-SUM('членские взносы'!$M75:R75)</f>
        <v>-7200</v>
      </c>
      <c r="S74" s="85" t="n">
        <f aca="false">SUM('план на 2016'!$L75:S75)-SUM('членские взносы'!$M75:S75)</f>
        <v>-6400</v>
      </c>
      <c r="T74" s="85" t="n">
        <f aca="false">SUM('план на 2016'!$L75:T75)-SUM('членские взносы'!$M75:T75)</f>
        <v>-5600</v>
      </c>
      <c r="U74" s="85" t="n">
        <f aca="false">SUM('план на 2016'!$L75:U75)-SUM('членские взносы'!$M75:U75)</f>
        <v>-4800</v>
      </c>
      <c r="V74" s="85" t="n">
        <f aca="false">SUM('план на 2016'!$L75:V75)-SUM('членские взносы'!$M75:V75)</f>
        <v>-4000</v>
      </c>
      <c r="W74" s="85" t="n">
        <f aca="false">SUM('план на 2016'!$L75:W75)-SUM('членские взносы'!$M75:W75)</f>
        <v>-3200</v>
      </c>
      <c r="X74" s="85" t="n">
        <f aca="false">SUM('план на 2016'!$L75:X75)-SUM('членские взносы'!$M75:X75)</f>
        <v>-8400</v>
      </c>
      <c r="Y74" s="59" t="n">
        <f aca="false">X74</f>
        <v>-8400</v>
      </c>
    </row>
    <row collapsed="false" customFormat="false" customHeight="false" hidden="false" ht="15" outlineLevel="0" r="75">
      <c r="A75" s="19" t="n">
        <f aca="false">VLOOKUP(B75,справочник!$B$2:$E$322,4,0)</f>
        <v>24</v>
      </c>
      <c r="B75" s="0" t="e">
        <f aca="false">CONCATENATE(C75;D75)</f>
        <v>#VALUE!</v>
      </c>
      <c r="C75" s="24" t="n">
        <v>24</v>
      </c>
      <c r="D75" s="29" t="s">
        <v>155</v>
      </c>
      <c r="E75" s="24" t="s">
        <v>443</v>
      </c>
      <c r="F75" s="30" t="n">
        <v>41141</v>
      </c>
      <c r="G75" s="30" t="n">
        <v>41153</v>
      </c>
      <c r="H75" s="31" t="n">
        <f aca="false">INT(($H$326-G75)/30)</f>
        <v>40</v>
      </c>
      <c r="I75" s="24" t="n">
        <f aca="false">H75*1000</f>
        <v>40000</v>
      </c>
      <c r="J75" s="31" t="n">
        <v>30000</v>
      </c>
      <c r="K75" s="31"/>
      <c r="L75" s="59" t="n">
        <f aca="false">I75-J75-K75</f>
        <v>10000</v>
      </c>
      <c r="M75" s="85" t="n">
        <f aca="false">SUM('план на 2016'!$L76:M76)-SUM('членские взносы'!$M76:M76)</f>
        <v>10800</v>
      </c>
      <c r="N75" s="85" t="n">
        <f aca="false">SUM('план на 2016'!$L76:N76)-SUM('членские взносы'!$M76:N76)</f>
        <v>11600</v>
      </c>
      <c r="O75" s="85" t="n">
        <f aca="false">SUM('план на 2016'!$L76:O76)-SUM('членские взносы'!$M76:O76)</f>
        <v>12400</v>
      </c>
      <c r="P75" s="85" t="n">
        <f aca="false">SUM('план на 2016'!$L76:P76)-SUM('членские взносы'!$M76:P76)</f>
        <v>13200</v>
      </c>
      <c r="Q75" s="85" t="n">
        <f aca="false">SUM('план на 2016'!$L76:Q76)-SUM('членские взносы'!$M76:Q76)</f>
        <v>14000</v>
      </c>
      <c r="R75" s="85" t="n">
        <f aca="false">SUM('план на 2016'!$L76:R76)-SUM('членские взносы'!$M76:R76)</f>
        <v>14800</v>
      </c>
      <c r="S75" s="85" t="n">
        <f aca="false">SUM('план на 2016'!$L76:S76)-SUM('членские взносы'!$M76:S76)</f>
        <v>15600</v>
      </c>
      <c r="T75" s="85" t="n">
        <f aca="false">SUM('план на 2016'!$L76:T76)-SUM('членские взносы'!$M76:T76)</f>
        <v>16400</v>
      </c>
      <c r="U75" s="85" t="n">
        <f aca="false">SUM('план на 2016'!$L76:U76)-SUM('членские взносы'!$M76:U76)</f>
        <v>17200</v>
      </c>
      <c r="V75" s="85" t="n">
        <f aca="false">SUM('план на 2016'!$L76:V76)-SUM('членские взносы'!$M76:V76)</f>
        <v>18000</v>
      </c>
      <c r="W75" s="85" t="n">
        <f aca="false">SUM('план на 2016'!$L76:W76)-SUM('членские взносы'!$M76:W76)</f>
        <v>18800</v>
      </c>
      <c r="X75" s="85" t="n">
        <f aca="false">SUM('план на 2016'!$L76:X76)-SUM('членские взносы'!$M76:X76)</f>
        <v>19600</v>
      </c>
      <c r="Y75" s="59" t="n">
        <f aca="false">X75</f>
        <v>19600</v>
      </c>
    </row>
    <row collapsed="false" customFormat="false" customHeight="false" hidden="false" ht="15" outlineLevel="0" r="76">
      <c r="A76" s="19" t="n">
        <f aca="false">VLOOKUP(B76,справочник!$B$2:$E$322,4,0)</f>
        <v>50</v>
      </c>
      <c r="B76" s="0" t="e">
        <f aca="false">CONCATENATE(C76;D76)</f>
        <v>#VALUE!</v>
      </c>
      <c r="C76" s="24" t="n">
        <v>50</v>
      </c>
      <c r="D76" s="29" t="s">
        <v>238</v>
      </c>
      <c r="E76" s="24" t="s">
        <v>444</v>
      </c>
      <c r="F76" s="30" t="n">
        <v>40793</v>
      </c>
      <c r="G76" s="30" t="n">
        <v>40787</v>
      </c>
      <c r="H76" s="31" t="n">
        <f aca="false">INT(($H$326-G76)/30)</f>
        <v>52</v>
      </c>
      <c r="I76" s="24" t="n">
        <f aca="false">H76*1000</f>
        <v>52000</v>
      </c>
      <c r="J76" s="31" t="n">
        <f aca="false">1000+41000</f>
        <v>42000</v>
      </c>
      <c r="K76" s="31"/>
      <c r="L76" s="59" t="n">
        <f aca="false">I76-J76-K76</f>
        <v>10000</v>
      </c>
      <c r="M76" s="85" t="n">
        <f aca="false">SUM('план на 2016'!$L77:M77)-SUM('членские взносы'!$M77:M77)</f>
        <v>10800</v>
      </c>
      <c r="N76" s="85" t="n">
        <f aca="false">SUM('план на 2016'!$L77:N77)-SUM('членские взносы'!$M77:N77)</f>
        <v>11600</v>
      </c>
      <c r="O76" s="85" t="n">
        <f aca="false">SUM('план на 2016'!$L77:O77)-SUM('членские взносы'!$M77:O77)</f>
        <v>400</v>
      </c>
      <c r="P76" s="85" t="n">
        <f aca="false">SUM('план на 2016'!$L77:P77)-SUM('членские взносы'!$M77:P77)</f>
        <v>1200</v>
      </c>
      <c r="Q76" s="85" t="n">
        <f aca="false">SUM('план на 2016'!$L77:Q77)-SUM('членские взносы'!$M77:Q77)</f>
        <v>2000</v>
      </c>
      <c r="R76" s="85" t="n">
        <f aca="false">SUM('план на 2016'!$L77:R77)-SUM('членские взносы'!$M77:R77)</f>
        <v>2800</v>
      </c>
      <c r="S76" s="85" t="n">
        <f aca="false">SUM('план на 2016'!$L77:S77)-SUM('членские взносы'!$M77:S77)</f>
        <v>400</v>
      </c>
      <c r="T76" s="85" t="n">
        <f aca="false">SUM('план на 2016'!$L77:T77)-SUM('членские взносы'!$M77:T77)</f>
        <v>1200</v>
      </c>
      <c r="U76" s="85" t="n">
        <f aca="false">SUM('план на 2016'!$L77:U77)-SUM('членские взносы'!$M77:U77)</f>
        <v>2000</v>
      </c>
      <c r="V76" s="85" t="n">
        <f aca="false">SUM('план на 2016'!$L77:V77)-SUM('членские взносы'!$M77:V77)</f>
        <v>2800</v>
      </c>
      <c r="W76" s="85" t="n">
        <f aca="false">SUM('план на 2016'!$L77:W77)-SUM('членские взносы'!$M77:W77)</f>
        <v>3600</v>
      </c>
      <c r="X76" s="85" t="n">
        <f aca="false">SUM('план на 2016'!$L77:X77)-SUM('членские взносы'!$M77:X77)</f>
        <v>4400</v>
      </c>
      <c r="Y76" s="59" t="n">
        <f aca="false">X76</f>
        <v>4400</v>
      </c>
    </row>
    <row collapsed="false" customFormat="false" customHeight="false" hidden="false" ht="15" outlineLevel="0" r="77">
      <c r="A77" s="19" t="n">
        <f aca="false">VLOOKUP(B77,справочник!$B$2:$E$322,4,0)</f>
        <v>122</v>
      </c>
      <c r="B77" s="0" t="e">
        <f aca="false">CONCATENATE(C77;D77)</f>
        <v>#VALUE!</v>
      </c>
      <c r="C77" s="24" t="n">
        <v>127</v>
      </c>
      <c r="D77" s="29" t="s">
        <v>202</v>
      </c>
      <c r="E77" s="24" t="s">
        <v>445</v>
      </c>
      <c r="F77" s="30" t="n">
        <v>40938</v>
      </c>
      <c r="G77" s="30" t="n">
        <v>40940</v>
      </c>
      <c r="H77" s="31" t="n">
        <f aca="false">INT(($H$326-G77)/30)</f>
        <v>47</v>
      </c>
      <c r="I77" s="24" t="n">
        <f aca="false">H77*1000</f>
        <v>47000</v>
      </c>
      <c r="J77" s="31" t="n">
        <v>37000</v>
      </c>
      <c r="K77" s="31" t="n">
        <v>5000</v>
      </c>
      <c r="L77" s="59" t="n">
        <f aca="false">I77-J77-K77</f>
        <v>5000</v>
      </c>
      <c r="M77" s="85" t="n">
        <f aca="false">SUM('план на 2016'!$L78:M78)-SUM('членские взносы'!$M78:M78)</f>
        <v>800</v>
      </c>
      <c r="N77" s="85" t="n">
        <f aca="false">SUM('план на 2016'!$L78:N78)-SUM('членские взносы'!$M78:N78)</f>
        <v>-400</v>
      </c>
      <c r="O77" s="85" t="n">
        <f aca="false">SUM('план на 2016'!$L78:O78)-SUM('членские взносы'!$M78:O78)</f>
        <v>400</v>
      </c>
      <c r="P77" s="85" t="n">
        <f aca="false">SUM('план на 2016'!$L78:P78)-SUM('членские взносы'!$M78:P78)</f>
        <v>-800</v>
      </c>
      <c r="Q77" s="85" t="n">
        <f aca="false">SUM('план на 2016'!$L78:Q78)-SUM('членские взносы'!$M78:Q78)</f>
        <v>0</v>
      </c>
      <c r="R77" s="85" t="n">
        <f aca="false">SUM('план на 2016'!$L78:R78)-SUM('членские взносы'!$M78:R78)</f>
        <v>800</v>
      </c>
      <c r="S77" s="85" t="n">
        <f aca="false">SUM('план на 2016'!$L78:S78)-SUM('членские взносы'!$M78:S78)</f>
        <v>1600</v>
      </c>
      <c r="T77" s="85" t="n">
        <f aca="false">SUM('план на 2016'!$L78:T78)-SUM('членские взносы'!$M78:T78)</f>
        <v>2400</v>
      </c>
      <c r="U77" s="85" t="n">
        <f aca="false">SUM('план на 2016'!$L78:U78)-SUM('членские взносы'!$M78:U78)</f>
        <v>0</v>
      </c>
      <c r="V77" s="85" t="n">
        <f aca="false">SUM('план на 2016'!$L78:V78)-SUM('членские взносы'!$M78:V78)</f>
        <v>800</v>
      </c>
      <c r="W77" s="85" t="n">
        <f aca="false">SUM('план на 2016'!$L78:W78)-SUM('членские взносы'!$M78:W78)</f>
        <v>1600</v>
      </c>
      <c r="X77" s="85" t="n">
        <f aca="false">SUM('план на 2016'!$L78:X78)-SUM('членские взносы'!$M78:X78)</f>
        <v>0</v>
      </c>
      <c r="Y77" s="59" t="n">
        <f aca="false">X77</f>
        <v>0</v>
      </c>
    </row>
    <row collapsed="false" customFormat="false" customHeight="false" hidden="false" ht="15" outlineLevel="0" r="78">
      <c r="A78" s="19" t="n">
        <f aca="false">VLOOKUP(B78,справочник!$B$2:$E$322,4,0)</f>
        <v>301</v>
      </c>
      <c r="B78" s="0" t="e">
        <f aca="false">CONCATENATE(C78;D78)</f>
        <v>#VALUE!</v>
      </c>
      <c r="C78" s="24" t="n">
        <v>316</v>
      </c>
      <c r="D78" s="29" t="s">
        <v>133</v>
      </c>
      <c r="E78" s="24" t="s">
        <v>446</v>
      </c>
      <c r="F78" s="30" t="n">
        <v>41969</v>
      </c>
      <c r="G78" s="30" t="n">
        <v>41974</v>
      </c>
      <c r="H78" s="31" t="n">
        <f aca="false">INT(($H$326-G78)/30)</f>
        <v>13</v>
      </c>
      <c r="I78" s="24" t="n">
        <f aca="false">H78*1000</f>
        <v>13000</v>
      </c>
      <c r="J78" s="31" t="n">
        <v>1000</v>
      </c>
      <c r="K78" s="31"/>
      <c r="L78" s="59" t="n">
        <f aca="false">I78-J78-K78</f>
        <v>12000</v>
      </c>
      <c r="M78" s="85" t="n">
        <f aca="false">SUM('план на 2016'!$L79:M79)-SUM('членские взносы'!$M79:M79)</f>
        <v>12800</v>
      </c>
      <c r="N78" s="85" t="n">
        <f aca="false">SUM('план на 2016'!$L79:N79)-SUM('членские взносы'!$M79:N79)</f>
        <v>13600</v>
      </c>
      <c r="O78" s="85" t="n">
        <f aca="false">SUM('план на 2016'!$L79:O79)-SUM('членские взносы'!$M79:O79)</f>
        <v>14400</v>
      </c>
      <c r="P78" s="85" t="n">
        <f aca="false">SUM('план на 2016'!$L79:P79)-SUM('членские взносы'!$M79:P79)</f>
        <v>15200</v>
      </c>
      <c r="Q78" s="85" t="n">
        <f aca="false">SUM('план на 2016'!$L79:Q79)-SUM('членские взносы'!$M79:Q79)</f>
        <v>16000</v>
      </c>
      <c r="R78" s="85" t="n">
        <f aca="false">SUM('план на 2016'!$L79:R79)-SUM('членские взносы'!$M79:R79)</f>
        <v>16800</v>
      </c>
      <c r="S78" s="85" t="n">
        <f aca="false">SUM('план на 2016'!$L79:S79)-SUM('членские взносы'!$M79:S79)</f>
        <v>17600</v>
      </c>
      <c r="T78" s="85" t="n">
        <f aca="false">SUM('план на 2016'!$L79:T79)-SUM('членские взносы'!$M79:T79)</f>
        <v>18400</v>
      </c>
      <c r="U78" s="85" t="n">
        <f aca="false">SUM('план на 2016'!$L79:U79)-SUM('членские взносы'!$M79:U79)</f>
        <v>19200</v>
      </c>
      <c r="V78" s="85" t="n">
        <f aca="false">SUM('план на 2016'!$L79:V79)-SUM('членские взносы'!$M79:V79)</f>
        <v>20000</v>
      </c>
      <c r="W78" s="85" t="n">
        <f aca="false">SUM('план на 2016'!$L79:W79)-SUM('членские взносы'!$M79:W79)</f>
        <v>20800</v>
      </c>
      <c r="X78" s="85" t="n">
        <f aca="false">SUM('план на 2016'!$L79:X79)-SUM('членские взносы'!$M79:X79)</f>
        <v>21600</v>
      </c>
      <c r="Y78" s="59" t="n">
        <f aca="false">X78</f>
        <v>21600</v>
      </c>
    </row>
    <row collapsed="false" customFormat="false" customHeight="false" hidden="false" ht="15" outlineLevel="0" r="79">
      <c r="A79" s="19" t="n">
        <f aca="false">VLOOKUP(B79,справочник!$B$2:$E$322,4,0)</f>
        <v>18</v>
      </c>
      <c r="B79" s="0" t="e">
        <f aca="false">CONCATENATE(C79;D79)</f>
        <v>#VALUE!</v>
      </c>
      <c r="C79" s="24" t="n">
        <v>18</v>
      </c>
      <c r="D79" s="29" t="s">
        <v>220</v>
      </c>
      <c r="E79" s="24" t="s">
        <v>447</v>
      </c>
      <c r="F79" s="30" t="n">
        <v>41429</v>
      </c>
      <c r="G79" s="30" t="n">
        <v>41487</v>
      </c>
      <c r="H79" s="31" t="n">
        <f aca="false">INT(($H$326-G79)/30)</f>
        <v>29</v>
      </c>
      <c r="I79" s="24" t="n">
        <f aca="false">H79*1000</f>
        <v>29000</v>
      </c>
      <c r="J79" s="31" t="n">
        <v>29000</v>
      </c>
      <c r="K79" s="31"/>
      <c r="L79" s="59" t="n">
        <f aca="false">I79-J79-K79</f>
        <v>0</v>
      </c>
      <c r="M79" s="85" t="n">
        <f aca="false">SUM('план на 2016'!$L80:M80)-SUM('членские взносы'!$M80:M80)</f>
        <v>800</v>
      </c>
      <c r="N79" s="85" t="n">
        <f aca="false">SUM('план на 2016'!$L80:N80)-SUM('членские взносы'!$M80:N80)</f>
        <v>1600</v>
      </c>
      <c r="O79" s="85" t="n">
        <f aca="false">SUM('план на 2016'!$L80:O80)-SUM('членские взносы'!$M80:O80)</f>
        <v>2400</v>
      </c>
      <c r="P79" s="85" t="n">
        <f aca="false">SUM('план на 2016'!$L80:P80)-SUM('членские взносы'!$M80:P80)</f>
        <v>3200</v>
      </c>
      <c r="Q79" s="85" t="n">
        <f aca="false">SUM('план на 2016'!$L80:Q80)-SUM('членские взносы'!$M80:Q80)</f>
        <v>4000</v>
      </c>
      <c r="R79" s="85" t="n">
        <f aca="false">SUM('план на 2016'!$L80:R80)-SUM('членские взносы'!$M80:R80)</f>
        <v>4800</v>
      </c>
      <c r="S79" s="85" t="n">
        <f aca="false">SUM('план на 2016'!$L80:S80)-SUM('членские взносы'!$M80:S80)</f>
        <v>5600</v>
      </c>
      <c r="T79" s="85" t="n">
        <f aca="false">SUM('план на 2016'!$L80:T80)-SUM('членские взносы'!$M80:T80)</f>
        <v>6400</v>
      </c>
      <c r="U79" s="85" t="n">
        <f aca="false">SUM('план на 2016'!$L80:U80)-SUM('членские взносы'!$M80:U80)</f>
        <v>7200</v>
      </c>
      <c r="V79" s="85" t="n">
        <f aca="false">SUM('план на 2016'!$L80:V80)-SUM('членские взносы'!$M80:V80)</f>
        <v>8000</v>
      </c>
      <c r="W79" s="85" t="n">
        <f aca="false">SUM('план на 2016'!$L80:W80)-SUM('членские взносы'!$M80:W80)</f>
        <v>8800</v>
      </c>
      <c r="X79" s="85" t="n">
        <f aca="false">SUM('план на 2016'!$L80:X80)-SUM('членские взносы'!$M80:X80)</f>
        <v>9600</v>
      </c>
      <c r="Y79" s="59" t="n">
        <f aca="false">X79</f>
        <v>9600</v>
      </c>
    </row>
    <row collapsed="false" customFormat="false" customHeight="false" hidden="false" ht="15" outlineLevel="0" r="80">
      <c r="A80" s="19" t="n">
        <f aca="false">VLOOKUP(B80,справочник!$B$2:$E$322,4,0)</f>
        <v>155</v>
      </c>
      <c r="B80" s="0" t="e">
        <f aca="false">CONCATENATE(C80;D80)</f>
        <v>#VALUE!</v>
      </c>
      <c r="C80" s="24" t="n">
        <v>163</v>
      </c>
      <c r="D80" s="29" t="s">
        <v>301</v>
      </c>
      <c r="E80" s="24" t="s">
        <v>448</v>
      </c>
      <c r="F80" s="30" t="n">
        <v>41491</v>
      </c>
      <c r="G80" s="30" t="n">
        <v>41518</v>
      </c>
      <c r="H80" s="31" t="n">
        <f aca="false">INT(($H$326-G80)/30)</f>
        <v>28</v>
      </c>
      <c r="I80" s="24" t="n">
        <f aca="false">H80*1000</f>
        <v>28000</v>
      </c>
      <c r="J80" s="31" t="n">
        <v>28000</v>
      </c>
      <c r="K80" s="31" t="n">
        <v>2000</v>
      </c>
      <c r="L80" s="59" t="n">
        <f aca="false">I80-J80-K80</f>
        <v>-2000</v>
      </c>
      <c r="M80" s="85" t="n">
        <f aca="false">SUM('план на 2016'!$L81:M81)-SUM('членские взносы'!$M81:M81)</f>
        <v>-1200</v>
      </c>
      <c r="N80" s="85" t="n">
        <f aca="false">SUM('план на 2016'!$L81:N81)-SUM('членские взносы'!$M81:N81)</f>
        <v>-1000</v>
      </c>
      <c r="O80" s="85" t="n">
        <f aca="false">SUM('план на 2016'!$L81:O81)-SUM('членские взносы'!$M81:O81)</f>
        <v>-1800</v>
      </c>
      <c r="P80" s="85" t="n">
        <f aca="false">SUM('план на 2016'!$L81:P81)-SUM('членские взносы'!$M81:P81)</f>
        <v>-1000</v>
      </c>
      <c r="Q80" s="85" t="n">
        <f aca="false">SUM('план на 2016'!$L81:Q81)-SUM('членские взносы'!$M81:Q81)</f>
        <v>-1800</v>
      </c>
      <c r="R80" s="85" t="n">
        <f aca="false">SUM('план на 2016'!$L81:R81)-SUM('членские взносы'!$M81:R81)</f>
        <v>-1000</v>
      </c>
      <c r="S80" s="85" t="n">
        <f aca="false">SUM('план на 2016'!$L81:S81)-SUM('членские взносы'!$M81:S81)</f>
        <v>-1800</v>
      </c>
      <c r="T80" s="85" t="n">
        <f aca="false">SUM('план на 2016'!$L81:T81)-SUM('членские взносы'!$M81:T81)</f>
        <v>-1000</v>
      </c>
      <c r="U80" s="85" t="n">
        <f aca="false">SUM('план на 2016'!$L81:U81)-SUM('членские взносы'!$M81:U81)</f>
        <v>-200</v>
      </c>
      <c r="V80" s="85" t="n">
        <f aca="false">SUM('план на 2016'!$L81:V81)-SUM('членские взносы'!$M81:V81)</f>
        <v>-1000</v>
      </c>
      <c r="W80" s="85" t="n">
        <f aca="false">SUM('план на 2016'!$L81:W81)-SUM('членские взносы'!$M81:W81)</f>
        <v>-1800</v>
      </c>
      <c r="X80" s="85" t="n">
        <f aca="false">SUM('план на 2016'!$L81:X81)-SUM('членские взносы'!$M81:X81)</f>
        <v>-1000</v>
      </c>
      <c r="Y80" s="59" t="n">
        <f aca="false">X80</f>
        <v>-1000</v>
      </c>
    </row>
    <row collapsed="false" customFormat="false" customHeight="false" hidden="false" ht="15" outlineLevel="0" r="81">
      <c r="A81" s="19" t="n">
        <f aca="false">VLOOKUP(B81,справочник!$B$2:$E$322,4,0)</f>
        <v>44</v>
      </c>
      <c r="B81" s="0" t="e">
        <f aca="false">CONCATENATE(C81;D81)</f>
        <v>#VALUE!</v>
      </c>
      <c r="C81" s="24" t="n">
        <v>44</v>
      </c>
      <c r="D81" s="29" t="s">
        <v>197</v>
      </c>
      <c r="E81" s="40" t="s">
        <v>393</v>
      </c>
      <c r="F81" s="41" t="n">
        <v>41100</v>
      </c>
      <c r="G81" s="41" t="n">
        <v>41091</v>
      </c>
      <c r="H81" s="31" t="n">
        <f aca="false">INT(($H$326-G81)/30)</f>
        <v>42</v>
      </c>
      <c r="I81" s="24" t="n">
        <f aca="false">H81*1000</f>
        <v>42000</v>
      </c>
      <c r="J81" s="31" t="n">
        <f aca="false">21000+6000</f>
        <v>27000</v>
      </c>
      <c r="K81" s="31" t="n">
        <v>13000</v>
      </c>
      <c r="L81" s="59" t="n">
        <f aca="false">I81-J81-K81</f>
        <v>2000</v>
      </c>
      <c r="M81" s="85" t="n">
        <f aca="false">SUM('план на 2016'!$L82:M82)-SUM('членские взносы'!$M82:M82)</f>
        <v>2800</v>
      </c>
      <c r="N81" s="85" t="n">
        <f aca="false">SUM('план на 2016'!$L82:N82)-SUM('членские взносы'!$M82:N82)</f>
        <v>3600</v>
      </c>
      <c r="O81" s="85" t="n">
        <f aca="false">SUM('план на 2016'!$L82:O82)-SUM('членские взносы'!$M82:O82)</f>
        <v>4400</v>
      </c>
      <c r="P81" s="85" t="n">
        <f aca="false">SUM('план на 2016'!$L82:P82)-SUM('членские взносы'!$M82:P82)</f>
        <v>5200</v>
      </c>
      <c r="Q81" s="85" t="n">
        <f aca="false">SUM('план на 2016'!$L82:Q82)-SUM('членские взносы'!$M82:Q82)</f>
        <v>6000</v>
      </c>
      <c r="R81" s="85" t="n">
        <f aca="false">SUM('план на 2016'!$L82:R82)-SUM('членские взносы'!$M82:R82)</f>
        <v>6800</v>
      </c>
      <c r="S81" s="85" t="n">
        <f aca="false">SUM('план на 2016'!$L82:S82)-SUM('членские взносы'!$M82:S82)</f>
        <v>7600</v>
      </c>
      <c r="T81" s="85" t="n">
        <f aca="false">SUM('план на 2016'!$L82:T82)-SUM('членские взносы'!$M82:T82)</f>
        <v>8400</v>
      </c>
      <c r="U81" s="85" t="n">
        <f aca="false">SUM('план на 2016'!$L82:U82)-SUM('членские взносы'!$M82:U82)</f>
        <v>9200</v>
      </c>
      <c r="V81" s="85" t="n">
        <f aca="false">SUM('план на 2016'!$L82:V82)-SUM('членские взносы'!$M82:V82)</f>
        <v>10000</v>
      </c>
      <c r="W81" s="85" t="n">
        <f aca="false">SUM('план на 2016'!$L82:W82)-SUM('членские взносы'!$M82:W82)</f>
        <v>10800</v>
      </c>
      <c r="X81" s="85" t="n">
        <f aca="false">SUM('план на 2016'!$L82:X82)-SUM('членские взносы'!$M82:X82)</f>
        <v>11600</v>
      </c>
      <c r="Y81" s="59" t="n">
        <f aca="false">X81</f>
        <v>11600</v>
      </c>
    </row>
    <row collapsed="false" customFormat="false" customHeight="false" hidden="false" ht="15" outlineLevel="0" r="82">
      <c r="A82" s="19" t="n">
        <f aca="false">VLOOKUP(B82,справочник!$B$2:$E$322,4,0)</f>
        <v>132</v>
      </c>
      <c r="B82" s="0" t="e">
        <f aca="false">CONCATENATE(C82;D82)</f>
        <v>#VALUE!</v>
      </c>
      <c r="C82" s="24" t="n">
        <v>139</v>
      </c>
      <c r="D82" s="29" t="s">
        <v>129</v>
      </c>
      <c r="E82" s="24" t="s">
        <v>449</v>
      </c>
      <c r="F82" s="30" t="n">
        <v>40690</v>
      </c>
      <c r="G82" s="30" t="n">
        <v>40695</v>
      </c>
      <c r="H82" s="31" t="n">
        <f aca="false">INT(($H$326-G82)/30)</f>
        <v>55</v>
      </c>
      <c r="I82" s="24" t="n">
        <f aca="false">H82*1000</f>
        <v>55000</v>
      </c>
      <c r="J82" s="31" t="n">
        <f aca="false">41000+1000</f>
        <v>42000</v>
      </c>
      <c r="K82" s="31"/>
      <c r="L82" s="59" t="n">
        <f aca="false">I82-J82-K82</f>
        <v>13000</v>
      </c>
      <c r="M82" s="85" t="n">
        <f aca="false">SUM('план на 2016'!$L83:M83)-SUM('членские взносы'!$M83:M83)</f>
        <v>13800</v>
      </c>
      <c r="N82" s="85" t="n">
        <f aca="false">SUM('план на 2016'!$L83:N83)-SUM('членские взносы'!$M83:N83)</f>
        <v>14600</v>
      </c>
      <c r="O82" s="85" t="n">
        <f aca="false">SUM('план на 2016'!$L83:O83)-SUM('членские взносы'!$M83:O83)</f>
        <v>15400</v>
      </c>
      <c r="P82" s="85" t="n">
        <f aca="false">SUM('план на 2016'!$L83:P83)-SUM('членские взносы'!$M83:P83)</f>
        <v>16200</v>
      </c>
      <c r="Q82" s="85" t="n">
        <f aca="false">SUM('план на 2016'!$L83:Q83)-SUM('членские взносы'!$M83:Q83)</f>
        <v>17000</v>
      </c>
      <c r="R82" s="85" t="n">
        <f aca="false">SUM('план на 2016'!$L83:R83)-SUM('членские взносы'!$M83:R83)</f>
        <v>17800</v>
      </c>
      <c r="S82" s="85" t="n">
        <f aca="false">SUM('план на 2016'!$L83:S83)-SUM('членские взносы'!$M83:S83)</f>
        <v>18600</v>
      </c>
      <c r="T82" s="85" t="n">
        <f aca="false">SUM('план на 2016'!$L83:T83)-SUM('членские взносы'!$M83:T83)</f>
        <v>19400</v>
      </c>
      <c r="U82" s="85" t="n">
        <f aca="false">SUM('план на 2016'!$L83:U83)-SUM('членские взносы'!$M83:U83)</f>
        <v>20200</v>
      </c>
      <c r="V82" s="85" t="n">
        <f aca="false">SUM('план на 2016'!$L83:V83)-SUM('членские взносы'!$M83:V83)</f>
        <v>21000</v>
      </c>
      <c r="W82" s="85" t="n">
        <f aca="false">SUM('план на 2016'!$L83:W83)-SUM('членские взносы'!$M83:W83)</f>
        <v>21800</v>
      </c>
      <c r="X82" s="85" t="n">
        <f aca="false">SUM('план на 2016'!$L83:X83)-SUM('членские взносы'!$M83:X83)</f>
        <v>22600</v>
      </c>
      <c r="Y82" s="59" t="n">
        <f aca="false">X82</f>
        <v>22600</v>
      </c>
    </row>
    <row collapsed="false" customFormat="false" customHeight="false" hidden="false" ht="15" outlineLevel="0" r="83">
      <c r="A83" s="19" t="n">
        <f aca="false">VLOOKUP(B83,справочник!$B$2:$E$322,4,0)</f>
        <v>159</v>
      </c>
      <c r="B83" s="0" t="e">
        <f aca="false">CONCATENATE(C83;D83)</f>
        <v>#VALUE!</v>
      </c>
      <c r="C83" s="24" t="n">
        <v>167</v>
      </c>
      <c r="D83" s="29" t="s">
        <v>215</v>
      </c>
      <c r="E83" s="24" t="s">
        <v>450</v>
      </c>
      <c r="F83" s="30" t="n">
        <v>41044</v>
      </c>
      <c r="G83" s="30" t="n">
        <v>41030</v>
      </c>
      <c r="H83" s="31" t="n">
        <f aca="false">INT(($H$326-G83)/30)</f>
        <v>44</v>
      </c>
      <c r="I83" s="24" t="n">
        <f aca="false">H83*1000</f>
        <v>44000</v>
      </c>
      <c r="J83" s="31" t="n">
        <f aca="false">32000</f>
        <v>32000</v>
      </c>
      <c r="K83" s="31"/>
      <c r="L83" s="59" t="n">
        <f aca="false">I83-J83-K83</f>
        <v>12000</v>
      </c>
      <c r="M83" s="85" t="n">
        <f aca="false">SUM('план на 2016'!$L84:M84)-SUM('членские взносы'!$M84:M84)</f>
        <v>12800</v>
      </c>
      <c r="N83" s="85" t="n">
        <f aca="false">SUM('план на 2016'!$L84:N84)-SUM('членские взносы'!$M84:N84)</f>
        <v>1600</v>
      </c>
      <c r="O83" s="85" t="n">
        <f aca="false">SUM('план на 2016'!$L84:O84)-SUM('членские взносы'!$M84:O84)</f>
        <v>2400</v>
      </c>
      <c r="P83" s="85" t="n">
        <f aca="false">SUM('план на 2016'!$L84:P84)-SUM('членские взносы'!$M84:P84)</f>
        <v>3200</v>
      </c>
      <c r="Q83" s="85" t="n">
        <f aca="false">SUM('план на 2016'!$L84:Q84)-SUM('членские взносы'!$M84:Q84)</f>
        <v>4000</v>
      </c>
      <c r="R83" s="85" t="n">
        <f aca="false">SUM('план на 2016'!$L84:R84)-SUM('членские взносы'!$M84:R84)</f>
        <v>4800</v>
      </c>
      <c r="S83" s="85" t="n">
        <f aca="false">SUM('план на 2016'!$L84:S84)-SUM('членские взносы'!$M84:S84)</f>
        <v>0</v>
      </c>
      <c r="T83" s="85" t="n">
        <f aca="false">SUM('план на 2016'!$L84:T84)-SUM('членские взносы'!$M84:T84)</f>
        <v>800</v>
      </c>
      <c r="U83" s="85" t="n">
        <f aca="false">SUM('план на 2016'!$L84:U84)-SUM('членские взносы'!$M84:U84)</f>
        <v>1600</v>
      </c>
      <c r="V83" s="85" t="n">
        <f aca="false">SUM('план на 2016'!$L84:V84)-SUM('членские взносы'!$M84:V84)</f>
        <v>2400</v>
      </c>
      <c r="W83" s="85" t="n">
        <f aca="false">SUM('план на 2016'!$L84:W84)-SUM('членские взносы'!$M84:W84)</f>
        <v>3200</v>
      </c>
      <c r="X83" s="85" t="n">
        <f aca="false">SUM('план на 2016'!$L84:X84)-SUM('членские взносы'!$M84:X84)</f>
        <v>0</v>
      </c>
      <c r="Y83" s="59" t="n">
        <f aca="false">X83</f>
        <v>0</v>
      </c>
    </row>
    <row collapsed="false" customFormat="false" customHeight="false" hidden="false" ht="15" outlineLevel="0" r="84">
      <c r="A84" s="19" t="n">
        <f aca="false">VLOOKUP(B84,справочник!$B$2:$E$322,4,0)</f>
        <v>181</v>
      </c>
      <c r="B84" s="0" t="e">
        <f aca="false">CONCATENATE(C84;D84)</f>
        <v>#VALUE!</v>
      </c>
      <c r="C84" s="24" t="n">
        <v>189</v>
      </c>
      <c r="D84" s="29" t="s">
        <v>263</v>
      </c>
      <c r="E84" s="24" t="s">
        <v>451</v>
      </c>
      <c r="F84" s="30" t="n">
        <v>41734</v>
      </c>
      <c r="G84" s="30" t="n">
        <v>41760</v>
      </c>
      <c r="H84" s="31" t="n">
        <f aca="false">INT(($H$326-G84)/30)</f>
        <v>20</v>
      </c>
      <c r="I84" s="24" t="n">
        <f aca="false">H84*1000</f>
        <v>20000</v>
      </c>
      <c r="J84" s="31" t="n">
        <v>17000</v>
      </c>
      <c r="K84" s="31"/>
      <c r="L84" s="59" t="n">
        <f aca="false">I84-J84-K84</f>
        <v>3000</v>
      </c>
      <c r="M84" s="85" t="n">
        <f aca="false">SUM('план на 2016'!$L85:M85)-SUM('членские взносы'!$M85:M85)</f>
        <v>3800</v>
      </c>
      <c r="N84" s="85" t="n">
        <f aca="false">SUM('план на 2016'!$L85:N85)-SUM('членские взносы'!$M85:N85)</f>
        <v>4600</v>
      </c>
      <c r="O84" s="85" t="n">
        <f aca="false">SUM('план на 2016'!$L85:O85)-SUM('членские взносы'!$M85:O85)</f>
        <v>5400</v>
      </c>
      <c r="P84" s="85" t="n">
        <f aca="false">SUM('план на 2016'!$L85:P85)-SUM('членские взносы'!$M85:P85)</f>
        <v>6200</v>
      </c>
      <c r="Q84" s="85" t="n">
        <f aca="false">SUM('план на 2016'!$L85:Q85)-SUM('членские взносы'!$M85:Q85)</f>
        <v>0</v>
      </c>
      <c r="R84" s="85" t="n">
        <f aca="false">SUM('план на 2016'!$L85:R85)-SUM('членские взносы'!$M85:R85)</f>
        <v>800</v>
      </c>
      <c r="S84" s="85" t="n">
        <f aca="false">SUM('план на 2016'!$L85:S85)-SUM('членские взносы'!$M85:S85)</f>
        <v>1600</v>
      </c>
      <c r="T84" s="85" t="n">
        <f aca="false">SUM('план на 2016'!$L85:T85)-SUM('членские взносы'!$M85:T85)</f>
        <v>2400</v>
      </c>
      <c r="U84" s="85" t="n">
        <f aca="false">SUM('план на 2016'!$L85:U85)-SUM('членские взносы'!$M85:U85)</f>
        <v>3200</v>
      </c>
      <c r="V84" s="85" t="n">
        <f aca="false">SUM('план на 2016'!$L85:V85)-SUM('членские взносы'!$M85:V85)</f>
        <v>4000</v>
      </c>
      <c r="W84" s="85" t="n">
        <f aca="false">SUM('план на 2016'!$L85:W85)-SUM('членские взносы'!$M85:W85)</f>
        <v>4800</v>
      </c>
      <c r="X84" s="85" t="n">
        <f aca="false">SUM('план на 2016'!$L85:X85)-SUM('членские взносы'!$M85:X85)</f>
        <v>5600</v>
      </c>
      <c r="Y84" s="59" t="n">
        <f aca="false">X84</f>
        <v>5600</v>
      </c>
    </row>
    <row collapsed="false" customFormat="false" customHeight="false" hidden="false" ht="15" outlineLevel="0" r="85">
      <c r="A85" s="19" t="n">
        <f aca="false">VLOOKUP(B85,справочник!$B$2:$E$322,4,0)</f>
        <v>284</v>
      </c>
      <c r="B85" s="0" t="e">
        <f aca="false">CONCATENATE(C85;D85)</f>
        <v>#VALUE!</v>
      </c>
      <c r="C85" s="24" t="n">
        <v>296</v>
      </c>
      <c r="D85" s="29" t="s">
        <v>180</v>
      </c>
      <c r="E85" s="24" t="s">
        <v>452</v>
      </c>
      <c r="F85" s="30" t="n">
        <v>41549</v>
      </c>
      <c r="G85" s="30" t="n">
        <v>41579</v>
      </c>
      <c r="H85" s="31" t="n">
        <f aca="false">INT(($H$326-G85)/30)</f>
        <v>26</v>
      </c>
      <c r="I85" s="24" t="n">
        <f aca="false">H85*1000</f>
        <v>26000</v>
      </c>
      <c r="J85" s="31" t="n">
        <f aca="false">12000</f>
        <v>12000</v>
      </c>
      <c r="K85" s="31" t="n">
        <v>5000</v>
      </c>
      <c r="L85" s="59" t="n">
        <f aca="false">I85-J85-K85</f>
        <v>9000</v>
      </c>
      <c r="M85" s="85" t="n">
        <f aca="false">SUM('план на 2016'!$L86:M86)-SUM('членские взносы'!$M86:M86)</f>
        <v>9800</v>
      </c>
      <c r="N85" s="85" t="n">
        <f aca="false">SUM('план на 2016'!$L86:N86)-SUM('членские взносы'!$M86:N86)</f>
        <v>10600</v>
      </c>
      <c r="O85" s="85" t="n">
        <f aca="false">SUM('план на 2016'!$L86:O86)-SUM('членские взносы'!$M86:O86)</f>
        <v>5400</v>
      </c>
      <c r="P85" s="85" t="n">
        <f aca="false">SUM('план на 2016'!$L86:P86)-SUM('членские взносы'!$M86:P86)</f>
        <v>6200</v>
      </c>
      <c r="Q85" s="85" t="n">
        <f aca="false">SUM('план на 2016'!$L86:Q86)-SUM('членские взносы'!$M86:Q86)</f>
        <v>7000</v>
      </c>
      <c r="R85" s="85" t="n">
        <f aca="false">SUM('план на 2016'!$L86:R86)-SUM('членские взносы'!$M86:R86)</f>
        <v>7800</v>
      </c>
      <c r="S85" s="85" t="n">
        <f aca="false">SUM('план на 2016'!$L86:S86)-SUM('членские взносы'!$M86:S86)</f>
        <v>6200</v>
      </c>
      <c r="T85" s="85" t="n">
        <f aca="false">SUM('план на 2016'!$L86:T86)-SUM('членские взносы'!$M86:T86)</f>
        <v>7000</v>
      </c>
      <c r="U85" s="85" t="n">
        <f aca="false">SUM('план на 2016'!$L86:U86)-SUM('членские взносы'!$M86:U86)</f>
        <v>7800</v>
      </c>
      <c r="V85" s="85" t="n">
        <f aca="false">SUM('план на 2016'!$L86:V86)-SUM('членские взносы'!$M86:V86)</f>
        <v>5400</v>
      </c>
      <c r="W85" s="85" t="n">
        <f aca="false">SUM('план на 2016'!$L86:W86)-SUM('членские взносы'!$M86:W86)</f>
        <v>6200</v>
      </c>
      <c r="X85" s="85" t="n">
        <f aca="false">SUM('план на 2016'!$L86:X86)-SUM('членские взносы'!$M86:X86)</f>
        <v>7000</v>
      </c>
      <c r="Y85" s="59" t="n">
        <f aca="false">X85</f>
        <v>7000</v>
      </c>
    </row>
    <row collapsed="false" customFormat="false" customHeight="false" hidden="false" ht="25.5" outlineLevel="0" r="86">
      <c r="A86" s="19" t="n">
        <f aca="false">VLOOKUP(B86,справочник!$B$2:$E$322,4,0)</f>
        <v>264</v>
      </c>
      <c r="B86" s="0" t="e">
        <f aca="false">CONCATENATE(C86;D86)</f>
        <v>#VALUE!</v>
      </c>
      <c r="C86" s="24" t="n">
        <v>277</v>
      </c>
      <c r="D86" s="29" t="s">
        <v>233</v>
      </c>
      <c r="E86" s="24" t="s">
        <v>453</v>
      </c>
      <c r="F86" s="30" t="n">
        <v>41093</v>
      </c>
      <c r="G86" s="30" t="n">
        <v>41091</v>
      </c>
      <c r="H86" s="31" t="n">
        <f aca="false">INT(($H$326-G86)/30)</f>
        <v>42</v>
      </c>
      <c r="I86" s="24" t="n">
        <f aca="false">H86*1000</f>
        <v>42000</v>
      </c>
      <c r="J86" s="31" t="n">
        <f aca="false">38000</f>
        <v>38000</v>
      </c>
      <c r="K86" s="31"/>
      <c r="L86" s="59" t="n">
        <f aca="false">I86-J86-K86</f>
        <v>4000</v>
      </c>
      <c r="M86" s="85" t="n">
        <f aca="false">SUM('план на 2016'!$L87:M87)-SUM('членские взносы'!$M87:M87)</f>
        <v>800</v>
      </c>
      <c r="N86" s="85" t="n">
        <f aca="false">SUM('план на 2016'!$L87:N87)-SUM('членские взносы'!$M87:N87)</f>
        <v>1600</v>
      </c>
      <c r="O86" s="85" t="n">
        <f aca="false">SUM('план на 2016'!$L87:O87)-SUM('членские взносы'!$M87:O87)</f>
        <v>400</v>
      </c>
      <c r="P86" s="85" t="n">
        <f aca="false">SUM('план на 2016'!$L87:P87)-SUM('членские взносы'!$M87:P87)</f>
        <v>1200</v>
      </c>
      <c r="Q86" s="85" t="n">
        <f aca="false">SUM('план на 2016'!$L87:Q87)-SUM('членские взносы'!$M87:Q87)</f>
        <v>2000</v>
      </c>
      <c r="R86" s="85" t="n">
        <f aca="false">SUM('план на 2016'!$L87:R87)-SUM('членские взносы'!$M87:R87)</f>
        <v>2800</v>
      </c>
      <c r="S86" s="85" t="n">
        <f aca="false">SUM('план на 2016'!$L87:S87)-SUM('членские взносы'!$M87:S87)</f>
        <v>-2400</v>
      </c>
      <c r="T86" s="85" t="n">
        <f aca="false">SUM('план на 2016'!$L87:T87)-SUM('членские взносы'!$M87:T87)</f>
        <v>-1600</v>
      </c>
      <c r="U86" s="85" t="n">
        <f aca="false">SUM('план на 2016'!$L87:U87)-SUM('членские взносы'!$M87:U87)</f>
        <v>-800</v>
      </c>
      <c r="V86" s="85" t="n">
        <f aca="false">SUM('план на 2016'!$L87:V87)-SUM('членские взносы'!$M87:V87)</f>
        <v>0</v>
      </c>
      <c r="W86" s="85" t="n">
        <f aca="false">SUM('план на 2016'!$L87:W87)-SUM('членские взносы'!$M87:W87)</f>
        <v>800</v>
      </c>
      <c r="X86" s="85" t="n">
        <f aca="false">SUM('план на 2016'!$L87:X87)-SUM('членские взносы'!$M87:X87)</f>
        <v>1600</v>
      </c>
      <c r="Y86" s="59" t="n">
        <f aca="false">X86</f>
        <v>1600</v>
      </c>
    </row>
    <row collapsed="false" customFormat="false" customHeight="false" hidden="false" ht="15" outlineLevel="0" r="87">
      <c r="A87" s="19" t="n">
        <f aca="false">VLOOKUP(B87,справочник!$B$2:$E$322,4,0)</f>
        <v>32</v>
      </c>
      <c r="B87" s="0" t="e">
        <f aca="false">CONCATENATE(C87;D87)</f>
        <v>#VALUE!</v>
      </c>
      <c r="C87" s="24" t="n">
        <v>32</v>
      </c>
      <c r="D87" s="29" t="s">
        <v>290</v>
      </c>
      <c r="E87" s="24" t="s">
        <v>454</v>
      </c>
      <c r="F87" s="30" t="n">
        <v>40695</v>
      </c>
      <c r="G87" s="30" t="n">
        <v>40695</v>
      </c>
      <c r="H87" s="31" t="n">
        <f aca="false">INT(($H$326-G87)/30)</f>
        <v>55</v>
      </c>
      <c r="I87" s="24" t="n">
        <f aca="false">H87*1000</f>
        <v>55000</v>
      </c>
      <c r="J87" s="31" t="n">
        <f aca="false">7000+48000</f>
        <v>55000</v>
      </c>
      <c r="K87" s="31"/>
      <c r="L87" s="59" t="n">
        <f aca="false">I87-J87-K87</f>
        <v>0</v>
      </c>
      <c r="M87" s="85" t="n">
        <f aca="false">SUM('план на 2016'!$L88:M88)-SUM('членские взносы'!$M88:M88)</f>
        <v>-1600</v>
      </c>
      <c r="N87" s="85" t="n">
        <f aca="false">SUM('план на 2016'!$L88:N88)-SUM('членские взносы'!$M88:N88)</f>
        <v>-800</v>
      </c>
      <c r="O87" s="85" t="n">
        <f aca="false">SUM('план на 2016'!$L88:O88)-SUM('членские взносы'!$M88:O88)</f>
        <v>0</v>
      </c>
      <c r="P87" s="85" t="n">
        <f aca="false">SUM('план на 2016'!$L88:P88)-SUM('членские взносы'!$M88:P88)</f>
        <v>800</v>
      </c>
      <c r="Q87" s="85" t="n">
        <f aca="false">SUM('план на 2016'!$L88:Q88)-SUM('членские взносы'!$M88:Q88)</f>
        <v>1600</v>
      </c>
      <c r="R87" s="85" t="n">
        <f aca="false">SUM('план на 2016'!$L88:R88)-SUM('членские взносы'!$M88:R88)</f>
        <v>0</v>
      </c>
      <c r="S87" s="85" t="n">
        <f aca="false">SUM('план на 2016'!$L88:S88)-SUM('членские взносы'!$M88:S88)</f>
        <v>-4000</v>
      </c>
      <c r="T87" s="85" t="n">
        <f aca="false">SUM('план на 2016'!$L88:T88)-SUM('членские взносы'!$M88:T88)</f>
        <v>-3200</v>
      </c>
      <c r="U87" s="85" t="n">
        <f aca="false">SUM('план на 2016'!$L88:U88)-SUM('членские взносы'!$M88:U88)</f>
        <v>-2400</v>
      </c>
      <c r="V87" s="85" t="n">
        <f aca="false">SUM('план на 2016'!$L88:V88)-SUM('членские взносы'!$M88:V88)</f>
        <v>-1600</v>
      </c>
      <c r="W87" s="85" t="n">
        <f aca="false">SUM('план на 2016'!$L88:W88)-SUM('членские взносы'!$M88:W88)</f>
        <v>-800</v>
      </c>
      <c r="X87" s="85" t="n">
        <f aca="false">SUM('план на 2016'!$L88:X88)-SUM('членские взносы'!$M88:X88)</f>
        <v>0</v>
      </c>
      <c r="Y87" s="59" t="n">
        <f aca="false">X87</f>
        <v>0</v>
      </c>
    </row>
    <row collapsed="false" customFormat="false" customHeight="false" hidden="false" ht="15" outlineLevel="0" r="88">
      <c r="A88" s="19" t="n">
        <f aca="false">VLOOKUP(B88,справочник!$B$2:$E$322,4,0)</f>
        <v>49</v>
      </c>
      <c r="B88" s="0" t="e">
        <f aca="false">CONCATENATE(C88;D88)</f>
        <v>#VALUE!</v>
      </c>
      <c r="C88" s="24" t="n">
        <v>49</v>
      </c>
      <c r="D88" s="29" t="s">
        <v>274</v>
      </c>
      <c r="E88" s="24" t="s">
        <v>455</v>
      </c>
      <c r="F88" s="30" t="n">
        <v>40729</v>
      </c>
      <c r="G88" s="30" t="n">
        <v>40756</v>
      </c>
      <c r="H88" s="31" t="n">
        <f aca="false">INT(($H$326-G88)/30)</f>
        <v>53</v>
      </c>
      <c r="I88" s="24" t="n">
        <f aca="false">H88*1000</f>
        <v>53000</v>
      </c>
      <c r="J88" s="31" t="n">
        <f aca="false">42000</f>
        <v>42000</v>
      </c>
      <c r="K88" s="31"/>
      <c r="L88" s="59" t="n">
        <f aca="false">I88-J88-K88</f>
        <v>11000</v>
      </c>
      <c r="M88" s="85" t="n">
        <f aca="false">SUM('план на 2016'!$L89:M89)-SUM('членские взносы'!$M89:M89)</f>
        <v>11800</v>
      </c>
      <c r="N88" s="85" t="n">
        <f aca="false">SUM('план на 2016'!$L89:N89)-SUM('членские взносы'!$M89:N89)</f>
        <v>12600</v>
      </c>
      <c r="O88" s="85" t="n">
        <f aca="false">SUM('план на 2016'!$L89:O89)-SUM('членские взносы'!$M89:O89)</f>
        <v>13400</v>
      </c>
      <c r="P88" s="85" t="n">
        <f aca="false">SUM('план на 2016'!$L89:P89)-SUM('членские взносы'!$M89:P89)</f>
        <v>14200</v>
      </c>
      <c r="Q88" s="85" t="n">
        <f aca="false">SUM('план на 2016'!$L89:Q89)-SUM('членские взносы'!$M89:Q89)</f>
        <v>10200</v>
      </c>
      <c r="R88" s="85" t="n">
        <f aca="false">SUM('план на 2016'!$L89:R89)-SUM('членские взносы'!$M89:R89)</f>
        <v>800</v>
      </c>
      <c r="S88" s="85" t="n">
        <f aca="false">SUM('план на 2016'!$L89:S89)-SUM('членские взносы'!$M89:S89)</f>
        <v>1600</v>
      </c>
      <c r="T88" s="85" t="n">
        <f aca="false">SUM('план на 2016'!$L89:T89)-SUM('членские взносы'!$M89:T89)</f>
        <v>2400</v>
      </c>
      <c r="U88" s="85" t="n">
        <f aca="false">SUM('план на 2016'!$L89:U89)-SUM('членские взносы'!$M89:U89)</f>
        <v>3200</v>
      </c>
      <c r="V88" s="85" t="n">
        <f aca="false">SUM('план на 2016'!$L89:V89)-SUM('членские взносы'!$M89:V89)</f>
        <v>4000</v>
      </c>
      <c r="W88" s="85" t="n">
        <f aca="false">SUM('план на 2016'!$L89:W89)-SUM('членские взносы'!$M89:W89)</f>
        <v>4800</v>
      </c>
      <c r="X88" s="85" t="n">
        <f aca="false">SUM('план на 2016'!$L89:X89)-SUM('членские взносы'!$M89:X89)</f>
        <v>800</v>
      </c>
      <c r="Y88" s="59" t="n">
        <f aca="false">X88</f>
        <v>800</v>
      </c>
    </row>
    <row collapsed="false" customFormat="false" customHeight="false" hidden="false" ht="15" outlineLevel="0" r="89">
      <c r="A89" s="19" t="n">
        <f aca="false">VLOOKUP(B89,справочник!$B$2:$E$322,4,0)</f>
        <v>234</v>
      </c>
      <c r="B89" s="0" t="e">
        <f aca="false">CONCATENATE(C89;D89)</f>
        <v>#VALUE!</v>
      </c>
      <c r="C89" s="24" t="n">
        <v>243</v>
      </c>
      <c r="D89" s="29" t="s">
        <v>280</v>
      </c>
      <c r="E89" s="36" t="s">
        <v>456</v>
      </c>
      <c r="F89" s="34" t="n">
        <v>41248</v>
      </c>
      <c r="G89" s="34" t="n">
        <v>41365</v>
      </c>
      <c r="H89" s="35" t="n">
        <v>3</v>
      </c>
      <c r="I89" s="36" t="n">
        <f aca="false">H89*1000</f>
        <v>3000</v>
      </c>
      <c r="J89" s="35"/>
      <c r="K89" s="35" t="n">
        <v>3000</v>
      </c>
      <c r="L89" s="66" t="n">
        <f aca="false">I89-J89-K89</f>
        <v>0</v>
      </c>
      <c r="M89" s="85" t="n">
        <f aca="false">SUM('план на 2016'!$L90:M90)-SUM('членские взносы'!$M90:M90)</f>
        <v>0</v>
      </c>
      <c r="N89" s="85" t="n">
        <f aca="false">SUM('план на 2016'!$L90:N90)-SUM('членские взносы'!$M90:N90)</f>
        <v>-4800</v>
      </c>
      <c r="O89" s="85" t="n">
        <f aca="false">SUM('план на 2016'!$L90:O90)-SUM('членские взносы'!$M90:O90)</f>
        <v>-4800</v>
      </c>
      <c r="P89" s="85" t="n">
        <f aca="false">SUM('план на 2016'!$L90:P90)-SUM('членские взносы'!$M90:P90)</f>
        <v>-4800</v>
      </c>
      <c r="Q89" s="85" t="n">
        <f aca="false">SUM('план на 2016'!$L90:Q90)-SUM('членские взносы'!$M90:Q90)</f>
        <v>-4800</v>
      </c>
      <c r="R89" s="85" t="n">
        <f aca="false">SUM('план на 2016'!$L90:R90)-SUM('членские взносы'!$M90:R90)</f>
        <v>-4800</v>
      </c>
      <c r="S89" s="85" t="n">
        <f aca="false">SUM('план на 2016'!$L90:S90)-SUM('членские взносы'!$M90:S90)</f>
        <v>-4800</v>
      </c>
      <c r="T89" s="85" t="n">
        <f aca="false">SUM('план на 2016'!$L90:T90)-SUM('членские взносы'!$M90:T90)</f>
        <v>-7300</v>
      </c>
      <c r="U89" s="85" t="n">
        <f aca="false">SUM('план на 2016'!$L90:U90)-SUM('членские взносы'!$M90:U90)</f>
        <v>-9600</v>
      </c>
      <c r="V89" s="85" t="n">
        <f aca="false">SUM('план на 2016'!$L90:V90)-SUM('членские взносы'!$M90:V90)</f>
        <v>-9600</v>
      </c>
      <c r="W89" s="85" t="n">
        <f aca="false">SUM('план на 2016'!$L90:W90)-SUM('членские взносы'!$M90:W90)</f>
        <v>-9600</v>
      </c>
      <c r="X89" s="85" t="n">
        <f aca="false">SUM('план на 2016'!$L90:X90)-SUM('членские взносы'!$M90:X90)</f>
        <v>-9600</v>
      </c>
      <c r="Y89" s="59" t="n">
        <f aca="false">X89</f>
        <v>-9600</v>
      </c>
    </row>
    <row collapsed="false" customFormat="false" customHeight="false" hidden="false" ht="15" outlineLevel="0" r="90">
      <c r="A90" s="19" t="n">
        <f aca="false">VLOOKUP(B90,справочник!$B$2:$E$322,4,0)</f>
        <v>234</v>
      </c>
      <c r="B90" s="0" t="e">
        <f aca="false">CONCATENATE(C90;D90)</f>
        <v>#VALUE!</v>
      </c>
      <c r="C90" s="24" t="n">
        <v>244</v>
      </c>
      <c r="D90" s="29" t="s">
        <v>280</v>
      </c>
      <c r="E90" s="36"/>
      <c r="F90" s="34" t="n">
        <v>41248</v>
      </c>
      <c r="G90" s="34" t="n">
        <v>41365</v>
      </c>
      <c r="H90" s="35" t="n">
        <v>3</v>
      </c>
      <c r="I90" s="36" t="n">
        <f aca="false">H90*1000</f>
        <v>3000</v>
      </c>
      <c r="J90" s="35"/>
      <c r="K90" s="35" t="n">
        <v>3000</v>
      </c>
      <c r="L90" s="66" t="n">
        <f aca="false">I90-J90-K90</f>
        <v>0</v>
      </c>
      <c r="M90" s="85" t="n">
        <f aca="false">SUM('план на 2016'!$L91:M91)-SUM('членские взносы'!$M91:M91)</f>
        <v>0</v>
      </c>
      <c r="N90" s="85" t="n">
        <f aca="false">SUM('план на 2016'!$L91:N91)-SUM('членские взносы'!$M91:N91)</f>
        <v>0</v>
      </c>
      <c r="O90" s="85" t="n">
        <f aca="false">SUM('план на 2016'!$L91:O91)-SUM('членские взносы'!$M91:O91)</f>
        <v>0</v>
      </c>
      <c r="P90" s="85" t="n">
        <f aca="false">SUM('план на 2016'!$L91:P91)-SUM('членские взносы'!$M91:P91)</f>
        <v>0</v>
      </c>
      <c r="Q90" s="85" t="n">
        <f aca="false">SUM('план на 2016'!$L91:Q91)-SUM('членские взносы'!$M91:Q91)</f>
        <v>0</v>
      </c>
      <c r="R90" s="85" t="n">
        <f aca="false">SUM('план на 2016'!$L91:R91)-SUM('членские взносы'!$M91:R91)</f>
        <v>0</v>
      </c>
      <c r="S90" s="85" t="n">
        <f aca="false">SUM('план на 2016'!$L91:S91)-SUM('членские взносы'!$M91:S91)</f>
        <v>0</v>
      </c>
      <c r="T90" s="85" t="n">
        <f aca="false">SUM('план на 2016'!$L91:T91)-SUM('членские взносы'!$M91:T91)</f>
        <v>0</v>
      </c>
      <c r="U90" s="85" t="n">
        <f aca="false">SUM('план на 2016'!$L91:U91)-SUM('членские взносы'!$M91:U91)</f>
        <v>0</v>
      </c>
      <c r="V90" s="85" t="n">
        <f aca="false">SUM('план на 2016'!$L91:V91)-SUM('членские взносы'!$M91:V91)</f>
        <v>0</v>
      </c>
      <c r="W90" s="85" t="n">
        <f aca="false">SUM('план на 2016'!$L91:W91)-SUM('членские взносы'!$M91:W91)</f>
        <v>0</v>
      </c>
      <c r="X90" s="85" t="n">
        <f aca="false">SUM('план на 2016'!$L91:X91)-SUM('членские взносы'!$M91:X91)</f>
        <v>0</v>
      </c>
      <c r="Y90" s="59" t="n">
        <f aca="false">X90</f>
        <v>0</v>
      </c>
    </row>
    <row collapsed="false" customFormat="false" customHeight="false" hidden="false" ht="15" outlineLevel="0" r="91">
      <c r="A91" s="19" t="n">
        <f aca="false">VLOOKUP(B91,справочник!$B$2:$E$322,4,0)</f>
        <v>234</v>
      </c>
      <c r="B91" s="0" t="e">
        <f aca="false">CONCATENATE(C91;D91)</f>
        <v>#VALUE!</v>
      </c>
      <c r="C91" s="24" t="s">
        <v>457</v>
      </c>
      <c r="D91" s="29" t="s">
        <v>280</v>
      </c>
      <c r="E91" s="36"/>
      <c r="F91" s="34" t="n">
        <v>41456</v>
      </c>
      <c r="G91" s="34" t="n">
        <v>41456</v>
      </c>
      <c r="H91" s="35" t="n">
        <f aca="false">INT(($H$326-G91)/30)</f>
        <v>30</v>
      </c>
      <c r="I91" s="36" t="n">
        <f aca="false">H91*1000</f>
        <v>30000</v>
      </c>
      <c r="J91" s="35"/>
      <c r="K91" s="35" t="n">
        <v>30000</v>
      </c>
      <c r="L91" s="66" t="n">
        <f aca="false">I91-J91-K91</f>
        <v>0</v>
      </c>
      <c r="M91" s="85" t="n">
        <f aca="false">SUM('план на 2016'!$L92:M92)-SUM('членские взносы'!$M92:M92)</f>
        <v>800</v>
      </c>
      <c r="N91" s="85" t="n">
        <f aca="false">SUM('план на 2016'!$L92:N92)-SUM('членские взносы'!$M92:N92)</f>
        <v>1600</v>
      </c>
      <c r="O91" s="85" t="n">
        <f aca="false">SUM('план на 2016'!$L92:O92)-SUM('членские взносы'!$M92:O92)</f>
        <v>2400</v>
      </c>
      <c r="P91" s="85" t="n">
        <f aca="false">SUM('план на 2016'!$L92:P92)-SUM('членские взносы'!$M92:P92)</f>
        <v>3200</v>
      </c>
      <c r="Q91" s="85" t="n">
        <f aca="false">SUM('план на 2016'!$L92:Q92)-SUM('членские взносы'!$M92:Q92)</f>
        <v>4000</v>
      </c>
      <c r="R91" s="85" t="n">
        <f aca="false">SUM('план на 2016'!$L92:R92)-SUM('членские взносы'!$M92:R92)</f>
        <v>4800</v>
      </c>
      <c r="S91" s="85" t="n">
        <f aca="false">SUM('план на 2016'!$L92:S92)-SUM('членские взносы'!$M92:S92)</f>
        <v>5600</v>
      </c>
      <c r="T91" s="85" t="n">
        <f aca="false">SUM('план на 2016'!$L92:T92)-SUM('членские взносы'!$M92:T92)</f>
        <v>6400</v>
      </c>
      <c r="U91" s="85" t="n">
        <f aca="false">SUM('план на 2016'!$L92:U92)-SUM('членские взносы'!$M92:U92)</f>
        <v>7200</v>
      </c>
      <c r="V91" s="85" t="n">
        <f aca="false">SUM('план на 2016'!$L92:V92)-SUM('членские взносы'!$M92:V92)</f>
        <v>8000</v>
      </c>
      <c r="W91" s="85" t="n">
        <f aca="false">SUM('план на 2016'!$L92:W92)-SUM('членские взносы'!$M92:W92)</f>
        <v>8800</v>
      </c>
      <c r="X91" s="85" t="n">
        <f aca="false">SUM('план на 2016'!$L92:X92)-SUM('членские взносы'!$M92:X92)</f>
        <v>9600</v>
      </c>
      <c r="Y91" s="59" t="n">
        <f aca="false">X91</f>
        <v>9600</v>
      </c>
    </row>
    <row collapsed="false" customFormat="false" customHeight="false" hidden="false" ht="15" outlineLevel="0" r="92">
      <c r="A92" s="19" t="n">
        <f aca="false">VLOOKUP(B92,справочник!$B$2:$E$322,4,0)</f>
        <v>254</v>
      </c>
      <c r="B92" s="0" t="e">
        <f aca="false">CONCATENATE(C92;D92)</f>
        <v>#VALUE!</v>
      </c>
      <c r="C92" s="24" t="n">
        <v>267</v>
      </c>
      <c r="D92" s="29" t="s">
        <v>183</v>
      </c>
      <c r="E92" s="24" t="s">
        <v>458</v>
      </c>
      <c r="F92" s="30" t="n">
        <v>40953</v>
      </c>
      <c r="G92" s="30" t="n">
        <v>40940</v>
      </c>
      <c r="H92" s="31" t="n">
        <f aca="false">INT(($H$326-G92)/30)</f>
        <v>47</v>
      </c>
      <c r="I92" s="24" t="n">
        <f aca="false">H92*1000</f>
        <v>47000</v>
      </c>
      <c r="J92" s="31" t="n">
        <f aca="false">39000+5000</f>
        <v>44000</v>
      </c>
      <c r="K92" s="31"/>
      <c r="L92" s="59" t="n">
        <f aca="false">I92-J92-K92</f>
        <v>3000</v>
      </c>
      <c r="M92" s="85" t="n">
        <f aca="false">SUM('план на 2016'!$L93:M93)-SUM('членские взносы'!$M93:M93)</f>
        <v>3800</v>
      </c>
      <c r="N92" s="85" t="n">
        <f aca="false">SUM('план на 2016'!$L93:N93)-SUM('членские взносы'!$M93:N93)</f>
        <v>4600</v>
      </c>
      <c r="O92" s="85" t="n">
        <f aca="false">SUM('план на 2016'!$L93:O93)-SUM('членские взносы'!$M93:O93)</f>
        <v>5400</v>
      </c>
      <c r="P92" s="85" t="n">
        <f aca="false">SUM('план на 2016'!$L93:P93)-SUM('членские взносы'!$M93:P93)</f>
        <v>6200</v>
      </c>
      <c r="Q92" s="85" t="n">
        <f aca="false">SUM('план на 2016'!$L93:Q93)-SUM('членские взносы'!$M93:Q93)</f>
        <v>7000</v>
      </c>
      <c r="R92" s="85" t="n">
        <f aca="false">SUM('план на 2016'!$L93:R93)-SUM('членские взносы'!$M93:R93)</f>
        <v>7800</v>
      </c>
      <c r="S92" s="85" t="n">
        <f aca="false">SUM('план на 2016'!$L93:S93)-SUM('членские взносы'!$M93:S93)</f>
        <v>8600</v>
      </c>
      <c r="T92" s="85" t="n">
        <f aca="false">SUM('план на 2016'!$L93:T93)-SUM('членские взносы'!$M93:T93)</f>
        <v>9400</v>
      </c>
      <c r="U92" s="85" t="n">
        <f aca="false">SUM('план на 2016'!$L93:U93)-SUM('членские взносы'!$M93:U93)</f>
        <v>10200</v>
      </c>
      <c r="V92" s="85" t="n">
        <f aca="false">SUM('план на 2016'!$L93:V93)-SUM('членские взносы'!$M93:V93)</f>
        <v>11000</v>
      </c>
      <c r="W92" s="85" t="n">
        <f aca="false">SUM('план на 2016'!$L93:W93)-SUM('членские взносы'!$M93:W93)</f>
        <v>11800</v>
      </c>
      <c r="X92" s="85" t="n">
        <f aca="false">SUM('план на 2016'!$L93:X93)-SUM('членские взносы'!$M93:X93)</f>
        <v>12600</v>
      </c>
      <c r="Y92" s="59" t="n">
        <f aca="false">X92</f>
        <v>12600</v>
      </c>
    </row>
    <row collapsed="false" customFormat="false" customHeight="false" hidden="false" ht="15" outlineLevel="0" r="93">
      <c r="A93" s="19" t="n">
        <f aca="false">VLOOKUP(B93,справочник!$B$2:$E$322,4,0)</f>
        <v>230</v>
      </c>
      <c r="B93" s="0" t="e">
        <f aca="false">CONCATENATE(C93;D93)</f>
        <v>#VALUE!</v>
      </c>
      <c r="C93" s="24" t="n">
        <v>239</v>
      </c>
      <c r="D93" s="29" t="s">
        <v>168</v>
      </c>
      <c r="E93" s="36" t="s">
        <v>459</v>
      </c>
      <c r="F93" s="34" t="n">
        <v>41590</v>
      </c>
      <c r="G93" s="34" t="n">
        <v>41579</v>
      </c>
      <c r="H93" s="35" t="n">
        <f aca="false">INT(($H$326-G93)/30)</f>
        <v>26</v>
      </c>
      <c r="I93" s="36" t="n">
        <f aca="false">H93*1000</f>
        <v>26000</v>
      </c>
      <c r="J93" s="35" t="n">
        <v>26000</v>
      </c>
      <c r="K93" s="35"/>
      <c r="L93" s="66" t="n">
        <f aca="false">I93-J93-K93</f>
        <v>0</v>
      </c>
      <c r="M93" s="85" t="n">
        <f aca="false">SUM('план на 2016'!$L94:M94)-SUM('членские взносы'!$M94:M94)</f>
        <v>800</v>
      </c>
      <c r="N93" s="85" t="n">
        <f aca="false">SUM('план на 2016'!$L94:N94)-SUM('членские взносы'!$M94:N94)</f>
        <v>1600</v>
      </c>
      <c r="O93" s="85" t="n">
        <f aca="false">SUM('план на 2016'!$L94:O94)-SUM('членские взносы'!$M94:O94)</f>
        <v>2400</v>
      </c>
      <c r="P93" s="85" t="n">
        <f aca="false">SUM('план на 2016'!$L94:P94)-SUM('членские взносы'!$M94:P94)</f>
        <v>3200</v>
      </c>
      <c r="Q93" s="85" t="n">
        <f aca="false">SUM('план на 2016'!$L94:Q94)-SUM('членские взносы'!$M94:Q94)</f>
        <v>4000</v>
      </c>
      <c r="R93" s="85" t="n">
        <f aca="false">SUM('план на 2016'!$L94:R94)-SUM('членские взносы'!$M94:R94)</f>
        <v>4800</v>
      </c>
      <c r="S93" s="85" t="n">
        <f aca="false">SUM('план на 2016'!$L94:S94)-SUM('членские взносы'!$M94:S94)</f>
        <v>5600</v>
      </c>
      <c r="T93" s="85" t="n">
        <f aca="false">SUM('план на 2016'!$L94:T94)-SUM('членские взносы'!$M94:T94)</f>
        <v>6400</v>
      </c>
      <c r="U93" s="85" t="n">
        <f aca="false">SUM('план на 2016'!$L94:U94)-SUM('членские взносы'!$M94:U94)</f>
        <v>7200</v>
      </c>
      <c r="V93" s="85" t="n">
        <f aca="false">SUM('план на 2016'!$L94:V94)-SUM('членские взносы'!$M94:V94)</f>
        <v>8000</v>
      </c>
      <c r="W93" s="85" t="n">
        <f aca="false">SUM('план на 2016'!$L94:W94)-SUM('членские взносы'!$M94:W94)</f>
        <v>8800</v>
      </c>
      <c r="X93" s="85" t="n">
        <f aca="false">SUM('план на 2016'!$L94:X94)-SUM('членские взносы'!$M94:X94)</f>
        <v>9600</v>
      </c>
      <c r="Y93" s="59" t="n">
        <f aca="false">X93</f>
        <v>9600</v>
      </c>
    </row>
    <row collapsed="false" customFormat="false" customHeight="false" hidden="false" ht="15" outlineLevel="0" r="94">
      <c r="A94" s="19" t="n">
        <f aca="false">VLOOKUP(B94,справочник!$B$2:$E$322,4,0)</f>
        <v>230</v>
      </c>
      <c r="B94" s="0" t="e">
        <f aca="false">CONCATENATE(C94;D94)</f>
        <v>#VALUE!</v>
      </c>
      <c r="C94" s="24" t="n">
        <v>257</v>
      </c>
      <c r="D94" s="29" t="s">
        <v>168</v>
      </c>
      <c r="E94" s="36" t="s">
        <v>460</v>
      </c>
      <c r="F94" s="34" t="n">
        <v>41882</v>
      </c>
      <c r="G94" s="34" t="n">
        <v>41944</v>
      </c>
      <c r="H94" s="35" t="n">
        <f aca="false">INT(($H$326-G94)/30)</f>
        <v>14</v>
      </c>
      <c r="I94" s="36" t="n">
        <f aca="false">H94*1000</f>
        <v>14000</v>
      </c>
      <c r="J94" s="35" t="n">
        <v>0</v>
      </c>
      <c r="K94" s="35" t="n">
        <v>4000</v>
      </c>
      <c r="L94" s="66" t="n">
        <f aca="false">I94-J94-K94</f>
        <v>10000</v>
      </c>
      <c r="M94" s="85" t="n">
        <f aca="false">SUM('план на 2016'!$L95:M95)-SUM('членские взносы'!$M95:M95)</f>
        <v>10000</v>
      </c>
      <c r="N94" s="85" t="n">
        <f aca="false">SUM('план на 2016'!$L95:N95)-SUM('членские взносы'!$M95:N95)</f>
        <v>-2100</v>
      </c>
      <c r="O94" s="85" t="n">
        <f aca="false">SUM('план на 2016'!$L95:O95)-SUM('членские взносы'!$M95:O95)</f>
        <v>-2100</v>
      </c>
      <c r="P94" s="85" t="n">
        <f aca="false">SUM('план на 2016'!$L95:P95)-SUM('членские взносы'!$M95:P95)</f>
        <v>-2100</v>
      </c>
      <c r="Q94" s="85" t="n">
        <f aca="false">SUM('план на 2016'!$L95:Q95)-SUM('членские взносы'!$M95:Q95)</f>
        <v>-5600</v>
      </c>
      <c r="R94" s="85" t="n">
        <f aca="false">SUM('план на 2016'!$L95:R95)-SUM('членские взносы'!$M95:R95)</f>
        <v>-5600</v>
      </c>
      <c r="S94" s="85" t="n">
        <f aca="false">SUM('план на 2016'!$L95:S95)-SUM('членские взносы'!$M95:S95)</f>
        <v>-5600</v>
      </c>
      <c r="T94" s="85" t="n">
        <f aca="false">SUM('план на 2016'!$L95:T95)-SUM('членские взносы'!$M95:T95)</f>
        <v>-8300</v>
      </c>
      <c r="U94" s="85" t="n">
        <f aca="false">SUM('план на 2016'!$L95:U95)-SUM('членские взносы'!$M95:U95)</f>
        <v>-8300</v>
      </c>
      <c r="V94" s="85" t="n">
        <f aca="false">SUM('план на 2016'!$L95:V95)-SUM('членские взносы'!$M95:V95)</f>
        <v>-8300</v>
      </c>
      <c r="W94" s="85" t="n">
        <f aca="false">SUM('план на 2016'!$L95:W95)-SUM('членские взносы'!$M95:W95)</f>
        <v>-8300</v>
      </c>
      <c r="X94" s="85" t="n">
        <f aca="false">SUM('план на 2016'!$L95:X95)-SUM('членские взносы'!$M95:X95)</f>
        <v>-8300</v>
      </c>
      <c r="Y94" s="59" t="n">
        <f aca="false">X94</f>
        <v>-8300</v>
      </c>
    </row>
    <row collapsed="false" customFormat="false" customHeight="false" hidden="false" ht="15" outlineLevel="0" r="95">
      <c r="A95" s="19" t="n">
        <f aca="false">VLOOKUP(B95,справочник!$B$2:$E$322,4,0)</f>
        <v>4</v>
      </c>
      <c r="B95" s="0" t="e">
        <f aca="false">CONCATENATE(C95;D95)</f>
        <v>#VALUE!</v>
      </c>
      <c r="C95" s="24" t="n">
        <v>4</v>
      </c>
      <c r="D95" s="29" t="s">
        <v>241</v>
      </c>
      <c r="E95" s="24" t="s">
        <v>461</v>
      </c>
      <c r="F95" s="30" t="n">
        <v>41436</v>
      </c>
      <c r="G95" s="30" t="n">
        <v>41456</v>
      </c>
      <c r="H95" s="31" t="n">
        <f aca="false">INT(($H$326-G95)/30)</f>
        <v>30</v>
      </c>
      <c r="I95" s="24" t="n">
        <f aca="false">H95*1000</f>
        <v>30000</v>
      </c>
      <c r="J95" s="31" t="n">
        <v>27000</v>
      </c>
      <c r="K95" s="31"/>
      <c r="L95" s="59" t="n">
        <f aca="false">I95-J95-K95</f>
        <v>3000</v>
      </c>
      <c r="M95" s="85" t="n">
        <f aca="false">SUM('план на 2016'!$L96:M96)-SUM('членские взносы'!$M96:M96)</f>
        <v>3800</v>
      </c>
      <c r="N95" s="85" t="n">
        <f aca="false">SUM('план на 2016'!$L96:N96)-SUM('членские взносы'!$M96:N96)</f>
        <v>4600</v>
      </c>
      <c r="O95" s="85" t="n">
        <f aca="false">SUM('план на 2016'!$L96:O96)-SUM('членские взносы'!$M96:O96)</f>
        <v>5400</v>
      </c>
      <c r="P95" s="85" t="n">
        <f aca="false">SUM('план на 2016'!$L96:P96)-SUM('членские взносы'!$M96:P96)</f>
        <v>6200</v>
      </c>
      <c r="Q95" s="85" t="n">
        <f aca="false">SUM('план на 2016'!$L96:Q96)-SUM('членские взносы'!$M96:Q96)</f>
        <v>2000</v>
      </c>
      <c r="R95" s="85" t="n">
        <f aca="false">SUM('план на 2016'!$L96:R96)-SUM('членские взносы'!$M96:R96)</f>
        <v>2800</v>
      </c>
      <c r="S95" s="85" t="n">
        <f aca="false">SUM('план на 2016'!$L96:S96)-SUM('членские взносы'!$M96:S96)</f>
        <v>3600</v>
      </c>
      <c r="T95" s="85" t="n">
        <f aca="false">SUM('план на 2016'!$L96:T96)-SUM('членские взносы'!$M96:T96)</f>
        <v>4400</v>
      </c>
      <c r="U95" s="85" t="n">
        <f aca="false">SUM('план на 2016'!$L96:U96)-SUM('членские взносы'!$M96:U96)</f>
        <v>5200</v>
      </c>
      <c r="V95" s="85" t="n">
        <f aca="false">SUM('план на 2016'!$L96:V96)-SUM('членские взносы'!$M96:V96)</f>
        <v>6000</v>
      </c>
      <c r="W95" s="85" t="n">
        <f aca="false">SUM('план на 2016'!$L96:W96)-SUM('членские взносы'!$M96:W96)</f>
        <v>6800</v>
      </c>
      <c r="X95" s="85" t="n">
        <f aca="false">SUM('план на 2016'!$L96:X96)-SUM('членские взносы'!$M96:X96)</f>
        <v>7600</v>
      </c>
      <c r="Y95" s="59" t="n">
        <f aca="false">X95</f>
        <v>7600</v>
      </c>
    </row>
    <row collapsed="false" customFormat="false" customHeight="false" hidden="false" ht="15" outlineLevel="0" r="96">
      <c r="A96" s="19" t="n">
        <f aca="false">VLOOKUP(B96,справочник!$B$2:$E$322,4,0)</f>
        <v>213</v>
      </c>
      <c r="B96" s="0" t="e">
        <f aca="false">CONCATENATE(C96;D96)</f>
        <v>#VALUE!</v>
      </c>
      <c r="C96" s="24" t="n">
        <v>222</v>
      </c>
      <c r="D96" s="29" t="s">
        <v>104</v>
      </c>
      <c r="E96" s="24" t="s">
        <v>462</v>
      </c>
      <c r="F96" s="30" t="n">
        <v>41766</v>
      </c>
      <c r="G96" s="30" t="n">
        <v>41791</v>
      </c>
      <c r="H96" s="31" t="n">
        <f aca="false">INT(($H$326-G96)/30)</f>
        <v>19</v>
      </c>
      <c r="I96" s="24" t="n">
        <f aca="false">H96*1000</f>
        <v>19000</v>
      </c>
      <c r="J96" s="31" t="n">
        <v>500</v>
      </c>
      <c r="K96" s="31"/>
      <c r="L96" s="59" t="n">
        <f aca="false">I96-J96-K96</f>
        <v>18500</v>
      </c>
      <c r="M96" s="85" t="n">
        <f aca="false">SUM('план на 2016'!$L97:M97)-SUM('членские взносы'!$M97:M97)</f>
        <v>19300</v>
      </c>
      <c r="N96" s="85" t="n">
        <f aca="false">SUM('план на 2016'!$L97:N97)-SUM('членские взносы'!$M97:N97)</f>
        <v>20100</v>
      </c>
      <c r="O96" s="85" t="n">
        <f aca="false">SUM('план на 2016'!$L97:O97)-SUM('членские взносы'!$M97:O97)</f>
        <v>20900</v>
      </c>
      <c r="P96" s="85" t="n">
        <f aca="false">SUM('план на 2016'!$L97:P97)-SUM('членские взносы'!$M97:P97)</f>
        <v>21700</v>
      </c>
      <c r="Q96" s="85" t="n">
        <f aca="false">SUM('план на 2016'!$L97:Q97)-SUM('членские взносы'!$M97:Q97)</f>
        <v>22500</v>
      </c>
      <c r="R96" s="85" t="n">
        <f aca="false">SUM('план на 2016'!$L97:R97)-SUM('членские взносы'!$M97:R97)</f>
        <v>23300</v>
      </c>
      <c r="S96" s="85" t="n">
        <f aca="false">SUM('план на 2016'!$L97:S97)-SUM('членские взносы'!$M97:S97)</f>
        <v>24100</v>
      </c>
      <c r="T96" s="85" t="n">
        <f aca="false">SUM('план на 2016'!$L97:T97)-SUM('членские взносы'!$M97:T97)</f>
        <v>24900</v>
      </c>
      <c r="U96" s="85" t="n">
        <f aca="false">SUM('план на 2016'!$L97:U97)-SUM('членские взносы'!$M97:U97)</f>
        <v>25700</v>
      </c>
      <c r="V96" s="85" t="n">
        <f aca="false">SUM('план на 2016'!$L97:V97)-SUM('членские взносы'!$M97:V97)</f>
        <v>26500</v>
      </c>
      <c r="W96" s="85" t="n">
        <f aca="false">SUM('план на 2016'!$L97:W97)-SUM('членские взносы'!$M97:W97)</f>
        <v>27300</v>
      </c>
      <c r="X96" s="85" t="n">
        <f aca="false">SUM('план на 2016'!$L97:X97)-SUM('членские взносы'!$M97:X97)</f>
        <v>28100</v>
      </c>
      <c r="Y96" s="59" t="n">
        <f aca="false">X96</f>
        <v>28100</v>
      </c>
    </row>
    <row collapsed="false" customFormat="false" customHeight="false" hidden="false" ht="15" outlineLevel="0" r="97">
      <c r="A97" s="19" t="n">
        <f aca="false">VLOOKUP(B97,справочник!$B$2:$E$322,4,0)</f>
        <v>127</v>
      </c>
      <c r="B97" s="0" t="e">
        <f aca="false">CONCATENATE(C97;D97)</f>
        <v>#VALUE!</v>
      </c>
      <c r="C97" s="24" t="n">
        <v>132</v>
      </c>
      <c r="D97" s="29" t="s">
        <v>30</v>
      </c>
      <c r="E97" s="24" t="s">
        <v>463</v>
      </c>
      <c r="F97" s="30" t="n">
        <v>40701</v>
      </c>
      <c r="G97" s="30" t="n">
        <v>40695</v>
      </c>
      <c r="H97" s="31" t="n">
        <f aca="false">INT(($H$326-G97)/30)</f>
        <v>55</v>
      </c>
      <c r="I97" s="24" t="n">
        <f aca="false">H97*1000</f>
        <v>55000</v>
      </c>
      <c r="J97" s="31" t="n">
        <f aca="false">36000+7000</f>
        <v>43000</v>
      </c>
      <c r="K97" s="31"/>
      <c r="L97" s="59" t="n">
        <f aca="false">I97-J97-K97</f>
        <v>12000</v>
      </c>
      <c r="M97" s="85" t="n">
        <f aca="false">SUM('план на 2016'!$L98:M98)-SUM('членские взносы'!$M98:M98)</f>
        <v>800</v>
      </c>
      <c r="N97" s="85" t="n">
        <f aca="false">SUM('план на 2016'!$L98:N98)-SUM('членские взносы'!$M98:N98)</f>
        <v>0</v>
      </c>
      <c r="O97" s="85" t="n">
        <f aca="false">SUM('план на 2016'!$L98:O98)-SUM('членские взносы'!$M98:O98)</f>
        <v>800</v>
      </c>
      <c r="P97" s="85" t="n">
        <f aca="false">SUM('план на 2016'!$L98:P98)-SUM('членские взносы'!$M98:P98)</f>
        <v>1600</v>
      </c>
      <c r="Q97" s="85" t="n">
        <f aca="false">SUM('план на 2016'!$L98:Q98)-SUM('членские взносы'!$M98:Q98)</f>
        <v>2400</v>
      </c>
      <c r="R97" s="85" t="n">
        <f aca="false">SUM('план на 2016'!$L98:R98)-SUM('членские взносы'!$M98:R98)</f>
        <v>3200</v>
      </c>
      <c r="S97" s="85" t="n">
        <f aca="false">SUM('план на 2016'!$L98:S98)-SUM('членские взносы'!$M98:S98)</f>
        <v>4000</v>
      </c>
      <c r="T97" s="85" t="n">
        <f aca="false">SUM('план на 2016'!$L98:T98)-SUM('членские взносы'!$M98:T98)</f>
        <v>2400</v>
      </c>
      <c r="U97" s="85" t="n">
        <f aca="false">SUM('план на 2016'!$L98:U98)-SUM('членские взносы'!$M98:U98)</f>
        <v>3200</v>
      </c>
      <c r="V97" s="85" t="n">
        <f aca="false">SUM('план на 2016'!$L98:V98)-SUM('членские взносы'!$M98:V98)</f>
        <v>4000</v>
      </c>
      <c r="W97" s="85" t="n">
        <f aca="false">SUM('план на 2016'!$L98:W98)-SUM('членские взносы'!$M98:W98)</f>
        <v>4800</v>
      </c>
      <c r="X97" s="85" t="n">
        <f aca="false">SUM('план на 2016'!$L98:X98)-SUM('членские взносы'!$M98:X98)</f>
        <v>5600</v>
      </c>
      <c r="Y97" s="59" t="n">
        <f aca="false">X97</f>
        <v>5600</v>
      </c>
    </row>
    <row collapsed="false" customFormat="false" customHeight="false" hidden="false" ht="15" outlineLevel="0" r="98">
      <c r="A98" s="19" t="n">
        <f aca="false">VLOOKUP(B98,справочник!$B$2:$E$322,4,0)</f>
        <v>66</v>
      </c>
      <c r="B98" s="0" t="e">
        <f aca="false">CONCATENATE(C98;D98)</f>
        <v>#VALUE!</v>
      </c>
      <c r="C98" s="24" t="n">
        <v>68</v>
      </c>
      <c r="D98" s="29" t="s">
        <v>192</v>
      </c>
      <c r="E98" s="24" t="s">
        <v>464</v>
      </c>
      <c r="F98" s="30" t="n">
        <v>41100</v>
      </c>
      <c r="G98" s="30" t="n">
        <v>41091</v>
      </c>
      <c r="H98" s="31" t="n">
        <f aca="false">INT(($H$326-G98)/30)</f>
        <v>42</v>
      </c>
      <c r="I98" s="24" t="n">
        <f aca="false">H98*1000</f>
        <v>42000</v>
      </c>
      <c r="J98" s="31" t="n">
        <v>39780</v>
      </c>
      <c r="K98" s="31"/>
      <c r="L98" s="59" t="n">
        <f aca="false">I98-J98-K98</f>
        <v>2220</v>
      </c>
      <c r="M98" s="85" t="n">
        <f aca="false">SUM('план на 2016'!$L99:M99)-SUM('членские взносы'!$M99:M99)</f>
        <v>3020</v>
      </c>
      <c r="N98" s="85" t="n">
        <f aca="false">SUM('план на 2016'!$L99:N99)-SUM('членские взносы'!$M99:N99)</f>
        <v>3820</v>
      </c>
      <c r="O98" s="85" t="n">
        <f aca="false">SUM('план на 2016'!$L99:O99)-SUM('членские взносы'!$M99:O99)</f>
        <v>4620</v>
      </c>
      <c r="P98" s="85" t="n">
        <f aca="false">SUM('план на 2016'!$L99:P99)-SUM('членские взносы'!$M99:P99)</f>
        <v>5420</v>
      </c>
      <c r="Q98" s="85" t="n">
        <f aca="false">SUM('план на 2016'!$L99:Q99)-SUM('членские взносы'!$M99:Q99)</f>
        <v>6220</v>
      </c>
      <c r="R98" s="85" t="n">
        <f aca="false">SUM('план на 2016'!$L99:R99)-SUM('членские взносы'!$M99:R99)</f>
        <v>7020</v>
      </c>
      <c r="S98" s="85" t="n">
        <f aca="false">SUM('план на 2016'!$L99:S99)-SUM('членские взносы'!$M99:S99)</f>
        <v>7820</v>
      </c>
      <c r="T98" s="85" t="n">
        <f aca="false">SUM('план на 2016'!$L99:T99)-SUM('членские взносы'!$M99:T99)</f>
        <v>8620</v>
      </c>
      <c r="U98" s="85" t="n">
        <f aca="false">SUM('план на 2016'!$L99:U99)-SUM('членские взносы'!$M99:U99)</f>
        <v>9420</v>
      </c>
      <c r="V98" s="85" t="n">
        <f aca="false">SUM('план на 2016'!$L99:V99)-SUM('членские взносы'!$M99:V99)</f>
        <v>10220</v>
      </c>
      <c r="W98" s="85" t="n">
        <f aca="false">SUM('план на 2016'!$L99:W99)-SUM('членские взносы'!$M99:W99)</f>
        <v>3020</v>
      </c>
      <c r="X98" s="85" t="n">
        <f aca="false">SUM('план на 2016'!$L99:X99)-SUM('членские взносы'!$M99:X99)</f>
        <v>3820</v>
      </c>
      <c r="Y98" s="59" t="n">
        <f aca="false">X98</f>
        <v>3820</v>
      </c>
    </row>
    <row collapsed="false" customFormat="false" customHeight="false" hidden="false" ht="15" outlineLevel="0" r="99">
      <c r="A99" s="19" t="n">
        <f aca="false">VLOOKUP(B99,справочник!$B$2:$E$322,4,0)</f>
        <v>36</v>
      </c>
      <c r="B99" s="0" t="e">
        <f aca="false">CONCATENATE(C99;D99)</f>
        <v>#VALUE!</v>
      </c>
      <c r="C99" s="24" t="n">
        <v>36</v>
      </c>
      <c r="D99" s="29" t="s">
        <v>154</v>
      </c>
      <c r="E99" s="24" t="s">
        <v>465</v>
      </c>
      <c r="F99" s="30" t="n">
        <v>40736</v>
      </c>
      <c r="G99" s="30" t="n">
        <v>40756</v>
      </c>
      <c r="H99" s="31" t="n">
        <f aca="false">INT(($H$326-G99)/30)</f>
        <v>53</v>
      </c>
      <c r="I99" s="24" t="n">
        <f aca="false">H99*1000</f>
        <v>53000</v>
      </c>
      <c r="J99" s="31" t="n">
        <f aca="false">42000+1000</f>
        <v>43000</v>
      </c>
      <c r="K99" s="31"/>
      <c r="L99" s="59" t="n">
        <f aca="false">I99-J99-K99</f>
        <v>10000</v>
      </c>
      <c r="M99" s="85" t="n">
        <f aca="false">SUM('план на 2016'!$L100:M100)-SUM('членские взносы'!$M100:M100)</f>
        <v>10800</v>
      </c>
      <c r="N99" s="85" t="n">
        <f aca="false">SUM('план на 2016'!$L100:N100)-SUM('членские взносы'!$M100:N100)</f>
        <v>11600</v>
      </c>
      <c r="O99" s="85" t="n">
        <f aca="false">SUM('план на 2016'!$L100:O100)-SUM('членские взносы'!$M100:O100)</f>
        <v>12400</v>
      </c>
      <c r="P99" s="85" t="n">
        <f aca="false">SUM('план на 2016'!$L100:P100)-SUM('членские взносы'!$M100:P100)</f>
        <v>13200</v>
      </c>
      <c r="Q99" s="85" t="n">
        <f aca="false">SUM('план на 2016'!$L100:Q100)-SUM('членские взносы'!$M100:Q100)</f>
        <v>14000</v>
      </c>
      <c r="R99" s="85" t="n">
        <f aca="false">SUM('план на 2016'!$L100:R100)-SUM('членские взносы'!$M100:R100)</f>
        <v>14800</v>
      </c>
      <c r="S99" s="85" t="n">
        <f aca="false">SUM('план на 2016'!$L100:S100)-SUM('членские взносы'!$M100:S100)</f>
        <v>15600</v>
      </c>
      <c r="T99" s="85" t="n">
        <f aca="false">SUM('план на 2016'!$L100:T100)-SUM('членские взносы'!$M100:T100)</f>
        <v>12400</v>
      </c>
      <c r="U99" s="85" t="n">
        <f aca="false">SUM('план на 2016'!$L100:U100)-SUM('членские взносы'!$M100:U100)</f>
        <v>13200</v>
      </c>
      <c r="V99" s="85" t="n">
        <f aca="false">SUM('план на 2016'!$L100:V100)-SUM('членские взносы'!$M100:V100)</f>
        <v>14000</v>
      </c>
      <c r="W99" s="85" t="n">
        <f aca="false">SUM('план на 2016'!$L100:W100)-SUM('членские взносы'!$M100:W100)</f>
        <v>14800</v>
      </c>
      <c r="X99" s="85" t="n">
        <f aca="false">SUM('план на 2016'!$L100:X100)-SUM('членские взносы'!$M100:X100)</f>
        <v>12800</v>
      </c>
      <c r="Y99" s="59" t="n">
        <f aca="false">X99</f>
        <v>12800</v>
      </c>
    </row>
    <row collapsed="false" customFormat="false" customHeight="false" hidden="false" ht="15" outlineLevel="0" r="100">
      <c r="A100" s="19" t="n">
        <f aca="false">VLOOKUP(B100,справочник!$B$2:$E$322,4,0)</f>
        <v>38</v>
      </c>
      <c r="B100" s="0" t="e">
        <f aca="false">CONCATENATE(C100;D100)</f>
        <v>#VALUE!</v>
      </c>
      <c r="C100" s="24" t="n">
        <v>255</v>
      </c>
      <c r="D100" s="29" t="s">
        <v>175</v>
      </c>
      <c r="E100" s="36" t="s">
        <v>466</v>
      </c>
      <c r="F100" s="34" t="n">
        <v>40770</v>
      </c>
      <c r="G100" s="34" t="n">
        <v>40787</v>
      </c>
      <c r="H100" s="35" t="n">
        <f aca="false">INT(($H$326-G100)/30)</f>
        <v>52</v>
      </c>
      <c r="I100" s="36" t="n">
        <f aca="false">H100*1000</f>
        <v>52000</v>
      </c>
      <c r="J100" s="35" t="n">
        <f aca="false">5000+18000+29000</f>
        <v>52000</v>
      </c>
      <c r="K100" s="35"/>
      <c r="L100" s="66" t="n">
        <f aca="false">I100-J100-K100</f>
        <v>0</v>
      </c>
      <c r="M100" s="85" t="n">
        <f aca="false">SUM('план на 2016'!$L101:M101)-SUM('членские взносы'!$M101:M101)</f>
        <v>0</v>
      </c>
      <c r="N100" s="85" t="n">
        <f aca="false">SUM('план на 2016'!$L101:N101)-SUM('членские взносы'!$M101:N101)</f>
        <v>0</v>
      </c>
      <c r="O100" s="85" t="n">
        <f aca="false">SUM('план на 2016'!$L101:O101)-SUM('членские взносы'!$M101:O101)</f>
        <v>0</v>
      </c>
      <c r="P100" s="85" t="n">
        <f aca="false">SUM('план на 2016'!$L101:P101)-SUM('членские взносы'!$M101:P101)</f>
        <v>0</v>
      </c>
      <c r="Q100" s="85" t="n">
        <f aca="false">SUM('план на 2016'!$L101:Q101)-SUM('членские взносы'!$M101:Q101)</f>
        <v>0</v>
      </c>
      <c r="R100" s="85" t="n">
        <f aca="false">SUM('план на 2016'!$L101:R101)-SUM('членские взносы'!$M101:R101)</f>
        <v>-1600</v>
      </c>
      <c r="S100" s="85" t="n">
        <f aca="false">SUM('план на 2016'!$L101:S101)-SUM('членские взносы'!$M101:S101)</f>
        <v>-2400</v>
      </c>
      <c r="T100" s="85" t="n">
        <f aca="false">SUM('план на 2016'!$L101:T101)-SUM('членские взносы'!$M101:T101)</f>
        <v>-4000</v>
      </c>
      <c r="U100" s="85" t="n">
        <f aca="false">SUM('план на 2016'!$L101:U101)-SUM('членские взносы'!$M101:U101)</f>
        <v>-6161.78</v>
      </c>
      <c r="V100" s="85" t="n">
        <f aca="false">SUM('план на 2016'!$L101:V101)-SUM('членские взносы'!$M101:V101)</f>
        <v>-6161.78</v>
      </c>
      <c r="W100" s="85" t="n">
        <f aca="false">SUM('план на 2016'!$L101:W101)-SUM('членские взносы'!$M101:W101)</f>
        <v>-6961.78</v>
      </c>
      <c r="X100" s="85" t="n">
        <f aca="false">SUM('план на 2016'!$L101:X101)-SUM('членские взносы'!$M101:X101)</f>
        <v>-7761.78</v>
      </c>
      <c r="Y100" s="59" t="n">
        <f aca="false">X100</f>
        <v>-7761.78</v>
      </c>
    </row>
    <row collapsed="false" customFormat="false" customHeight="false" hidden="false" ht="15" outlineLevel="0" r="101">
      <c r="A101" s="19" t="n">
        <f aca="false">VLOOKUP(B101,справочник!$B$2:$E$322,4,0)</f>
        <v>38</v>
      </c>
      <c r="B101" s="0" t="e">
        <f aca="false">CONCATENATE(C101;D101)</f>
        <v>#VALUE!</v>
      </c>
      <c r="C101" s="24" t="n">
        <v>38</v>
      </c>
      <c r="D101" s="29" t="s">
        <v>175</v>
      </c>
      <c r="E101" s="36" t="s">
        <v>467</v>
      </c>
      <c r="F101" s="34" t="n">
        <v>41100</v>
      </c>
      <c r="G101" s="34" t="n">
        <v>41091</v>
      </c>
      <c r="H101" s="35" t="n">
        <f aca="false">INT(($H$326-G101)/30)</f>
        <v>42</v>
      </c>
      <c r="I101" s="36" t="n">
        <f aca="false">H101*1000</f>
        <v>42000</v>
      </c>
      <c r="J101" s="35" t="n">
        <v>35000</v>
      </c>
      <c r="K101" s="35"/>
      <c r="L101" s="66" t="n">
        <f aca="false">I101-J101-K101</f>
        <v>7000</v>
      </c>
      <c r="M101" s="85" t="n">
        <f aca="false">SUM('план на 2016'!$L102:M102)-SUM('членские взносы'!$M102:M102)</f>
        <v>7800</v>
      </c>
      <c r="N101" s="85" t="n">
        <f aca="false">SUM('план на 2016'!$L102:N102)-SUM('членские взносы'!$M102:N102)</f>
        <v>8600</v>
      </c>
      <c r="O101" s="85" t="n">
        <f aca="false">SUM('план на 2016'!$L102:O102)-SUM('членские взносы'!$M102:O102)</f>
        <v>9400</v>
      </c>
      <c r="P101" s="85" t="n">
        <f aca="false">SUM('план на 2016'!$L102:P102)-SUM('членские взносы'!$M102:P102)</f>
        <v>10200</v>
      </c>
      <c r="Q101" s="85" t="n">
        <f aca="false">SUM('план на 2016'!$L102:Q102)-SUM('членские взносы'!$M102:Q102)</f>
        <v>11000</v>
      </c>
      <c r="R101" s="85" t="n">
        <f aca="false">SUM('план на 2016'!$L102:R102)-SUM('членские взносы'!$M102:R102)</f>
        <v>11800</v>
      </c>
      <c r="S101" s="85" t="n">
        <f aca="false">SUM('план на 2016'!$L102:S102)-SUM('членские взносы'!$M102:S102)</f>
        <v>12600</v>
      </c>
      <c r="T101" s="85" t="n">
        <f aca="false">SUM('план на 2016'!$L102:T102)-SUM('членские взносы'!$M102:T102)</f>
        <v>13400</v>
      </c>
      <c r="U101" s="85" t="n">
        <f aca="false">SUM('план на 2016'!$L102:U102)-SUM('членские взносы'!$M102:U102)</f>
        <v>14200</v>
      </c>
      <c r="V101" s="85" t="n">
        <f aca="false">SUM('план на 2016'!$L102:V102)-SUM('членские взносы'!$M102:V102)</f>
        <v>13861.78</v>
      </c>
      <c r="W101" s="85" t="n">
        <f aca="false">SUM('план на 2016'!$L102:W102)-SUM('членские взносы'!$M102:W102)</f>
        <v>14661.78</v>
      </c>
      <c r="X101" s="85" t="n">
        <f aca="false">SUM('план на 2016'!$L102:X102)-SUM('членские взносы'!$M102:X102)</f>
        <v>14761.78</v>
      </c>
      <c r="Y101" s="59" t="n">
        <f aca="false">X101</f>
        <v>14761.78</v>
      </c>
    </row>
    <row collapsed="false" customFormat="false" customHeight="false" hidden="false" ht="15" outlineLevel="0" r="102">
      <c r="A102" s="19" t="n">
        <f aca="false">VLOOKUP(B102,справочник!$B$2:$E$322,4,0)</f>
        <v>12</v>
      </c>
      <c r="B102" s="0" t="e">
        <f aca="false">CONCATENATE(C102;D102)</f>
        <v>#VALUE!</v>
      </c>
      <c r="C102" s="24" t="n">
        <v>12</v>
      </c>
      <c r="D102" s="29" t="s">
        <v>71</v>
      </c>
      <c r="E102" s="24" t="s">
        <v>468</v>
      </c>
      <c r="F102" s="30" t="n">
        <v>41414</v>
      </c>
      <c r="G102" s="30" t="n">
        <v>41426</v>
      </c>
      <c r="H102" s="31" t="n">
        <f aca="false">INT(($H$326-G102)/30)</f>
        <v>31</v>
      </c>
      <c r="I102" s="24" t="n">
        <f aca="false">H102*1000</f>
        <v>31000</v>
      </c>
      <c r="J102" s="31" t="n">
        <v>5000</v>
      </c>
      <c r="K102" s="31"/>
      <c r="L102" s="59" t="n">
        <f aca="false">I102-J102-K102</f>
        <v>26000</v>
      </c>
      <c r="M102" s="85" t="n">
        <f aca="false">SUM('план на 2016'!$L103:M103)-SUM('членские взносы'!$M103:M103)</f>
        <v>26800</v>
      </c>
      <c r="N102" s="85" t="n">
        <f aca="false">SUM('план на 2016'!$L103:N103)-SUM('членские взносы'!$M103:N103)</f>
        <v>27600</v>
      </c>
      <c r="O102" s="85" t="n">
        <f aca="false">SUM('план на 2016'!$L103:O103)-SUM('членские взносы'!$M103:O103)</f>
        <v>28400</v>
      </c>
      <c r="P102" s="85" t="n">
        <f aca="false">SUM('план на 2016'!$L103:P103)-SUM('членские взносы'!$M103:P103)</f>
        <v>29200</v>
      </c>
      <c r="Q102" s="85" t="n">
        <f aca="false">SUM('план на 2016'!$L103:Q103)-SUM('членские взносы'!$M103:Q103)</f>
        <v>30000</v>
      </c>
      <c r="R102" s="85" t="n">
        <f aca="false">SUM('план на 2016'!$L103:R103)-SUM('членские взносы'!$M103:R103)</f>
        <v>30800</v>
      </c>
      <c r="S102" s="85" t="n">
        <f aca="false">SUM('план на 2016'!$L103:S103)-SUM('членские взносы'!$M103:S103)</f>
        <v>31600</v>
      </c>
      <c r="T102" s="85" t="n">
        <f aca="false">SUM('план на 2016'!$L103:T103)-SUM('членские взносы'!$M103:T103)</f>
        <v>28400</v>
      </c>
      <c r="U102" s="85" t="n">
        <f aca="false">SUM('план на 2016'!$L103:U103)-SUM('членские взносы'!$M103:U103)</f>
        <v>29200</v>
      </c>
      <c r="V102" s="85" t="n">
        <f aca="false">SUM('план на 2016'!$L103:V103)-SUM('членские взносы'!$M103:V103)</f>
        <v>30000</v>
      </c>
      <c r="W102" s="85" t="n">
        <f aca="false">SUM('план на 2016'!$L103:W103)-SUM('членские взносы'!$M103:W103)</f>
        <v>30800</v>
      </c>
      <c r="X102" s="85" t="n">
        <f aca="false">SUM('план на 2016'!$L103:X103)-SUM('членские взносы'!$M103:X103)</f>
        <v>31600</v>
      </c>
      <c r="Y102" s="59" t="n">
        <f aca="false">X102</f>
        <v>31600</v>
      </c>
    </row>
    <row collapsed="false" customFormat="false" customHeight="false" hidden="false" ht="15" outlineLevel="0" r="103">
      <c r="A103" s="19" t="n">
        <f aca="false">VLOOKUP(B103,справочник!$B$2:$E$322,4,0)</f>
        <v>63</v>
      </c>
      <c r="B103" s="0" t="e">
        <f aca="false">CONCATENATE(C103;D103)</f>
        <v>#VALUE!</v>
      </c>
      <c r="C103" s="24" t="n">
        <v>65</v>
      </c>
      <c r="D103" s="29" t="s">
        <v>68</v>
      </c>
      <c r="E103" s="24" t="s">
        <v>469</v>
      </c>
      <c r="F103" s="30" t="n">
        <v>41513</v>
      </c>
      <c r="G103" s="30" t="n">
        <v>41518</v>
      </c>
      <c r="H103" s="31" t="n">
        <f aca="false">INT(($H$326-G103)/30)</f>
        <v>28</v>
      </c>
      <c r="I103" s="24" t="n">
        <f aca="false">H103*1000</f>
        <v>28000</v>
      </c>
      <c r="J103" s="31" t="n">
        <v>0</v>
      </c>
      <c r="K103" s="31"/>
      <c r="L103" s="59" t="n">
        <f aca="false">I103-J103-K103</f>
        <v>28000</v>
      </c>
      <c r="M103" s="85" t="n">
        <f aca="false">SUM('план на 2016'!$L104:M104)-SUM('членские взносы'!$M104:M104)</f>
        <v>28800</v>
      </c>
      <c r="N103" s="85" t="n">
        <f aca="false">SUM('план на 2016'!$L104:N104)-SUM('членские взносы'!$M104:N104)</f>
        <v>29600</v>
      </c>
      <c r="O103" s="85" t="n">
        <f aca="false">SUM('план на 2016'!$L104:O104)-SUM('членские взносы'!$M104:O104)</f>
        <v>30400</v>
      </c>
      <c r="P103" s="85" t="n">
        <f aca="false">SUM('план на 2016'!$L104:P104)-SUM('членские взносы'!$M104:P104)</f>
        <v>31200</v>
      </c>
      <c r="Q103" s="85" t="n">
        <f aca="false">SUM('план на 2016'!$L104:Q104)-SUM('членские взносы'!$M104:Q104)</f>
        <v>32000</v>
      </c>
      <c r="R103" s="85" t="n">
        <f aca="false">SUM('план на 2016'!$L104:R104)-SUM('членские взносы'!$M104:R104)</f>
        <v>32000</v>
      </c>
      <c r="S103" s="85" t="n">
        <f aca="false">SUM('план на 2016'!$L104:S104)-SUM('членские взносы'!$M104:S104)</f>
        <v>32800</v>
      </c>
      <c r="T103" s="85" t="n">
        <f aca="false">SUM('план на 2016'!$L104:T104)-SUM('членские взносы'!$M104:T104)</f>
        <v>33600</v>
      </c>
      <c r="U103" s="85" t="n">
        <f aca="false">SUM('план на 2016'!$L104:U104)-SUM('членские взносы'!$M104:U104)</f>
        <v>34400</v>
      </c>
      <c r="V103" s="85" t="n">
        <f aca="false">SUM('план на 2016'!$L104:V104)-SUM('членские взносы'!$M104:V104)</f>
        <v>35200</v>
      </c>
      <c r="W103" s="85" t="n">
        <f aca="false">SUM('план на 2016'!$L104:W104)-SUM('членские взносы'!$M104:W104)</f>
        <v>36000</v>
      </c>
      <c r="X103" s="85" t="n">
        <f aca="false">SUM('план на 2016'!$L104:X104)-SUM('членские взносы'!$M104:X104)</f>
        <v>36000</v>
      </c>
      <c r="Y103" s="59" t="n">
        <f aca="false">X103</f>
        <v>36000</v>
      </c>
    </row>
    <row collapsed="false" customFormat="false" customHeight="false" hidden="false" ht="15" outlineLevel="0" r="104">
      <c r="A104" s="19" t="n">
        <f aca="false">VLOOKUP(B104,справочник!$B$2:$E$322,4,0)</f>
        <v>16</v>
      </c>
      <c r="B104" s="0" t="e">
        <f aca="false">CONCATENATE(C104;D104)</f>
        <v>#VALUE!</v>
      </c>
      <c r="C104" s="24" t="n">
        <v>16</v>
      </c>
      <c r="D104" s="29" t="s">
        <v>322</v>
      </c>
      <c r="E104" s="24" t="s">
        <v>470</v>
      </c>
      <c r="F104" s="30" t="n">
        <v>41254</v>
      </c>
      <c r="G104" s="30" t="n">
        <v>41275</v>
      </c>
      <c r="H104" s="31" t="n">
        <f aca="false">INT(($H$326-G104)/30)</f>
        <v>36</v>
      </c>
      <c r="I104" s="24" t="n">
        <f aca="false">H104*1000</f>
        <v>36000</v>
      </c>
      <c r="J104" s="31" t="n">
        <v>36000</v>
      </c>
      <c r="K104" s="31"/>
      <c r="L104" s="59" t="n">
        <f aca="false">I104-J104-K104</f>
        <v>0</v>
      </c>
      <c r="M104" s="85" t="n">
        <f aca="false">SUM('план на 2016'!$L105:M105)-SUM('членские взносы'!$M105:M105)</f>
        <v>800</v>
      </c>
      <c r="N104" s="85" t="n">
        <f aca="false">SUM('план на 2016'!$L105:N105)-SUM('членские взносы'!$M105:N105)</f>
        <v>1600</v>
      </c>
      <c r="O104" s="85" t="n">
        <f aca="false">SUM('план на 2016'!$L105:O105)-SUM('членские взносы'!$M105:O105)</f>
        <v>2400</v>
      </c>
      <c r="P104" s="85" t="n">
        <f aca="false">SUM('план на 2016'!$L105:P105)-SUM('членские взносы'!$M105:P105)</f>
        <v>3200</v>
      </c>
      <c r="Q104" s="85" t="n">
        <f aca="false">SUM('план на 2016'!$L105:Q105)-SUM('членские взносы'!$M105:Q105)</f>
        <v>4000</v>
      </c>
      <c r="R104" s="85" t="n">
        <f aca="false">SUM('план на 2016'!$L105:R105)-SUM('членские взносы'!$M105:R105)</f>
        <v>-7200</v>
      </c>
      <c r="S104" s="85" t="n">
        <f aca="false">SUM('план на 2016'!$L105:S105)-SUM('членские взносы'!$M105:S105)</f>
        <v>-6400</v>
      </c>
      <c r="T104" s="85" t="n">
        <f aca="false">SUM('план на 2016'!$L105:T105)-SUM('членские взносы'!$M105:T105)</f>
        <v>-5600</v>
      </c>
      <c r="U104" s="85" t="n">
        <f aca="false">SUM('план на 2016'!$L105:U105)-SUM('членские взносы'!$M105:U105)</f>
        <v>-4800</v>
      </c>
      <c r="V104" s="85" t="n">
        <f aca="false">SUM('план на 2016'!$L105:V105)-SUM('членские взносы'!$M105:V105)</f>
        <v>-4000</v>
      </c>
      <c r="W104" s="85" t="n">
        <f aca="false">SUM('план на 2016'!$L105:W105)-SUM('членские взносы'!$M105:W105)</f>
        <v>-3200</v>
      </c>
      <c r="X104" s="85" t="n">
        <f aca="false">SUM('план на 2016'!$L105:X105)-SUM('членские взносы'!$M105:X105)</f>
        <v>-2400</v>
      </c>
      <c r="Y104" s="59" t="n">
        <f aca="false">X104</f>
        <v>-2400</v>
      </c>
    </row>
    <row collapsed="false" customFormat="false" customHeight="false" hidden="false" ht="15" outlineLevel="0" r="105">
      <c r="A105" s="19" t="n">
        <f aca="false">VLOOKUP(B105,справочник!$B$2:$E$322,4,0)</f>
        <v>121</v>
      </c>
      <c r="B105" s="0" t="e">
        <f aca="false">CONCATENATE(C105;D105)</f>
        <v>#VALUE!</v>
      </c>
      <c r="C105" s="24" t="n">
        <v>126</v>
      </c>
      <c r="D105" s="29" t="s">
        <v>222</v>
      </c>
      <c r="E105" s="24" t="s">
        <v>471</v>
      </c>
      <c r="F105" s="30" t="n">
        <v>41190</v>
      </c>
      <c r="G105" s="30" t="n">
        <v>41214</v>
      </c>
      <c r="H105" s="31" t="n">
        <f aca="false">INT(($H$326-G105)/30)</f>
        <v>38</v>
      </c>
      <c r="I105" s="24" t="n">
        <f aca="false">H105*1000</f>
        <v>38000</v>
      </c>
      <c r="J105" s="31" t="n">
        <v>32000</v>
      </c>
      <c r="K105" s="31"/>
      <c r="L105" s="59" t="n">
        <f aca="false">I105-J105-K105</f>
        <v>6000</v>
      </c>
      <c r="M105" s="85" t="n">
        <f aca="false">SUM('план на 2016'!$L106:M106)-SUM('членские взносы'!$M106:M106)</f>
        <v>3800</v>
      </c>
      <c r="N105" s="85" t="n">
        <f aca="false">SUM('план на 2016'!$L106:N106)-SUM('членские взносы'!$M106:N106)</f>
        <v>4600</v>
      </c>
      <c r="O105" s="85" t="n">
        <f aca="false">SUM('план на 2016'!$L106:O106)-SUM('членские взносы'!$M106:O106)</f>
        <v>5400</v>
      </c>
      <c r="P105" s="85" t="n">
        <f aca="false">SUM('план на 2016'!$L106:P106)-SUM('членские взносы'!$M106:P106)</f>
        <v>3000</v>
      </c>
      <c r="Q105" s="85" t="n">
        <f aca="false">SUM('план на 2016'!$L106:Q106)-SUM('членские взносы'!$M106:Q106)</f>
        <v>3800</v>
      </c>
      <c r="R105" s="85" t="n">
        <f aca="false">SUM('план на 2016'!$L106:R106)-SUM('членские взносы'!$M106:R106)</f>
        <v>4600</v>
      </c>
      <c r="S105" s="85" t="n">
        <f aca="false">SUM('план на 2016'!$L106:S106)-SUM('членские взносы'!$M106:S106)</f>
        <v>5400</v>
      </c>
      <c r="T105" s="85" t="n">
        <f aca="false">SUM('план на 2016'!$L106:T106)-SUM('членские взносы'!$M106:T106)</f>
        <v>3000</v>
      </c>
      <c r="U105" s="85" t="n">
        <f aca="false">SUM('план на 2016'!$L106:U106)-SUM('членские взносы'!$M106:U106)</f>
        <v>3800</v>
      </c>
      <c r="V105" s="85" t="n">
        <f aca="false">SUM('план на 2016'!$L106:V106)-SUM('членские взносы'!$M106:V106)</f>
        <v>600</v>
      </c>
      <c r="W105" s="85" t="n">
        <f aca="false">SUM('план на 2016'!$L106:W106)-SUM('членские взносы'!$M106:W106)</f>
        <v>1400</v>
      </c>
      <c r="X105" s="85" t="n">
        <f aca="false">SUM('план на 2016'!$L106:X106)-SUM('членские взносы'!$M106:X106)</f>
        <v>2200</v>
      </c>
      <c r="Y105" s="59" t="n">
        <f aca="false">X105</f>
        <v>2200</v>
      </c>
    </row>
    <row collapsed="false" customFormat="false" customHeight="false" hidden="false" ht="15" outlineLevel="0" r="106">
      <c r="A106" s="19" t="n">
        <f aca="false">VLOOKUP(B106,справочник!$B$2:$E$322,4,0)</f>
        <v>156</v>
      </c>
      <c r="B106" s="0" t="e">
        <f aca="false">CONCATENATE(C106;D106)</f>
        <v>#VALUE!</v>
      </c>
      <c r="C106" s="24" t="n">
        <v>164</v>
      </c>
      <c r="D106" s="29" t="s">
        <v>307</v>
      </c>
      <c r="E106" s="24" t="s">
        <v>472</v>
      </c>
      <c r="F106" s="30" t="n">
        <v>41394</v>
      </c>
      <c r="G106" s="30" t="n">
        <v>41426</v>
      </c>
      <c r="H106" s="31" t="n">
        <f aca="false">INT(($H$326-G106)/30)</f>
        <v>31</v>
      </c>
      <c r="I106" s="24" t="n">
        <f aca="false">H106*1000</f>
        <v>31000</v>
      </c>
      <c r="J106" s="31" t="n">
        <v>28000</v>
      </c>
      <c r="K106" s="31"/>
      <c r="L106" s="59" t="n">
        <f aca="false">I106-J106-K106</f>
        <v>3000</v>
      </c>
      <c r="M106" s="85" t="n">
        <f aca="false">SUM('план на 2016'!$L107:M107)-SUM('членские взносы'!$M107:M107)</f>
        <v>3800</v>
      </c>
      <c r="N106" s="85" t="n">
        <f aca="false">SUM('план на 2016'!$L107:N107)-SUM('членские взносы'!$M107:N107)</f>
        <v>-400</v>
      </c>
      <c r="O106" s="85" t="n">
        <f aca="false">SUM('план на 2016'!$L107:O107)-SUM('членские взносы'!$M107:O107)</f>
        <v>-600</v>
      </c>
      <c r="P106" s="85" t="n">
        <f aca="false">SUM('план на 2016'!$L107:P107)-SUM('членские взносы'!$M107:P107)</f>
        <v>-800</v>
      </c>
      <c r="Q106" s="85" t="n">
        <f aca="false">SUM('план на 2016'!$L107:Q107)-SUM('членские взносы'!$M107:Q107)</f>
        <v>-1000</v>
      </c>
      <c r="R106" s="85" t="n">
        <f aca="false">SUM('план на 2016'!$L107:R107)-SUM('членские взносы'!$M107:R107)</f>
        <v>-1200</v>
      </c>
      <c r="S106" s="85" t="n">
        <f aca="false">SUM('план на 2016'!$L107:S107)-SUM('членские взносы'!$M107:S107)</f>
        <v>-1400</v>
      </c>
      <c r="T106" s="85" t="n">
        <f aca="false">SUM('план на 2016'!$L107:T107)-SUM('членские взносы'!$M107:T107)</f>
        <v>-1600</v>
      </c>
      <c r="U106" s="85" t="n">
        <f aca="false">SUM('план на 2016'!$L107:U107)-SUM('членские взносы'!$M107:U107)</f>
        <v>-1800</v>
      </c>
      <c r="V106" s="85" t="n">
        <f aca="false">SUM('план на 2016'!$L107:V107)-SUM('членские взносы'!$M107:V107)</f>
        <v>-2000</v>
      </c>
      <c r="W106" s="85" t="n">
        <f aca="false">SUM('план на 2016'!$L107:W107)-SUM('членские взносы'!$M107:W107)</f>
        <v>-2200</v>
      </c>
      <c r="X106" s="85" t="n">
        <f aca="false">SUM('план на 2016'!$L107:X107)-SUM('членские взносы'!$M107:X107)</f>
        <v>-2400</v>
      </c>
      <c r="Y106" s="59" t="n">
        <f aca="false">X106</f>
        <v>-2400</v>
      </c>
    </row>
    <row collapsed="false" customFormat="false" customHeight="false" hidden="false" ht="15" outlineLevel="0" r="107">
      <c r="A107" s="19" t="n">
        <f aca="false">VLOOKUP(B107,справочник!$B$2:$E$322,4,0)</f>
        <v>5</v>
      </c>
      <c r="B107" s="0" t="e">
        <f aca="false">CONCATENATE(C107;D107)</f>
        <v>#VALUE!</v>
      </c>
      <c r="C107" s="24" t="n">
        <v>5</v>
      </c>
      <c r="D107" s="29" t="s">
        <v>149</v>
      </c>
      <c r="E107" s="24" t="s">
        <v>473</v>
      </c>
      <c r="F107" s="30" t="n">
        <v>41071</v>
      </c>
      <c r="G107" s="30" t="n">
        <v>41061</v>
      </c>
      <c r="H107" s="31" t="n">
        <f aca="false">INT(($H$326-G107)/30)</f>
        <v>43</v>
      </c>
      <c r="I107" s="24" t="n">
        <f aca="false">H107*1000</f>
        <v>43000</v>
      </c>
      <c r="J107" s="31" t="n">
        <f aca="false">32000</f>
        <v>32000</v>
      </c>
      <c r="K107" s="31"/>
      <c r="L107" s="59" t="n">
        <f aca="false">I107-J107-K107</f>
        <v>11000</v>
      </c>
      <c r="M107" s="85" t="n">
        <f aca="false">SUM('план на 2016'!$L108:M108)-SUM('членские взносы'!$M108:M108)</f>
        <v>11800</v>
      </c>
      <c r="N107" s="85" t="n">
        <f aca="false">SUM('план на 2016'!$L108:N108)-SUM('членские взносы'!$M108:N108)</f>
        <v>12600</v>
      </c>
      <c r="O107" s="85" t="n">
        <f aca="false">SUM('план на 2016'!$L108:O108)-SUM('членские взносы'!$M108:O108)</f>
        <v>13400</v>
      </c>
      <c r="P107" s="85" t="n">
        <f aca="false">SUM('план на 2016'!$L108:P108)-SUM('членские взносы'!$M108:P108)</f>
        <v>14200</v>
      </c>
      <c r="Q107" s="85" t="n">
        <f aca="false">SUM('план на 2016'!$L108:Q108)-SUM('членские взносы'!$M108:Q108)</f>
        <v>15000</v>
      </c>
      <c r="R107" s="85" t="n">
        <f aca="false">SUM('план на 2016'!$L108:R108)-SUM('членские взносы'!$M108:R108)</f>
        <v>15800</v>
      </c>
      <c r="S107" s="85" t="n">
        <f aca="false">SUM('план на 2016'!$L108:S108)-SUM('членские взносы'!$M108:S108)</f>
        <v>16600</v>
      </c>
      <c r="T107" s="85" t="n">
        <f aca="false">SUM('план на 2016'!$L108:T108)-SUM('членские взносы'!$M108:T108)</f>
        <v>17400</v>
      </c>
      <c r="U107" s="85" t="n">
        <f aca="false">SUM('план на 2016'!$L108:U108)-SUM('членские взносы'!$M108:U108)</f>
        <v>18200</v>
      </c>
      <c r="V107" s="85" t="n">
        <f aca="false">SUM('план на 2016'!$L108:V108)-SUM('членские взносы'!$M108:V108)</f>
        <v>19000</v>
      </c>
      <c r="W107" s="85" t="n">
        <f aca="false">SUM('план на 2016'!$L108:W108)-SUM('членские взносы'!$M108:W108)</f>
        <v>19800</v>
      </c>
      <c r="X107" s="85" t="n">
        <f aca="false">SUM('план на 2016'!$L108:X108)-SUM('членские взносы'!$M108:X108)</f>
        <v>20600</v>
      </c>
      <c r="Y107" s="59" t="n">
        <f aca="false">X107</f>
        <v>20600</v>
      </c>
    </row>
    <row collapsed="false" customFormat="false" customHeight="false" hidden="false" ht="15" outlineLevel="0" r="108">
      <c r="A108" s="19" t="n">
        <f aca="false">VLOOKUP(B108,справочник!$B$2:$E$322,4,0)</f>
        <v>214</v>
      </c>
      <c r="B108" s="0" t="e">
        <f aca="false">CONCATENATE(C108;D108)</f>
        <v>#VALUE!</v>
      </c>
      <c r="C108" s="24" t="n">
        <v>223</v>
      </c>
      <c r="D108" s="29" t="s">
        <v>295</v>
      </c>
      <c r="E108" s="24" t="s">
        <v>474</v>
      </c>
      <c r="F108" s="30" t="n">
        <v>41807</v>
      </c>
      <c r="G108" s="30" t="n">
        <v>41791</v>
      </c>
      <c r="H108" s="31" t="n">
        <f aca="false">INT(($H$326-G108)/30)</f>
        <v>19</v>
      </c>
      <c r="I108" s="24" t="n">
        <f aca="false">H108*1000</f>
        <v>19000</v>
      </c>
      <c r="J108" s="31" t="n">
        <v>19000</v>
      </c>
      <c r="K108" s="31"/>
      <c r="L108" s="59" t="n">
        <f aca="false">I108-J108-K108</f>
        <v>0</v>
      </c>
      <c r="M108" s="85" t="n">
        <f aca="false">SUM('план на 2016'!$L109:M109)-SUM('членские взносы'!$M109:M109)</f>
        <v>800</v>
      </c>
      <c r="N108" s="85" t="n">
        <f aca="false">SUM('план на 2016'!$L109:N109)-SUM('членские взносы'!$M109:N109)</f>
        <v>-1400</v>
      </c>
      <c r="O108" s="85" t="n">
        <f aca="false">SUM('план на 2016'!$L109:O109)-SUM('членские взносы'!$M109:O109)</f>
        <v>-600</v>
      </c>
      <c r="P108" s="85" t="n">
        <f aca="false">SUM('план на 2016'!$L109:P109)-SUM('членские взносы'!$M109:P109)</f>
        <v>200</v>
      </c>
      <c r="Q108" s="85" t="n">
        <f aca="false">SUM('план на 2016'!$L109:Q109)-SUM('членские взносы'!$M109:Q109)</f>
        <v>1000</v>
      </c>
      <c r="R108" s="85" t="n">
        <f aca="false">SUM('план на 2016'!$L109:R109)-SUM('членские взносы'!$M109:R109)</f>
        <v>-200</v>
      </c>
      <c r="S108" s="85" t="n">
        <f aca="false">SUM('план на 2016'!$L109:S109)-SUM('членские взносы'!$M109:S109)</f>
        <v>600</v>
      </c>
      <c r="T108" s="85" t="n">
        <f aca="false">SUM('план на 2016'!$L109:T109)-SUM('членские взносы'!$M109:T109)</f>
        <v>1400</v>
      </c>
      <c r="U108" s="85" t="n">
        <f aca="false">SUM('план на 2016'!$L109:U109)-SUM('членские взносы'!$M109:U109)</f>
        <v>0</v>
      </c>
      <c r="V108" s="85" t="n">
        <f aca="false">SUM('план на 2016'!$L109:V109)-SUM('членские взносы'!$M109:V109)</f>
        <v>800</v>
      </c>
      <c r="W108" s="85" t="n">
        <f aca="false">SUM('план на 2016'!$L109:W109)-SUM('членские взносы'!$M109:W109)</f>
        <v>800</v>
      </c>
      <c r="X108" s="85" t="n">
        <f aca="false">SUM('план на 2016'!$L109:X109)-SUM('членские взносы'!$M109:X109)</f>
        <v>0</v>
      </c>
      <c r="Y108" s="59" t="n">
        <f aca="false">X108</f>
        <v>0</v>
      </c>
    </row>
    <row collapsed="false" customFormat="false" customHeight="false" hidden="false" ht="15" outlineLevel="0" r="109">
      <c r="A109" s="19" t="n">
        <f aca="false">VLOOKUP(B109,справочник!$B$2:$E$322,4,0)</f>
        <v>279</v>
      </c>
      <c r="B109" s="0" t="e">
        <f aca="false">CONCATENATE(C109;D109)</f>
        <v>#VALUE!</v>
      </c>
      <c r="C109" s="24" t="n">
        <v>291</v>
      </c>
      <c r="D109" s="29" t="s">
        <v>170</v>
      </c>
      <c r="E109" s="24" t="s">
        <v>475</v>
      </c>
      <c r="F109" s="30" t="n">
        <v>40890</v>
      </c>
      <c r="G109" s="30" t="n">
        <v>40878</v>
      </c>
      <c r="H109" s="31" t="n">
        <f aca="false">INT(($H$326-G109)/30)</f>
        <v>49</v>
      </c>
      <c r="I109" s="24" t="n">
        <f aca="false">H109*1000</f>
        <v>49000</v>
      </c>
      <c r="J109" s="31" t="n">
        <f aca="false">42000+1000</f>
        <v>43000</v>
      </c>
      <c r="K109" s="31"/>
      <c r="L109" s="59" t="n">
        <f aca="false">I109-J109-K109</f>
        <v>6000</v>
      </c>
      <c r="M109" s="85" t="n">
        <f aca="false">SUM('план на 2016'!$L110:M110)-SUM('членские взносы'!$M110:M110)</f>
        <v>6800</v>
      </c>
      <c r="N109" s="85" t="n">
        <f aca="false">SUM('план на 2016'!$L110:N110)-SUM('членские взносы'!$M110:N110)</f>
        <v>7600</v>
      </c>
      <c r="O109" s="85" t="n">
        <f aca="false">SUM('план на 2016'!$L110:O110)-SUM('членские взносы'!$M110:O110)</f>
        <v>8400</v>
      </c>
      <c r="P109" s="85" t="n">
        <f aca="false">SUM('план на 2016'!$L110:P110)-SUM('членские взносы'!$M110:P110)</f>
        <v>9200</v>
      </c>
      <c r="Q109" s="85" t="n">
        <f aca="false">SUM('план на 2016'!$L110:Q110)-SUM('членские взносы'!$M110:Q110)</f>
        <v>10000</v>
      </c>
      <c r="R109" s="85" t="n">
        <f aca="false">SUM('план на 2016'!$L110:R110)-SUM('членские взносы'!$M110:R110)</f>
        <v>10800</v>
      </c>
      <c r="S109" s="85" t="n">
        <f aca="false">SUM('план на 2016'!$L110:S110)-SUM('членские взносы'!$M110:S110)</f>
        <v>11600</v>
      </c>
      <c r="T109" s="85" t="n">
        <f aca="false">SUM('план на 2016'!$L110:T110)-SUM('членские взносы'!$M110:T110)</f>
        <v>12400</v>
      </c>
      <c r="U109" s="85" t="n">
        <f aca="false">SUM('план на 2016'!$L110:U110)-SUM('членские взносы'!$M110:U110)</f>
        <v>13200</v>
      </c>
      <c r="V109" s="85" t="n">
        <f aca="false">SUM('план на 2016'!$L110:V110)-SUM('членские взносы'!$M110:V110)</f>
        <v>14000</v>
      </c>
      <c r="W109" s="85" t="n">
        <f aca="false">SUM('план на 2016'!$L110:W110)-SUM('членские взносы'!$M110:W110)</f>
        <v>14800</v>
      </c>
      <c r="X109" s="85" t="n">
        <f aca="false">SUM('план на 2016'!$L110:X110)-SUM('членские взносы'!$M110:X110)</f>
        <v>15600</v>
      </c>
      <c r="Y109" s="59" t="n">
        <f aca="false">X109</f>
        <v>15600</v>
      </c>
    </row>
    <row collapsed="false" customFormat="false" customHeight="false" hidden="false" ht="15" outlineLevel="0" r="110">
      <c r="A110" s="19" t="n">
        <f aca="false">VLOOKUP(B110,справочник!$B$2:$E$322,4,0)</f>
        <v>197</v>
      </c>
      <c r="B110" s="0" t="e">
        <f aca="false">CONCATENATE(C110;D110)</f>
        <v>#VALUE!</v>
      </c>
      <c r="C110" s="24" t="n">
        <v>205</v>
      </c>
      <c r="D110" s="29" t="s">
        <v>52</v>
      </c>
      <c r="E110" s="24" t="s">
        <v>476</v>
      </c>
      <c r="F110" s="30" t="n">
        <v>40862</v>
      </c>
      <c r="G110" s="30" t="n">
        <v>40848</v>
      </c>
      <c r="H110" s="31" t="n">
        <f aca="false">INT(($H$326-G110)/30)</f>
        <v>50</v>
      </c>
      <c r="I110" s="24" t="n">
        <f aca="false">H110*1000</f>
        <v>50000</v>
      </c>
      <c r="J110" s="31" t="n">
        <v>16000</v>
      </c>
      <c r="K110" s="31"/>
      <c r="L110" s="59" t="n">
        <f aca="false">I110-J110-K110</f>
        <v>34000</v>
      </c>
      <c r="M110" s="85" t="n">
        <f aca="false">SUM('план на 2016'!$L111:M111)-SUM('членские взносы'!$M111:M111)</f>
        <v>1800</v>
      </c>
      <c r="N110" s="85" t="n">
        <f aca="false">SUM('план на 2016'!$L111:N111)-SUM('членские взносы'!$M111:N111)</f>
        <v>2600</v>
      </c>
      <c r="O110" s="85" t="n">
        <f aca="false">SUM('план на 2016'!$L111:O111)-SUM('членские взносы'!$M111:O111)</f>
        <v>3400</v>
      </c>
      <c r="P110" s="85" t="n">
        <f aca="false">SUM('план на 2016'!$L111:P111)-SUM('членские взносы'!$M111:P111)</f>
        <v>4200</v>
      </c>
      <c r="Q110" s="85" t="n">
        <f aca="false">SUM('план на 2016'!$L111:Q111)-SUM('членские взносы'!$M111:Q111)</f>
        <v>5000</v>
      </c>
      <c r="R110" s="85" t="n">
        <f aca="false">SUM('план на 2016'!$L111:R111)-SUM('членские взносы'!$M111:R111)</f>
        <v>5800</v>
      </c>
      <c r="S110" s="85" t="n">
        <f aca="false">SUM('план на 2016'!$L111:S111)-SUM('членские взносы'!$M111:S111)</f>
        <v>0</v>
      </c>
      <c r="T110" s="85" t="n">
        <f aca="false">SUM('план на 2016'!$L111:T111)-SUM('членские взносы'!$M111:T111)</f>
        <v>800</v>
      </c>
      <c r="U110" s="85" t="n">
        <f aca="false">SUM('план на 2016'!$L111:U111)-SUM('членские взносы'!$M111:U111)</f>
        <v>1600</v>
      </c>
      <c r="V110" s="85" t="n">
        <f aca="false">SUM('план на 2016'!$L111:V111)-SUM('членские взносы'!$M111:V111)</f>
        <v>2400</v>
      </c>
      <c r="W110" s="85" t="n">
        <f aca="false">SUM('план на 2016'!$L111:W111)-SUM('членские взносы'!$M111:W111)</f>
        <v>3200</v>
      </c>
      <c r="X110" s="85" t="n">
        <f aca="false">SUM('план на 2016'!$L111:X111)-SUM('членские взносы'!$M111:X111)</f>
        <v>4000</v>
      </c>
      <c r="Y110" s="59" t="n">
        <f aca="false">X110</f>
        <v>4000</v>
      </c>
    </row>
    <row collapsed="false" customFormat="false" customHeight="false" hidden="false" ht="15" outlineLevel="0" r="111">
      <c r="A111" s="19" t="n">
        <f aca="false">VLOOKUP(B111,справочник!$B$2:$E$322,4,0)</f>
        <v>295</v>
      </c>
      <c r="B111" s="0" t="e">
        <f aca="false">CONCATENATE(C111;D111)</f>
        <v>#VALUE!</v>
      </c>
      <c r="C111" s="24" t="n">
        <v>310</v>
      </c>
      <c r="D111" s="29" t="s">
        <v>40</v>
      </c>
      <c r="E111" s="24" t="s">
        <v>477</v>
      </c>
      <c r="F111" s="30" t="n">
        <v>41994</v>
      </c>
      <c r="G111" s="30" t="n">
        <v>42005</v>
      </c>
      <c r="H111" s="31" t="n">
        <f aca="false">INT(($H$326-G111)/30)</f>
        <v>12</v>
      </c>
      <c r="I111" s="24" t="n">
        <f aca="false">H111*1000</f>
        <v>12000</v>
      </c>
      <c r="J111" s="31"/>
      <c r="K111" s="31"/>
      <c r="L111" s="59" t="n">
        <f aca="false">I111-J111-K111</f>
        <v>12000</v>
      </c>
      <c r="M111" s="85" t="n">
        <f aca="false">SUM('план на 2016'!$L112:M112)-SUM('членские взносы'!$M112:M112)</f>
        <v>12800</v>
      </c>
      <c r="N111" s="85" t="n">
        <f aca="false">SUM('план на 2016'!$L112:N112)-SUM('членские взносы'!$M112:N112)</f>
        <v>13600</v>
      </c>
      <c r="O111" s="85" t="n">
        <f aca="false">SUM('план на 2016'!$L112:O112)-SUM('членские взносы'!$M112:O112)</f>
        <v>14400</v>
      </c>
      <c r="P111" s="85" t="n">
        <f aca="false">SUM('план на 2016'!$L112:P112)-SUM('членские взносы'!$M112:P112)</f>
        <v>15200</v>
      </c>
      <c r="Q111" s="85" t="n">
        <f aca="false">SUM('план на 2016'!$L112:Q112)-SUM('членские взносы'!$M112:Q112)</f>
        <v>16000</v>
      </c>
      <c r="R111" s="85" t="n">
        <f aca="false">SUM('план на 2016'!$L112:R112)-SUM('членские взносы'!$M112:R112)</f>
        <v>16800</v>
      </c>
      <c r="S111" s="85" t="n">
        <f aca="false">SUM('план на 2016'!$L112:S112)-SUM('членские взносы'!$M112:S112)</f>
        <v>17600</v>
      </c>
      <c r="T111" s="85" t="n">
        <f aca="false">SUM('план на 2016'!$L112:T112)-SUM('членские взносы'!$M112:T112)</f>
        <v>250</v>
      </c>
      <c r="U111" s="85" t="n">
        <f aca="false">SUM('план на 2016'!$L112:U112)-SUM('членские взносы'!$M112:U112)</f>
        <v>1050</v>
      </c>
      <c r="V111" s="85" t="n">
        <f aca="false">SUM('план на 2016'!$L112:V112)-SUM('членские взносы'!$M112:V112)</f>
        <v>1850</v>
      </c>
      <c r="W111" s="85" t="n">
        <f aca="false">SUM('план на 2016'!$L112:W112)-SUM('членские взносы'!$M112:W112)</f>
        <v>2650</v>
      </c>
      <c r="X111" s="85" t="n">
        <f aca="false">SUM('план на 2016'!$L112:X112)-SUM('членские взносы'!$M112:X112)</f>
        <v>3450</v>
      </c>
      <c r="Y111" s="59" t="n">
        <f aca="false">X111</f>
        <v>3450</v>
      </c>
    </row>
    <row collapsed="false" customFormat="false" customHeight="false" hidden="false" ht="15" outlineLevel="0" r="112">
      <c r="A112" s="19" t="n">
        <f aca="false">VLOOKUP(B112,справочник!$B$2:$E$322,4,0)</f>
        <v>196</v>
      </c>
      <c r="B112" s="0" t="e">
        <f aca="false">CONCATENATE(C112;D112)</f>
        <v>#VALUE!</v>
      </c>
      <c r="C112" s="24" t="n">
        <v>204</v>
      </c>
      <c r="D112" s="29" t="s">
        <v>281</v>
      </c>
      <c r="E112" s="24" t="s">
        <v>478</v>
      </c>
      <c r="F112" s="30" t="n">
        <v>40945</v>
      </c>
      <c r="G112" s="30" t="n">
        <v>40969</v>
      </c>
      <c r="H112" s="31" t="n">
        <f aca="false">INT(($H$326-G112)/30)</f>
        <v>46</v>
      </c>
      <c r="I112" s="24" t="n">
        <f aca="false">H112*1000</f>
        <v>46000</v>
      </c>
      <c r="J112" s="31" t="n">
        <f aca="false">46000</f>
        <v>46000</v>
      </c>
      <c r="K112" s="31"/>
      <c r="L112" s="59" t="n">
        <f aca="false">I112-J112-K112</f>
        <v>0</v>
      </c>
      <c r="M112" s="85" t="n">
        <f aca="false">SUM('план на 2016'!$L113:M113)-SUM('членские взносы'!$M113:M113)</f>
        <v>800</v>
      </c>
      <c r="N112" s="85" t="n">
        <f aca="false">SUM('план на 2016'!$L113:N113)-SUM('членские взносы'!$M113:N113)</f>
        <v>1600</v>
      </c>
      <c r="O112" s="85" t="n">
        <f aca="false">SUM('план на 2016'!$L113:O113)-SUM('членские взносы'!$M113:O113)</f>
        <v>-2400</v>
      </c>
      <c r="P112" s="85" t="n">
        <f aca="false">SUM('план на 2016'!$L113:P113)-SUM('членские взносы'!$M113:P113)</f>
        <v>-1600</v>
      </c>
      <c r="Q112" s="85" t="n">
        <f aca="false">SUM('план на 2016'!$L113:Q113)-SUM('членские взносы'!$M113:Q113)</f>
        <v>-800</v>
      </c>
      <c r="R112" s="85" t="n">
        <f aca="false">SUM('план на 2016'!$L113:R113)-SUM('членские взносы'!$M113:R113)</f>
        <v>0</v>
      </c>
      <c r="S112" s="85" t="n">
        <f aca="false">SUM('план на 2016'!$L113:S113)-SUM('членские взносы'!$M113:S113)</f>
        <v>800</v>
      </c>
      <c r="T112" s="85" t="n">
        <f aca="false">SUM('план на 2016'!$L113:T113)-SUM('членские взносы'!$M113:T113)</f>
        <v>-800</v>
      </c>
      <c r="U112" s="85" t="n">
        <f aca="false">SUM('план на 2016'!$L113:U113)-SUM('членские взносы'!$M113:U113)</f>
        <v>0</v>
      </c>
      <c r="V112" s="85" t="n">
        <f aca="false">SUM('план на 2016'!$L113:V113)-SUM('членские взносы'!$M113:V113)</f>
        <v>800</v>
      </c>
      <c r="W112" s="85" t="n">
        <f aca="false">SUM('план на 2016'!$L113:W113)-SUM('членские взносы'!$M113:W113)</f>
        <v>-800</v>
      </c>
      <c r="X112" s="85" t="n">
        <f aca="false">SUM('план на 2016'!$L113:X113)-SUM('членские взносы'!$M113:X113)</f>
        <v>0</v>
      </c>
      <c r="Y112" s="59" t="n">
        <f aca="false">X112</f>
        <v>0</v>
      </c>
    </row>
    <row collapsed="false" customFormat="false" customHeight="false" hidden="false" ht="25.5" outlineLevel="0" r="113">
      <c r="A113" s="19" t="n">
        <f aca="false">VLOOKUP(B113,справочник!$B$2:$E$322,4,0)</f>
        <v>124</v>
      </c>
      <c r="B113" s="0" t="e">
        <f aca="false">CONCATENATE(C113;D113)</f>
        <v>#VALUE!</v>
      </c>
      <c r="C113" s="24" t="n">
        <v>129</v>
      </c>
      <c r="D113" s="29" t="s">
        <v>125</v>
      </c>
      <c r="E113" s="24" t="s">
        <v>479</v>
      </c>
      <c r="F113" s="30" t="n">
        <v>41580</v>
      </c>
      <c r="G113" s="30" t="n">
        <v>41609</v>
      </c>
      <c r="H113" s="31" t="n">
        <f aca="false">INT(($H$326-G113)/30)</f>
        <v>25</v>
      </c>
      <c r="I113" s="24" t="n">
        <f aca="false">H113*1000</f>
        <v>25000</v>
      </c>
      <c r="J113" s="31" t="n">
        <f aca="false">5000+1500+5000</f>
        <v>11500</v>
      </c>
      <c r="K113" s="31"/>
      <c r="L113" s="59" t="n">
        <f aca="false">I113-J113-K113</f>
        <v>13500</v>
      </c>
      <c r="M113" s="85" t="n">
        <f aca="false">SUM('план на 2016'!$L114:M114)-SUM('членские взносы'!$M114:M114)</f>
        <v>14300</v>
      </c>
      <c r="N113" s="85" t="n">
        <f aca="false">SUM('план на 2016'!$L114:N114)-SUM('членские взносы'!$M114:N114)</f>
        <v>15100</v>
      </c>
      <c r="O113" s="85" t="n">
        <f aca="false">SUM('план на 2016'!$L114:O114)-SUM('членские взносы'!$M114:O114)</f>
        <v>15900</v>
      </c>
      <c r="P113" s="85" t="n">
        <f aca="false">SUM('план на 2016'!$L114:P114)-SUM('членские взносы'!$M114:P114)</f>
        <v>16700</v>
      </c>
      <c r="Q113" s="85" t="n">
        <f aca="false">SUM('план на 2016'!$L114:Q114)-SUM('членские взносы'!$M114:Q114)</f>
        <v>17500</v>
      </c>
      <c r="R113" s="85" t="n">
        <f aca="false">SUM('план на 2016'!$L114:R114)-SUM('членские взносы'!$M114:R114)</f>
        <v>18300</v>
      </c>
      <c r="S113" s="85" t="n">
        <f aca="false">SUM('план на 2016'!$L114:S114)-SUM('членские взносы'!$M114:S114)</f>
        <v>19100</v>
      </c>
      <c r="T113" s="85" t="n">
        <f aca="false">SUM('план на 2016'!$L114:T114)-SUM('членские взносы'!$M114:T114)</f>
        <v>19900</v>
      </c>
      <c r="U113" s="85" t="n">
        <f aca="false">SUM('план на 2016'!$L114:U114)-SUM('членские взносы'!$M114:U114)</f>
        <v>20700</v>
      </c>
      <c r="V113" s="85" t="n">
        <f aca="false">SUM('план на 2016'!$L114:V114)-SUM('членские взносы'!$M114:V114)</f>
        <v>21500</v>
      </c>
      <c r="W113" s="85" t="n">
        <f aca="false">SUM('план на 2016'!$L114:W114)-SUM('членские взносы'!$M114:W114)</f>
        <v>22300</v>
      </c>
      <c r="X113" s="85" t="n">
        <f aca="false">SUM('план на 2016'!$L114:X114)-SUM('членские взносы'!$M114:X114)</f>
        <v>23100</v>
      </c>
      <c r="Y113" s="59" t="n">
        <f aca="false">X113</f>
        <v>23100</v>
      </c>
    </row>
    <row collapsed="false" customFormat="false" customHeight="false" hidden="false" ht="15" outlineLevel="0" r="114">
      <c r="A114" s="19" t="n">
        <f aca="false">VLOOKUP(B114,справочник!$B$2:$E$322,4,0)</f>
        <v>250</v>
      </c>
      <c r="B114" s="0" t="e">
        <f aca="false">CONCATENATE(C114;D114)</f>
        <v>#VALUE!</v>
      </c>
      <c r="C114" s="24" t="n">
        <v>261</v>
      </c>
      <c r="D114" s="29" t="s">
        <v>146</v>
      </c>
      <c r="E114" s="24" t="s">
        <v>480</v>
      </c>
      <c r="F114" s="30" t="n">
        <v>41498</v>
      </c>
      <c r="G114" s="30" t="n">
        <v>41518</v>
      </c>
      <c r="H114" s="31" t="n">
        <f aca="false">INT(($H$326-G114)/30)</f>
        <v>28</v>
      </c>
      <c r="I114" s="24" t="n">
        <f aca="false">H114*1000</f>
        <v>28000</v>
      </c>
      <c r="J114" s="31" t="n">
        <v>13000</v>
      </c>
      <c r="K114" s="31" t="n">
        <v>1000</v>
      </c>
      <c r="L114" s="59" t="n">
        <f aca="false">I114-J114-K114</f>
        <v>14000</v>
      </c>
      <c r="M114" s="85" t="n">
        <f aca="false">SUM('план на 2016'!$L115:M115)-SUM('членские взносы'!$M115:M115)</f>
        <v>14800</v>
      </c>
      <c r="N114" s="85" t="n">
        <f aca="false">SUM('план на 2016'!$L115:N115)-SUM('членские взносы'!$M115:N115)</f>
        <v>15600</v>
      </c>
      <c r="O114" s="85" t="n">
        <f aca="false">SUM('план на 2016'!$L115:O115)-SUM('членские взносы'!$M115:O115)</f>
        <v>15400</v>
      </c>
      <c r="P114" s="85" t="n">
        <f aca="false">SUM('план на 2016'!$L115:P115)-SUM('членские взносы'!$M115:P115)</f>
        <v>15200</v>
      </c>
      <c r="Q114" s="85" t="n">
        <f aca="false">SUM('план на 2016'!$L115:Q115)-SUM('членские взносы'!$M115:Q115)</f>
        <v>15000</v>
      </c>
      <c r="R114" s="85" t="n">
        <f aca="false">SUM('план на 2016'!$L115:R115)-SUM('членские взносы'!$M115:R115)</f>
        <v>15800</v>
      </c>
      <c r="S114" s="85" t="n">
        <f aca="false">SUM('план на 2016'!$L115:S115)-SUM('членские взносы'!$M115:S115)</f>
        <v>15600</v>
      </c>
      <c r="T114" s="85" t="n">
        <f aca="false">SUM('план на 2016'!$L115:T115)-SUM('членские взносы'!$M115:T115)</f>
        <v>16400</v>
      </c>
      <c r="U114" s="85" t="n">
        <f aca="false">SUM('план на 2016'!$L115:U115)-SUM('членские взносы'!$M115:U115)</f>
        <v>14700</v>
      </c>
      <c r="V114" s="85" t="n">
        <f aca="false">SUM('план на 2016'!$L115:V115)-SUM('членские взносы'!$M115:V115)</f>
        <v>14500</v>
      </c>
      <c r="W114" s="85" t="n">
        <f aca="false">SUM('план на 2016'!$L115:W115)-SUM('членские взносы'!$M115:W115)</f>
        <v>13300</v>
      </c>
      <c r="X114" s="85" t="n">
        <f aca="false">SUM('план на 2016'!$L115:X115)-SUM('членские взносы'!$M115:X115)</f>
        <v>14100</v>
      </c>
      <c r="Y114" s="59" t="n">
        <f aca="false">X114</f>
        <v>14100</v>
      </c>
    </row>
    <row collapsed="false" customFormat="false" customHeight="false" hidden="false" ht="15" outlineLevel="0" r="115">
      <c r="A115" s="19" t="n">
        <f aca="false">VLOOKUP(B115,справочник!$B$2:$E$322,4,0)</f>
        <v>153</v>
      </c>
      <c r="B115" s="0" t="e">
        <f aca="false">CONCATENATE(C115;D115)</f>
        <v>#VALUE!</v>
      </c>
      <c r="C115" s="24" t="n">
        <v>161</v>
      </c>
      <c r="D115" s="29" t="s">
        <v>252</v>
      </c>
      <c r="E115" s="24" t="s">
        <v>481</v>
      </c>
      <c r="F115" s="30" t="n">
        <v>40994</v>
      </c>
      <c r="G115" s="30" t="n">
        <v>41000</v>
      </c>
      <c r="H115" s="31" t="n">
        <f aca="false">INT(($H$326-G115)/30)</f>
        <v>45</v>
      </c>
      <c r="I115" s="24" t="n">
        <f aca="false">H115*1000</f>
        <v>45000</v>
      </c>
      <c r="J115" s="31" t="n">
        <v>41000</v>
      </c>
      <c r="K115" s="31"/>
      <c r="L115" s="59" t="n">
        <f aca="false">I115-J115-K115</f>
        <v>4000</v>
      </c>
      <c r="M115" s="85" t="n">
        <f aca="false">SUM('план на 2016'!$L116:M116)-SUM('членские взносы'!$M116:M116)</f>
        <v>4800</v>
      </c>
      <c r="N115" s="85" t="n">
        <f aca="false">SUM('план на 2016'!$L116:N116)-SUM('членские взносы'!$M116:N116)</f>
        <v>5600</v>
      </c>
      <c r="O115" s="85" t="n">
        <f aca="false">SUM('план на 2016'!$L116:O116)-SUM('членские взносы'!$M116:O116)</f>
        <v>6400</v>
      </c>
      <c r="P115" s="85" t="n">
        <f aca="false">SUM('план на 2016'!$L116:P116)-SUM('членские взносы'!$M116:P116)</f>
        <v>0</v>
      </c>
      <c r="Q115" s="85" t="n">
        <f aca="false">SUM('план на 2016'!$L116:Q116)-SUM('членские взносы'!$M116:Q116)</f>
        <v>800</v>
      </c>
      <c r="R115" s="85" t="n">
        <f aca="false">SUM('план на 2016'!$L116:R116)-SUM('членские взносы'!$M116:R116)</f>
        <v>1600</v>
      </c>
      <c r="S115" s="85" t="n">
        <f aca="false">SUM('план на 2016'!$L116:S116)-SUM('членские взносы'!$M116:S116)</f>
        <v>800</v>
      </c>
      <c r="T115" s="85" t="n">
        <f aca="false">SUM('план на 2016'!$L116:T116)-SUM('членские взносы'!$M116:T116)</f>
        <v>1600</v>
      </c>
      <c r="U115" s="85" t="n">
        <f aca="false">SUM('план на 2016'!$L116:U116)-SUM('членские взносы'!$M116:U116)</f>
        <v>2400</v>
      </c>
      <c r="V115" s="85" t="n">
        <f aca="false">SUM('план на 2016'!$L116:V116)-SUM('членские взносы'!$M116:V116)</f>
        <v>3200</v>
      </c>
      <c r="W115" s="85" t="n">
        <f aca="false">SUM('план на 2016'!$L116:W116)-SUM('членские взносы'!$M116:W116)</f>
        <v>0</v>
      </c>
      <c r="X115" s="85" t="n">
        <f aca="false">SUM('план на 2016'!$L116:X116)-SUM('членские взносы'!$M116:X116)</f>
        <v>800</v>
      </c>
      <c r="Y115" s="59" t="n">
        <f aca="false">X115</f>
        <v>800</v>
      </c>
    </row>
    <row collapsed="false" customFormat="false" customHeight="false" hidden="false" ht="15" outlineLevel="0" r="116">
      <c r="A116" s="19" t="n">
        <f aca="false">VLOOKUP(B116,справочник!$B$2:$E$322,4,0)</f>
        <v>106</v>
      </c>
      <c r="B116" s="0" t="e">
        <f aca="false">CONCATENATE(C116;D116)</f>
        <v>#VALUE!</v>
      </c>
      <c r="C116" s="24" t="n">
        <v>111</v>
      </c>
      <c r="D116" s="29" t="s">
        <v>50</v>
      </c>
      <c r="E116" s="24" t="s">
        <v>482</v>
      </c>
      <c r="F116" s="30" t="n">
        <v>41463</v>
      </c>
      <c r="G116" s="30" t="n">
        <v>41282</v>
      </c>
      <c r="H116" s="31" t="n">
        <f aca="false">INT(($H$326-G116)/30)</f>
        <v>36</v>
      </c>
      <c r="I116" s="24" t="n">
        <f aca="false">H116*1000</f>
        <v>36000</v>
      </c>
      <c r="J116" s="31" t="n">
        <v>1000</v>
      </c>
      <c r="K116" s="31"/>
      <c r="L116" s="59" t="n">
        <f aca="false">I116-J116-K116</f>
        <v>35000</v>
      </c>
      <c r="M116" s="85" t="n">
        <f aca="false">SUM('план на 2016'!$L117:M117)-SUM('членские взносы'!$M117:M117)</f>
        <v>35800</v>
      </c>
      <c r="N116" s="85" t="n">
        <f aca="false">SUM('план на 2016'!$L117:N117)-SUM('членские взносы'!$M117:N117)</f>
        <v>36600</v>
      </c>
      <c r="O116" s="85" t="n">
        <f aca="false">SUM('план на 2016'!$L117:O117)-SUM('членские взносы'!$M117:O117)</f>
        <v>37400</v>
      </c>
      <c r="P116" s="85" t="n">
        <f aca="false">SUM('план на 2016'!$L117:P117)-SUM('членские взносы'!$M117:P117)</f>
        <v>38200</v>
      </c>
      <c r="Q116" s="85" t="n">
        <f aca="false">SUM('план на 2016'!$L117:Q117)-SUM('членские взносы'!$M117:Q117)</f>
        <v>39000</v>
      </c>
      <c r="R116" s="85" t="n">
        <f aca="false">SUM('план на 2016'!$L117:R117)-SUM('членские взносы'!$M117:R117)</f>
        <v>39800</v>
      </c>
      <c r="S116" s="85" t="n">
        <f aca="false">SUM('план на 2016'!$L117:S117)-SUM('членские взносы'!$M117:S117)</f>
        <v>40600</v>
      </c>
      <c r="T116" s="85" t="n">
        <f aca="false">SUM('план на 2016'!$L117:T117)-SUM('членские взносы'!$M117:T117)</f>
        <v>41400</v>
      </c>
      <c r="U116" s="85" t="n">
        <f aca="false">SUM('план на 2016'!$L117:U117)-SUM('членские взносы'!$M117:U117)</f>
        <v>42200</v>
      </c>
      <c r="V116" s="85" t="n">
        <f aca="false">SUM('план на 2016'!$L117:V117)-SUM('членские взносы'!$M117:V117)</f>
        <v>43000</v>
      </c>
      <c r="W116" s="85" t="n">
        <f aca="false">SUM('план на 2016'!$L117:W117)-SUM('членские взносы'!$M117:W117)</f>
        <v>43800</v>
      </c>
      <c r="X116" s="85" t="n">
        <f aca="false">SUM('план на 2016'!$L117:X117)-SUM('членские взносы'!$M117:X117)</f>
        <v>44600</v>
      </c>
      <c r="Y116" s="59" t="n">
        <f aca="false">X116</f>
        <v>44600</v>
      </c>
    </row>
    <row collapsed="false" customFormat="false" customHeight="false" hidden="false" ht="15" outlineLevel="0" r="117">
      <c r="A117" s="19" t="n">
        <f aca="false">VLOOKUP(B117,справочник!$B$2:$E$322,4,0)</f>
        <v>222</v>
      </c>
      <c r="B117" s="0" t="e">
        <f aca="false">CONCATENATE(C117;D117)</f>
        <v>#VALUE!</v>
      </c>
      <c r="C117" s="24" t="n">
        <v>231</v>
      </c>
      <c r="D117" s="29" t="s">
        <v>38</v>
      </c>
      <c r="E117" s="24" t="s">
        <v>483</v>
      </c>
      <c r="F117" s="30" t="n">
        <v>41429</v>
      </c>
      <c r="G117" s="30" t="n">
        <v>41456</v>
      </c>
      <c r="H117" s="31" t="n">
        <f aca="false">INT(($H$326-G117)/30)</f>
        <v>30</v>
      </c>
      <c r="I117" s="24" t="n">
        <f aca="false">H117*1000</f>
        <v>30000</v>
      </c>
      <c r="J117" s="31" t="n">
        <v>25000</v>
      </c>
      <c r="K117" s="31" t="n">
        <v>5000</v>
      </c>
      <c r="L117" s="59" t="n">
        <f aca="false">I117-J117-K117</f>
        <v>0</v>
      </c>
      <c r="M117" s="85" t="n">
        <f aca="false">SUM('план на 2016'!$L118:M118)-SUM('членские взносы'!$M118:M118)</f>
        <v>800</v>
      </c>
      <c r="N117" s="85" t="n">
        <f aca="false">SUM('план на 2016'!$L118:N118)-SUM('членские взносы'!$M118:N118)</f>
        <v>-1600</v>
      </c>
      <c r="O117" s="85" t="n">
        <f aca="false">SUM('план на 2016'!$L118:O118)-SUM('членские взносы'!$M118:O118)</f>
        <v>-800</v>
      </c>
      <c r="P117" s="85" t="n">
        <f aca="false">SUM('план на 2016'!$L118:P118)-SUM('членские взносы'!$M118:P118)</f>
        <v>0</v>
      </c>
      <c r="Q117" s="85" t="n">
        <f aca="false">SUM('план на 2016'!$L118:Q118)-SUM('членские взносы'!$M118:Q118)</f>
        <v>-3200</v>
      </c>
      <c r="R117" s="85" t="n">
        <f aca="false">SUM('план на 2016'!$L118:R118)-SUM('членские взносы'!$M118:R118)</f>
        <v>-2400</v>
      </c>
      <c r="S117" s="85" t="n">
        <f aca="false">SUM('план на 2016'!$L118:S118)-SUM('членские взносы'!$M118:S118)</f>
        <v>-1600</v>
      </c>
      <c r="T117" s="85" t="n">
        <f aca="false">SUM('план на 2016'!$L118:T118)-SUM('членские взносы'!$M118:T118)</f>
        <v>-800</v>
      </c>
      <c r="U117" s="85" t="n">
        <f aca="false">SUM('план на 2016'!$L118:U118)-SUM('членские взносы'!$M118:U118)</f>
        <v>0</v>
      </c>
      <c r="V117" s="85" t="n">
        <f aca="false">SUM('план на 2016'!$L118:V118)-SUM('членские взносы'!$M118:V118)</f>
        <v>-1600</v>
      </c>
      <c r="W117" s="85" t="n">
        <f aca="false">SUM('план на 2016'!$L118:W118)-SUM('членские взносы'!$M118:W118)</f>
        <v>-800</v>
      </c>
      <c r="X117" s="85" t="n">
        <f aca="false">SUM('план на 2016'!$L118:X118)-SUM('членские взносы'!$M118:X118)</f>
        <v>0</v>
      </c>
      <c r="Y117" s="59" t="n">
        <f aca="false">X117</f>
        <v>0</v>
      </c>
    </row>
    <row collapsed="false" customFormat="false" customHeight="false" hidden="false" ht="15" outlineLevel="0" r="118">
      <c r="A118" s="19" t="n">
        <f aca="false">VLOOKUP(B118,справочник!$B$2:$E$322,4,0)</f>
        <v>208</v>
      </c>
      <c r="B118" s="0" t="e">
        <f aca="false">CONCATENATE(C118;D118)</f>
        <v>#VALUE!</v>
      </c>
      <c r="C118" s="24" t="n">
        <v>218</v>
      </c>
      <c r="D118" s="29" t="s">
        <v>189</v>
      </c>
      <c r="E118" s="24" t="s">
        <v>484</v>
      </c>
      <c r="F118" s="30" t="n">
        <v>41052</v>
      </c>
      <c r="G118" s="30" t="n">
        <v>41061</v>
      </c>
      <c r="H118" s="31" t="n">
        <f aca="false">INT(($H$326-G118)/30)</f>
        <v>43</v>
      </c>
      <c r="I118" s="24" t="n">
        <f aca="false">H118*1000</f>
        <v>43000</v>
      </c>
      <c r="J118" s="31" t="n">
        <f aca="false">40500</f>
        <v>40500</v>
      </c>
      <c r="K118" s="31"/>
      <c r="L118" s="59" t="n">
        <f aca="false">I118-J118-K118</f>
        <v>2500</v>
      </c>
      <c r="M118" s="85" t="n">
        <f aca="false">SUM('план на 2016'!$L119:M119)-SUM('членские взносы'!$M119:M119)</f>
        <v>3300</v>
      </c>
      <c r="N118" s="85" t="n">
        <f aca="false">SUM('план на 2016'!$L119:N119)-SUM('членские взносы'!$M119:N119)</f>
        <v>4100</v>
      </c>
      <c r="O118" s="85" t="n">
        <f aca="false">SUM('план на 2016'!$L119:O119)-SUM('членские взносы'!$M119:O119)</f>
        <v>4900</v>
      </c>
      <c r="P118" s="85" t="n">
        <f aca="false">SUM('план на 2016'!$L119:P119)-SUM('членские взносы'!$M119:P119)</f>
        <v>5700</v>
      </c>
      <c r="Q118" s="85" t="n">
        <f aca="false">SUM('план на 2016'!$L119:Q119)-SUM('членские взносы'!$M119:Q119)</f>
        <v>6500</v>
      </c>
      <c r="R118" s="85" t="n">
        <f aca="false">SUM('план на 2016'!$L119:R119)-SUM('членские взносы'!$M119:R119)</f>
        <v>7300</v>
      </c>
      <c r="S118" s="85" t="n">
        <f aca="false">SUM('план на 2016'!$L119:S119)-SUM('членские взносы'!$M119:S119)</f>
        <v>8100</v>
      </c>
      <c r="T118" s="85" t="n">
        <f aca="false">SUM('план на 2016'!$L119:T119)-SUM('членские взносы'!$M119:T119)</f>
        <v>5300</v>
      </c>
      <c r="U118" s="85" t="n">
        <f aca="false">SUM('план на 2016'!$L119:U119)-SUM('членские взносы'!$M119:U119)</f>
        <v>6100</v>
      </c>
      <c r="V118" s="85" t="n">
        <f aca="false">SUM('план на 2016'!$L119:V119)-SUM('членские взносы'!$M119:V119)</f>
        <v>6900</v>
      </c>
      <c r="W118" s="85" t="n">
        <f aca="false">SUM('план на 2016'!$L119:W119)-SUM('членские взносы'!$M119:W119)</f>
        <v>7700</v>
      </c>
      <c r="X118" s="85" t="n">
        <f aca="false">SUM('план на 2016'!$L119:X119)-SUM('членские взносы'!$M119:X119)</f>
        <v>8500</v>
      </c>
      <c r="Y118" s="59" t="n">
        <f aca="false">X118</f>
        <v>8500</v>
      </c>
    </row>
    <row collapsed="false" customFormat="false" customHeight="false" hidden="false" ht="25.5" outlineLevel="0" r="119">
      <c r="A119" s="19" t="n">
        <f aca="false">VLOOKUP(B119,справочник!$B$2:$E$322,4,0)</f>
        <v>207</v>
      </c>
      <c r="B119" s="0" t="e">
        <f aca="false">CONCATENATE(C119;D119)</f>
        <v>#VALUE!</v>
      </c>
      <c r="C119" s="24" t="n">
        <v>217</v>
      </c>
      <c r="D119" s="29" t="s">
        <v>210</v>
      </c>
      <c r="E119" s="24"/>
      <c r="F119" s="24"/>
      <c r="G119" s="24"/>
      <c r="H119" s="31"/>
      <c r="I119" s="24" t="n">
        <f aca="false">H119*1000</f>
        <v>0</v>
      </c>
      <c r="J119" s="31"/>
      <c r="K119" s="31"/>
      <c r="L119" s="59" t="n">
        <f aca="false">I119-J119-K119</f>
        <v>0</v>
      </c>
      <c r="M119" s="85" t="n">
        <f aca="false">SUM('план на 2016'!$L120:M120)-SUM('членские взносы'!$M120:M120)</f>
        <v>800</v>
      </c>
      <c r="N119" s="85" t="n">
        <f aca="false">SUM('план на 2016'!$L120:N120)-SUM('членские взносы'!$M120:N120)</f>
        <v>1600</v>
      </c>
      <c r="O119" s="85" t="n">
        <f aca="false">SUM('план на 2016'!$L120:O120)-SUM('членские взносы'!$M120:O120)</f>
        <v>2400</v>
      </c>
      <c r="P119" s="85" t="n">
        <f aca="false">SUM('план на 2016'!$L120:P120)-SUM('членские взносы'!$M120:P120)</f>
        <v>3200</v>
      </c>
      <c r="Q119" s="85" t="n">
        <f aca="false">SUM('план на 2016'!$L120:Q120)-SUM('членские взносы'!$M120:Q120)</f>
        <v>4000</v>
      </c>
      <c r="R119" s="85" t="n">
        <f aca="false">SUM('план на 2016'!$L120:R120)-SUM('членские взносы'!$M120:R120)</f>
        <v>4800</v>
      </c>
      <c r="S119" s="85" t="n">
        <f aca="false">SUM('план на 2016'!$L120:S120)-SUM('членские взносы'!$M120:S120)</f>
        <v>5600</v>
      </c>
      <c r="T119" s="85" t="n">
        <f aca="false">SUM('план на 2016'!$L120:T120)-SUM('членские взносы'!$M120:T120)</f>
        <v>6400</v>
      </c>
      <c r="U119" s="85" t="n">
        <f aca="false">SUM('план на 2016'!$L120:U120)-SUM('членские взносы'!$M120:U120)</f>
        <v>7200</v>
      </c>
      <c r="V119" s="85" t="n">
        <f aca="false">SUM('план на 2016'!$L120:V120)-SUM('членские взносы'!$M120:V120)</f>
        <v>8000</v>
      </c>
      <c r="W119" s="85" t="n">
        <f aca="false">SUM('план на 2016'!$L120:W120)-SUM('членские взносы'!$M120:W120)</f>
        <v>8800</v>
      </c>
      <c r="X119" s="85" t="n">
        <f aca="false">SUM('план на 2016'!$L120:X120)-SUM('членские взносы'!$M120:X120)</f>
        <v>9600</v>
      </c>
      <c r="Y119" s="59" t="n">
        <f aca="false">X119</f>
        <v>9600</v>
      </c>
    </row>
    <row collapsed="false" customFormat="false" customHeight="false" hidden="false" ht="15" outlineLevel="0" r="120">
      <c r="A120" s="19" t="n">
        <f aca="false">VLOOKUP(B120,справочник!$B$2:$E$322,4,0)</f>
        <v>231</v>
      </c>
      <c r="B120" s="0" t="e">
        <f aca="false">CONCATENATE(C120;D120)</f>
        <v>#VALUE!</v>
      </c>
      <c r="C120" s="24" t="n">
        <v>240</v>
      </c>
      <c r="D120" s="29" t="s">
        <v>226</v>
      </c>
      <c r="E120" s="24" t="s">
        <v>485</v>
      </c>
      <c r="F120" s="30" t="n">
        <v>41357</v>
      </c>
      <c r="G120" s="30" t="n">
        <v>41365</v>
      </c>
      <c r="H120" s="31" t="n">
        <f aca="false">INT(($H$326-G120)/30)</f>
        <v>33</v>
      </c>
      <c r="I120" s="24" t="n">
        <f aca="false">H120*1000</f>
        <v>33000</v>
      </c>
      <c r="J120" s="31" t="n">
        <v>28000</v>
      </c>
      <c r="K120" s="31"/>
      <c r="L120" s="59" t="n">
        <f aca="false">I120-J120-K120</f>
        <v>5000</v>
      </c>
      <c r="M120" s="85" t="n">
        <f aca="false">SUM('план на 2016'!$L121:M121)-SUM('членские взносы'!$M121:M121)</f>
        <v>5800</v>
      </c>
      <c r="N120" s="85" t="n">
        <f aca="false">SUM('план на 2016'!$L121:N121)-SUM('членские взносы'!$M121:N121)</f>
        <v>1600</v>
      </c>
      <c r="O120" s="85" t="n">
        <f aca="false">SUM('план на 2016'!$L121:O121)-SUM('членские взносы'!$M121:O121)</f>
        <v>2400</v>
      </c>
      <c r="P120" s="85" t="n">
        <f aca="false">SUM('план на 2016'!$L121:P121)-SUM('членские взносы'!$M121:P121)</f>
        <v>2200</v>
      </c>
      <c r="Q120" s="85" t="n">
        <f aca="false">SUM('план на 2016'!$L121:Q121)-SUM('членские взносы'!$M121:Q121)</f>
        <v>3000</v>
      </c>
      <c r="R120" s="85" t="n">
        <f aca="false">SUM('план на 2016'!$L121:R121)-SUM('членские взносы'!$M121:R121)</f>
        <v>3800</v>
      </c>
      <c r="S120" s="85" t="n">
        <f aca="false">SUM('план на 2016'!$L121:S121)-SUM('членские взносы'!$M121:S121)</f>
        <v>4600</v>
      </c>
      <c r="T120" s="85" t="n">
        <f aca="false">SUM('план на 2016'!$L121:T121)-SUM('членские взносы'!$M121:T121)</f>
        <v>5400</v>
      </c>
      <c r="U120" s="85" t="n">
        <f aca="false">SUM('план на 2016'!$L121:U121)-SUM('членские взносы'!$M121:U121)</f>
        <v>6200</v>
      </c>
      <c r="V120" s="85" t="n">
        <f aca="false">SUM('план на 2016'!$L121:V121)-SUM('членские взносы'!$M121:V121)</f>
        <v>7000</v>
      </c>
      <c r="W120" s="85" t="n">
        <f aca="false">SUM('план на 2016'!$L121:W121)-SUM('членские взносы'!$M121:W121)</f>
        <v>7800</v>
      </c>
      <c r="X120" s="85" t="n">
        <f aca="false">SUM('план на 2016'!$L121:X121)-SUM('членские взносы'!$M121:X121)</f>
        <v>8600</v>
      </c>
      <c r="Y120" s="59" t="n">
        <f aca="false">X120</f>
        <v>8600</v>
      </c>
    </row>
    <row collapsed="false" customFormat="false" customHeight="false" hidden="false" ht="15" outlineLevel="0" r="121">
      <c r="A121" s="19" t="n">
        <f aca="false">VLOOKUP(B121,справочник!$B$2:$E$322,4,0)</f>
        <v>76</v>
      </c>
      <c r="B121" s="0" t="e">
        <f aca="false">CONCATENATE(C121;D121)</f>
        <v>#VALUE!</v>
      </c>
      <c r="C121" s="24" t="n">
        <v>82</v>
      </c>
      <c r="D121" s="29" t="s">
        <v>309</v>
      </c>
      <c r="E121" s="24" t="s">
        <v>486</v>
      </c>
      <c r="F121" s="30" t="n">
        <v>40682</v>
      </c>
      <c r="G121" s="30" t="n">
        <v>40695</v>
      </c>
      <c r="H121" s="31" t="n">
        <f aca="false">INT(($H$326-G121)/30)</f>
        <v>55</v>
      </c>
      <c r="I121" s="24" t="n">
        <f aca="false">H121*1000</f>
        <v>55000</v>
      </c>
      <c r="J121" s="31" t="n">
        <v>54000</v>
      </c>
      <c r="K121" s="31" t="n">
        <v>3000</v>
      </c>
      <c r="L121" s="59" t="n">
        <f aca="false">I121-J121-K121</f>
        <v>-2000</v>
      </c>
      <c r="M121" s="85" t="n">
        <f aca="false">SUM('план на 2016'!$L122:M122)-SUM('членские взносы'!$M122:M122)</f>
        <v>-1200</v>
      </c>
      <c r="N121" s="85" t="n">
        <f aca="false">SUM('план на 2016'!$L122:N122)-SUM('членские взносы'!$M122:N122)</f>
        <v>-2800</v>
      </c>
      <c r="O121" s="85" t="n">
        <f aca="false">SUM('план на 2016'!$L122:O122)-SUM('членские взносы'!$M122:O122)</f>
        <v>-2000</v>
      </c>
      <c r="P121" s="85" t="n">
        <f aca="false">SUM('план на 2016'!$L122:P122)-SUM('членские взносы'!$M122:P122)</f>
        <v>-3600</v>
      </c>
      <c r="Q121" s="85" t="n">
        <f aca="false">SUM('план на 2016'!$L122:Q122)-SUM('членские взносы'!$M122:Q122)</f>
        <v>-2800</v>
      </c>
      <c r="R121" s="85" t="n">
        <f aca="false">SUM('план на 2016'!$L122:R122)-SUM('членские взносы'!$M122:R122)</f>
        <v>-2000</v>
      </c>
      <c r="S121" s="85" t="n">
        <f aca="false">SUM('план на 2016'!$L122:S122)-SUM('членские взносы'!$M122:S122)</f>
        <v>-1200</v>
      </c>
      <c r="T121" s="85" t="n">
        <f aca="false">SUM('план на 2016'!$L122:T122)-SUM('членские взносы'!$M122:T122)</f>
        <v>-2800</v>
      </c>
      <c r="U121" s="85" t="n">
        <f aca="false">SUM('план на 2016'!$L122:U122)-SUM('членские взносы'!$M122:U122)</f>
        <v>-2000</v>
      </c>
      <c r="V121" s="85" t="n">
        <f aca="false">SUM('план на 2016'!$L122:V122)-SUM('членские взносы'!$M122:V122)</f>
        <v>-1200</v>
      </c>
      <c r="W121" s="85" t="n">
        <f aca="false">SUM('план на 2016'!$L122:W122)-SUM('членские взносы'!$M122:W122)</f>
        <v>-2800</v>
      </c>
      <c r="X121" s="85" t="n">
        <f aca="false">SUM('план на 2016'!$L122:X122)-SUM('членские взносы'!$M122:X122)</f>
        <v>-2000</v>
      </c>
      <c r="Y121" s="59" t="n">
        <f aca="false">X121</f>
        <v>-2000</v>
      </c>
    </row>
    <row collapsed="false" customFormat="false" customHeight="false" hidden="false" ht="15" outlineLevel="0" r="122">
      <c r="A122" s="19" t="n">
        <f aca="false">VLOOKUP(B122,справочник!$B$2:$E$322,4,0)</f>
        <v>82</v>
      </c>
      <c r="B122" s="0" t="e">
        <f aca="false">CONCATENATE(C122;D122)</f>
        <v>#VALUE!</v>
      </c>
      <c r="C122" s="24" t="n">
        <v>87</v>
      </c>
      <c r="D122" s="29" t="s">
        <v>229</v>
      </c>
      <c r="E122" s="24" t="s">
        <v>487</v>
      </c>
      <c r="F122" s="30" t="n">
        <v>41148</v>
      </c>
      <c r="G122" s="30" t="n">
        <v>41153</v>
      </c>
      <c r="H122" s="31" t="n">
        <f aca="false">INT(($H$326-G122)/30)</f>
        <v>40</v>
      </c>
      <c r="I122" s="24" t="n">
        <f aca="false">H122*1000</f>
        <v>40000</v>
      </c>
      <c r="J122" s="31" t="n">
        <v>35000</v>
      </c>
      <c r="K122" s="31"/>
      <c r="L122" s="59" t="n">
        <f aca="false">I122-J122-K122</f>
        <v>5000</v>
      </c>
      <c r="M122" s="85" t="n">
        <f aca="false">SUM('план на 2016'!$L123:M123)-SUM('членские взносы'!$M123:M123)</f>
        <v>2800</v>
      </c>
      <c r="N122" s="85" t="n">
        <f aca="false">SUM('план на 2016'!$L123:N123)-SUM('членские взносы'!$M123:N123)</f>
        <v>3600</v>
      </c>
      <c r="O122" s="85" t="n">
        <f aca="false">SUM('план на 2016'!$L123:O123)-SUM('членские взносы'!$M123:O123)</f>
        <v>1400</v>
      </c>
      <c r="P122" s="85" t="n">
        <f aca="false">SUM('план на 2016'!$L123:P123)-SUM('членские взносы'!$M123:P123)</f>
        <v>2200</v>
      </c>
      <c r="Q122" s="85" t="n">
        <f aca="false">SUM('план на 2016'!$L123:Q123)-SUM('членские взносы'!$M123:Q123)</f>
        <v>3000</v>
      </c>
      <c r="R122" s="85" t="n">
        <f aca="false">SUM('план на 2016'!$L123:R123)-SUM('членские взносы'!$M123:R123)</f>
        <v>3800</v>
      </c>
      <c r="S122" s="85" t="n">
        <f aca="false">SUM('план на 2016'!$L123:S123)-SUM('членские взносы'!$M123:S123)</f>
        <v>4600</v>
      </c>
      <c r="T122" s="85" t="n">
        <f aca="false">SUM('план на 2016'!$L123:T123)-SUM('членские взносы'!$M123:T123)</f>
        <v>5400</v>
      </c>
      <c r="U122" s="85" t="n">
        <f aca="false">SUM('план на 2016'!$L123:U123)-SUM('членские взносы'!$M123:U123)</f>
        <v>6200</v>
      </c>
      <c r="V122" s="85" t="n">
        <f aca="false">SUM('план на 2016'!$L123:V123)-SUM('членские взносы'!$M123:V123)</f>
        <v>5000</v>
      </c>
      <c r="W122" s="85" t="n">
        <f aca="false">SUM('план на 2016'!$L123:W123)-SUM('членские взносы'!$M123:W123)</f>
        <v>5800</v>
      </c>
      <c r="X122" s="85" t="n">
        <f aca="false">SUM('план на 2016'!$L123:X123)-SUM('членские взносы'!$M123:X123)</f>
        <v>6600</v>
      </c>
      <c r="Y122" s="59" t="n">
        <f aca="false">X122</f>
        <v>6600</v>
      </c>
    </row>
    <row collapsed="false" customFormat="false" customHeight="false" hidden="false" ht="15" outlineLevel="0" r="123">
      <c r="A123" s="19" t="n">
        <f aca="false">VLOOKUP(B123,справочник!$B$2:$E$322,4,0)</f>
        <v>8</v>
      </c>
      <c r="B123" s="0" t="e">
        <f aca="false">CONCATENATE(C123;D123)</f>
        <v>#VALUE!</v>
      </c>
      <c r="C123" s="24" t="n">
        <v>8</v>
      </c>
      <c r="D123" s="29" t="s">
        <v>240</v>
      </c>
      <c r="E123" s="24" t="s">
        <v>488</v>
      </c>
      <c r="F123" s="30" t="n">
        <v>41741</v>
      </c>
      <c r="G123" s="30" t="n">
        <v>41760</v>
      </c>
      <c r="H123" s="31" t="n">
        <f aca="false">INT(($H$326-G123)/30)</f>
        <v>20</v>
      </c>
      <c r="I123" s="24" t="n">
        <f aca="false">H123*1000</f>
        <v>20000</v>
      </c>
      <c r="J123" s="31" t="n">
        <v>18000</v>
      </c>
      <c r="K123" s="31"/>
      <c r="L123" s="59" t="n">
        <f aca="false">I123-J123-K123</f>
        <v>2000</v>
      </c>
      <c r="M123" s="85" t="n">
        <f aca="false">SUM('план на 2016'!$L124:M124)-SUM('членские взносы'!$M124:M124)</f>
        <v>2800</v>
      </c>
      <c r="N123" s="85" t="n">
        <f aca="false">SUM('план на 2016'!$L124:N124)-SUM('членские взносы'!$M124:N124)</f>
        <v>3600</v>
      </c>
      <c r="O123" s="85" t="n">
        <f aca="false">SUM('план на 2016'!$L124:O124)-SUM('членские взносы'!$M124:O124)</f>
        <v>4400</v>
      </c>
      <c r="P123" s="85" t="n">
        <f aca="false">SUM('план на 2016'!$L124:P124)-SUM('членские взносы'!$M124:P124)</f>
        <v>5200</v>
      </c>
      <c r="Q123" s="85" t="n">
        <f aca="false">SUM('план на 2016'!$L124:Q124)-SUM('членские взносы'!$M124:Q124)</f>
        <v>6000</v>
      </c>
      <c r="R123" s="85" t="n">
        <f aca="false">SUM('план на 2016'!$L124:R124)-SUM('членские взносы'!$M124:R124)</f>
        <v>2800</v>
      </c>
      <c r="S123" s="85" t="n">
        <f aca="false">SUM('план на 2016'!$L124:S124)-SUM('членские взносы'!$M124:S124)</f>
        <v>3600</v>
      </c>
      <c r="T123" s="85" t="n">
        <f aca="false">SUM('план на 2016'!$L124:T124)-SUM('членские взносы'!$M124:T124)</f>
        <v>4400</v>
      </c>
      <c r="U123" s="85" t="n">
        <f aca="false">SUM('план на 2016'!$L124:U124)-SUM('членские взносы'!$M124:U124)</f>
        <v>5200</v>
      </c>
      <c r="V123" s="85" t="n">
        <f aca="false">SUM('план на 2016'!$L124:V124)-SUM('членские взносы'!$M124:V124)</f>
        <v>-1600</v>
      </c>
      <c r="W123" s="85" t="n">
        <f aca="false">SUM('план на 2016'!$L124:W124)-SUM('членские взносы'!$M124:W124)</f>
        <v>-800</v>
      </c>
      <c r="X123" s="85" t="n">
        <f aca="false">SUM('план на 2016'!$L124:X124)-SUM('членские взносы'!$M124:X124)</f>
        <v>0</v>
      </c>
      <c r="Y123" s="59" t="n">
        <f aca="false">X123</f>
        <v>0</v>
      </c>
    </row>
    <row collapsed="false" customFormat="false" customHeight="false" hidden="false" ht="15" outlineLevel="0" r="124">
      <c r="A124" s="19" t="n">
        <f aca="false">VLOOKUP(B124,справочник!$B$2:$E$322,4,0)</f>
        <v>149</v>
      </c>
      <c r="B124" s="0" t="e">
        <f aca="false">CONCATENATE(C124;D124)</f>
        <v>#VALUE!</v>
      </c>
      <c r="C124" s="24" t="n">
        <v>157</v>
      </c>
      <c r="D124" s="29" t="s">
        <v>35</v>
      </c>
      <c r="E124" s="24" t="s">
        <v>489</v>
      </c>
      <c r="F124" s="30" t="n">
        <v>40820</v>
      </c>
      <c r="G124" s="30" t="n">
        <v>40817</v>
      </c>
      <c r="H124" s="31" t="n">
        <f aca="false">INT(($H$326-G124)/30)</f>
        <v>51</v>
      </c>
      <c r="I124" s="24" t="n">
        <f aca="false">H124*1000</f>
        <v>51000</v>
      </c>
      <c r="J124" s="31" t="n">
        <f aca="false">1000</f>
        <v>1000</v>
      </c>
      <c r="K124" s="31" t="n">
        <v>1000</v>
      </c>
      <c r="L124" s="59" t="n">
        <f aca="false">I124-J124-K124</f>
        <v>49000</v>
      </c>
      <c r="M124" s="85" t="n">
        <f aca="false">SUM('план на 2016'!$L125:M125)-SUM('членские взносы'!$M125:M125)</f>
        <v>49800</v>
      </c>
      <c r="N124" s="85" t="n">
        <f aca="false">SUM('план на 2016'!$L125:N125)-SUM('членские взносы'!$M125:N125)</f>
        <v>50600</v>
      </c>
      <c r="O124" s="85" t="n">
        <f aca="false">SUM('план на 2016'!$L125:O125)-SUM('членские взносы'!$M125:O125)</f>
        <v>50400</v>
      </c>
      <c r="P124" s="85" t="n">
        <f aca="false">SUM('план на 2016'!$L125:P125)-SUM('членские взносы'!$M125:P125)</f>
        <v>51200</v>
      </c>
      <c r="Q124" s="85" t="n">
        <f aca="false">SUM('план на 2016'!$L125:Q125)-SUM('членские взносы'!$M125:Q125)</f>
        <v>51000</v>
      </c>
      <c r="R124" s="85" t="n">
        <f aca="false">SUM('план на 2016'!$L125:R125)-SUM('членские взносы'!$M125:R125)</f>
        <v>51800</v>
      </c>
      <c r="S124" s="85" t="n">
        <f aca="false">SUM('план на 2016'!$L125:S125)-SUM('членские взносы'!$M125:S125)</f>
        <v>52600</v>
      </c>
      <c r="T124" s="85" t="n">
        <f aca="false">SUM('план на 2016'!$L125:T125)-SUM('членские взносы'!$M125:T125)</f>
        <v>53400</v>
      </c>
      <c r="U124" s="85" t="n">
        <f aca="false">SUM('план на 2016'!$L125:U125)-SUM('членские взносы'!$M125:U125)</f>
        <v>54200</v>
      </c>
      <c r="V124" s="85" t="n">
        <f aca="false">SUM('план на 2016'!$L125:V125)-SUM('членские взносы'!$M125:V125)</f>
        <v>55000</v>
      </c>
      <c r="W124" s="85" t="n">
        <f aca="false">SUM('план на 2016'!$L125:W125)-SUM('членские взносы'!$M125:W125)</f>
        <v>55800</v>
      </c>
      <c r="X124" s="85" t="n">
        <f aca="false">SUM('план на 2016'!$L125:X125)-SUM('членские взносы'!$M125:X125)</f>
        <v>56600</v>
      </c>
      <c r="Y124" s="59" t="n">
        <f aca="false">X124</f>
        <v>56600</v>
      </c>
    </row>
    <row collapsed="false" customFormat="false" customHeight="false" hidden="false" ht="15" outlineLevel="0" r="125">
      <c r="A125" s="19" t="n">
        <f aca="false">VLOOKUP(B125,справочник!$B$2:$E$322,4,0)</f>
        <v>30</v>
      </c>
      <c r="B125" s="0" t="e">
        <f aca="false">CONCATENATE(C125;D125)</f>
        <v>#VALUE!</v>
      </c>
      <c r="C125" s="24" t="n">
        <v>30</v>
      </c>
      <c r="D125" s="29" t="s">
        <v>37</v>
      </c>
      <c r="E125" s="24" t="s">
        <v>490</v>
      </c>
      <c r="F125" s="30" t="n">
        <v>40906</v>
      </c>
      <c r="G125" s="30" t="n">
        <v>40909</v>
      </c>
      <c r="H125" s="31" t="n">
        <f aca="false">INT(($H$326-G125)/30)</f>
        <v>48</v>
      </c>
      <c r="I125" s="24" t="n">
        <f aca="false">H125*1000</f>
        <v>48000</v>
      </c>
      <c r="J125" s="31" t="n">
        <f aca="false">1000</f>
        <v>1000</v>
      </c>
      <c r="K125" s="31"/>
      <c r="L125" s="59" t="n">
        <f aca="false">I125-J125-K125</f>
        <v>47000</v>
      </c>
      <c r="M125" s="85" t="n">
        <f aca="false">SUM('план на 2016'!$L126:M126)-SUM('членские взносы'!$M126:M126)</f>
        <v>47800</v>
      </c>
      <c r="N125" s="85" t="n">
        <f aca="false">SUM('план на 2016'!$L126:N126)-SUM('членские взносы'!$M126:N126)</f>
        <v>48600</v>
      </c>
      <c r="O125" s="85" t="n">
        <f aca="false">SUM('план на 2016'!$L126:O126)-SUM('членские взносы'!$M126:O126)</f>
        <v>49400</v>
      </c>
      <c r="P125" s="85" t="n">
        <f aca="false">SUM('план на 2016'!$L126:P126)-SUM('членские взносы'!$M126:P126)</f>
        <v>50200</v>
      </c>
      <c r="Q125" s="85" t="n">
        <f aca="false">SUM('план на 2016'!$L126:Q126)-SUM('членские взносы'!$M126:Q126)</f>
        <v>51000</v>
      </c>
      <c r="R125" s="85" t="n">
        <f aca="false">SUM('план на 2016'!$L126:R126)-SUM('членские взносы'!$M126:R126)</f>
        <v>51800</v>
      </c>
      <c r="S125" s="85" t="n">
        <f aca="false">SUM('план на 2016'!$L126:S126)-SUM('членские взносы'!$M126:S126)</f>
        <v>52600</v>
      </c>
      <c r="T125" s="85" t="n">
        <f aca="false">SUM('план на 2016'!$L126:T126)-SUM('членские взносы'!$M126:T126)</f>
        <v>53400</v>
      </c>
      <c r="U125" s="85" t="n">
        <f aca="false">SUM('план на 2016'!$L126:U126)-SUM('членские взносы'!$M126:U126)</f>
        <v>54200</v>
      </c>
      <c r="V125" s="85" t="n">
        <f aca="false">SUM('план на 2016'!$L126:V126)-SUM('членские взносы'!$M126:V126)</f>
        <v>55000</v>
      </c>
      <c r="W125" s="85" t="n">
        <f aca="false">SUM('план на 2016'!$L126:W126)-SUM('членские взносы'!$M126:W126)</f>
        <v>55800</v>
      </c>
      <c r="X125" s="85" t="n">
        <f aca="false">SUM('план на 2016'!$L126:X126)-SUM('членские взносы'!$M126:X126)</f>
        <v>56600</v>
      </c>
      <c r="Y125" s="59" t="n">
        <f aca="false">X125</f>
        <v>56600</v>
      </c>
    </row>
    <row collapsed="false" customFormat="false" customHeight="false" hidden="false" ht="15" outlineLevel="0" r="126">
      <c r="A126" s="19" t="n">
        <f aca="false">VLOOKUP(B126,справочник!$B$2:$E$322,4,0)</f>
        <v>269</v>
      </c>
      <c r="B126" s="0" t="e">
        <f aca="false">CONCATENATE(C126;D126)</f>
        <v>#VALUE!</v>
      </c>
      <c r="C126" s="24" t="n">
        <v>282</v>
      </c>
      <c r="D126" s="29" t="s">
        <v>106</v>
      </c>
      <c r="E126" s="24" t="s">
        <v>491</v>
      </c>
      <c r="F126" s="30" t="n">
        <v>41254</v>
      </c>
      <c r="G126" s="30" t="n">
        <v>41275</v>
      </c>
      <c r="H126" s="31" t="n">
        <f aca="false">INT(($H$326-G126)/30)</f>
        <v>36</v>
      </c>
      <c r="I126" s="24" t="n">
        <f aca="false">H126*1000</f>
        <v>36000</v>
      </c>
      <c r="J126" s="31" t="n">
        <v>18000</v>
      </c>
      <c r="K126" s="31"/>
      <c r="L126" s="59" t="n">
        <f aca="false">I126-J126-K126</f>
        <v>18000</v>
      </c>
      <c r="M126" s="85" t="n">
        <f aca="false">SUM('план на 2016'!$L127:M127)-SUM('членские взносы'!$M127:M127)</f>
        <v>18800</v>
      </c>
      <c r="N126" s="85" t="n">
        <f aca="false">SUM('план на 2016'!$L127:N127)-SUM('членские взносы'!$M127:N127)</f>
        <v>19600</v>
      </c>
      <c r="O126" s="85" t="n">
        <f aca="false">SUM('план на 2016'!$L127:O127)-SUM('членские взносы'!$M127:O127)</f>
        <v>20400</v>
      </c>
      <c r="P126" s="85" t="n">
        <f aca="false">SUM('план на 2016'!$L127:P127)-SUM('членские взносы'!$M127:P127)</f>
        <v>21200</v>
      </c>
      <c r="Q126" s="85" t="n">
        <f aca="false">SUM('план на 2016'!$L127:Q127)-SUM('членские взносы'!$M127:Q127)</f>
        <v>22000</v>
      </c>
      <c r="R126" s="85" t="n">
        <f aca="false">SUM('план на 2016'!$L127:R127)-SUM('членские взносы'!$M127:R127)</f>
        <v>22800</v>
      </c>
      <c r="S126" s="85" t="n">
        <f aca="false">SUM('план на 2016'!$L127:S127)-SUM('членские взносы'!$M127:S127)</f>
        <v>23600</v>
      </c>
      <c r="T126" s="85" t="n">
        <f aca="false">SUM('план на 2016'!$L127:T127)-SUM('членские взносы'!$M127:T127)</f>
        <v>24400</v>
      </c>
      <c r="U126" s="85" t="n">
        <f aca="false">SUM('план на 2016'!$L127:U127)-SUM('членские взносы'!$M127:U127)</f>
        <v>25200</v>
      </c>
      <c r="V126" s="85" t="n">
        <f aca="false">SUM('план на 2016'!$L127:V127)-SUM('членские взносы'!$M127:V127)</f>
        <v>26000</v>
      </c>
      <c r="W126" s="85" t="n">
        <f aca="false">SUM('план на 2016'!$L127:W127)-SUM('членские взносы'!$M127:W127)</f>
        <v>14800</v>
      </c>
      <c r="X126" s="85" t="n">
        <f aca="false">SUM('план на 2016'!$L127:X127)-SUM('членские взносы'!$M127:X127)</f>
        <v>15600</v>
      </c>
      <c r="Y126" s="59" t="n">
        <f aca="false">X126</f>
        <v>15600</v>
      </c>
    </row>
    <row collapsed="false" customFormat="false" customHeight="false" hidden="false" ht="15" outlineLevel="0" r="127">
      <c r="A127" s="19" t="n">
        <f aca="false">VLOOKUP(B127,справочник!$B$2:$E$322,4,0)</f>
        <v>271</v>
      </c>
      <c r="B127" s="0" t="e">
        <f aca="false">CONCATENATE(C127;D127)</f>
        <v>#VALUE!</v>
      </c>
      <c r="C127" s="24" t="n">
        <v>284</v>
      </c>
      <c r="D127" s="29" t="s">
        <v>294</v>
      </c>
      <c r="E127" s="24" t="s">
        <v>492</v>
      </c>
      <c r="F127" s="30" t="n">
        <v>42044</v>
      </c>
      <c r="G127" s="30" t="n">
        <v>42095</v>
      </c>
      <c r="H127" s="31" t="n">
        <f aca="false">INT(($H$326-G127)/30)</f>
        <v>9</v>
      </c>
      <c r="I127" s="24" t="n">
        <f aca="false">H127*1000</f>
        <v>9000</v>
      </c>
      <c r="J127" s="31" t="n">
        <v>4000</v>
      </c>
      <c r="K127" s="31" t="n">
        <v>5000</v>
      </c>
      <c r="L127" s="59" t="n">
        <f aca="false">I127-J127-K127</f>
        <v>0</v>
      </c>
      <c r="M127" s="85" t="n">
        <f aca="false">SUM('план на 2016'!$L128:M128)-SUM('членские взносы'!$M128:M128)</f>
        <v>800</v>
      </c>
      <c r="N127" s="85" t="n">
        <f aca="false">SUM('план на 2016'!$L128:N128)-SUM('членские взносы'!$M128:N128)</f>
        <v>1600</v>
      </c>
      <c r="O127" s="85" t="n">
        <f aca="false">SUM('план на 2016'!$L128:O128)-SUM('членские взносы'!$M128:O128)</f>
        <v>2400</v>
      </c>
      <c r="P127" s="85" t="n">
        <f aca="false">SUM('план на 2016'!$L128:P128)-SUM('членские взносы'!$M128:P128)</f>
        <v>3200</v>
      </c>
      <c r="Q127" s="85" t="n">
        <f aca="false">SUM('план на 2016'!$L128:Q128)-SUM('членские взносы'!$M128:Q128)</f>
        <v>4000</v>
      </c>
      <c r="R127" s="85" t="n">
        <f aca="false">SUM('план на 2016'!$L128:R128)-SUM('членские взносы'!$M128:R128)</f>
        <v>-200</v>
      </c>
      <c r="S127" s="85" t="n">
        <f aca="false">SUM('план на 2016'!$L128:S128)-SUM('членские взносы'!$M128:S128)</f>
        <v>600</v>
      </c>
      <c r="T127" s="85" t="n">
        <f aca="false">SUM('план на 2016'!$L128:T128)-SUM('членские взносы'!$M128:T128)</f>
        <v>1400</v>
      </c>
      <c r="U127" s="85" t="n">
        <f aca="false">SUM('план на 2016'!$L128:U128)-SUM('членские взносы'!$M128:U128)</f>
        <v>2200</v>
      </c>
      <c r="V127" s="85" t="n">
        <f aca="false">SUM('план на 2016'!$L128:V128)-SUM('членские взносы'!$M128:V128)</f>
        <v>3000</v>
      </c>
      <c r="W127" s="85" t="n">
        <f aca="false">SUM('план на 2016'!$L128:W128)-SUM('членские взносы'!$M128:W128)</f>
        <v>3800</v>
      </c>
      <c r="X127" s="85" t="n">
        <f aca="false">SUM('план на 2016'!$L128:X128)-SUM('членские взносы'!$M128:X128)</f>
        <v>1600</v>
      </c>
      <c r="Y127" s="59" t="n">
        <f aca="false">X127</f>
        <v>1600</v>
      </c>
    </row>
    <row collapsed="false" customFormat="false" customHeight="false" hidden="false" ht="15" outlineLevel="0" r="128">
      <c r="A128" s="19" t="n">
        <f aca="false">VLOOKUP(B128,справочник!$B$2:$E$322,4,0)</f>
        <v>265</v>
      </c>
      <c r="B128" s="0" t="e">
        <f aca="false">CONCATENATE(C128;D128)</f>
        <v>#VALUE!</v>
      </c>
      <c r="C128" s="24" t="n">
        <v>278</v>
      </c>
      <c r="D128" s="29" t="s">
        <v>92</v>
      </c>
      <c r="E128" s="24" t="s">
        <v>493</v>
      </c>
      <c r="F128" s="30" t="n">
        <v>40812</v>
      </c>
      <c r="G128" s="30" t="n">
        <v>40787</v>
      </c>
      <c r="H128" s="31" t="n">
        <f aca="false">INT(($H$326-G128)/30)</f>
        <v>52</v>
      </c>
      <c r="I128" s="24" t="n">
        <f aca="false">H128*1000</f>
        <v>52000</v>
      </c>
      <c r="J128" s="31" t="n">
        <f aca="false">2000+27000</f>
        <v>29000</v>
      </c>
      <c r="K128" s="31"/>
      <c r="L128" s="59" t="n">
        <f aca="false">I128-J128-K128</f>
        <v>23000</v>
      </c>
      <c r="M128" s="85" t="n">
        <f aca="false">SUM('план на 2016'!$L129:M129)-SUM('членские взносы'!$M129:M129)</f>
        <v>23800</v>
      </c>
      <c r="N128" s="85" t="n">
        <f aca="false">SUM('план на 2016'!$L129:N129)-SUM('членские взносы'!$M129:N129)</f>
        <v>24600</v>
      </c>
      <c r="O128" s="85" t="n">
        <f aca="false">SUM('план на 2016'!$L129:O129)-SUM('членские взносы'!$M129:O129)</f>
        <v>22400</v>
      </c>
      <c r="P128" s="85" t="n">
        <f aca="false">SUM('план на 2016'!$L129:P129)-SUM('членские взносы'!$M129:P129)</f>
        <v>23200</v>
      </c>
      <c r="Q128" s="85" t="n">
        <f aca="false">SUM('план на 2016'!$L129:Q129)-SUM('членские взносы'!$M129:Q129)</f>
        <v>24000</v>
      </c>
      <c r="R128" s="85" t="n">
        <f aca="false">SUM('план на 2016'!$L129:R129)-SUM('членские взносы'!$M129:R129)</f>
        <v>24800</v>
      </c>
      <c r="S128" s="85" t="n">
        <f aca="false">SUM('план на 2016'!$L129:S129)-SUM('членские взносы'!$M129:S129)</f>
        <v>22600</v>
      </c>
      <c r="T128" s="85" t="n">
        <f aca="false">SUM('план на 2016'!$L129:T129)-SUM('членские взносы'!$M129:T129)</f>
        <v>23400</v>
      </c>
      <c r="U128" s="85" t="n">
        <f aca="false">SUM('план на 2016'!$L129:U129)-SUM('членские взносы'!$M129:U129)</f>
        <v>21200</v>
      </c>
      <c r="V128" s="85" t="n">
        <f aca="false">SUM('план на 2016'!$L129:V129)-SUM('членские взносы'!$M129:V129)</f>
        <v>22000</v>
      </c>
      <c r="W128" s="85" t="n">
        <f aca="false">SUM('план на 2016'!$L129:W129)-SUM('членские взносы'!$M129:W129)</f>
        <v>19800</v>
      </c>
      <c r="X128" s="85" t="n">
        <f aca="false">SUM('план на 2016'!$L129:X129)-SUM('членские взносы'!$M129:X129)</f>
        <v>20600</v>
      </c>
      <c r="Y128" s="59" t="n">
        <f aca="false">X128</f>
        <v>20600</v>
      </c>
    </row>
    <row collapsed="false" customFormat="false" customHeight="false" hidden="false" ht="25.5" outlineLevel="0" r="129">
      <c r="A129" s="19" t="n">
        <f aca="false">VLOOKUP(B129,справочник!$B$2:$E$322,4,0)</f>
        <v>173</v>
      </c>
      <c r="B129" s="0" t="e">
        <f aca="false">CONCATENATE(C129;D129)</f>
        <v>#VALUE!</v>
      </c>
      <c r="C129" s="24" t="n">
        <v>181</v>
      </c>
      <c r="D129" s="29" t="s">
        <v>31</v>
      </c>
      <c r="E129" s="24" t="s">
        <v>494</v>
      </c>
      <c r="F129" s="30" t="n">
        <v>40793</v>
      </c>
      <c r="G129" s="30" t="n">
        <v>40787</v>
      </c>
      <c r="H129" s="31" t="n">
        <f aca="false">INT(($H$326-G129)/30)</f>
        <v>52</v>
      </c>
      <c r="I129" s="24" t="n">
        <f aca="false">H129*1000</f>
        <v>52000</v>
      </c>
      <c r="J129" s="31" t="n">
        <v>1000</v>
      </c>
      <c r="K129" s="31"/>
      <c r="L129" s="59" t="n">
        <f aca="false">I129-J129-K129</f>
        <v>51000</v>
      </c>
      <c r="M129" s="85" t="n">
        <f aca="false">SUM('план на 2016'!$L130:M130)-SUM('членские взносы'!$M130:M130)</f>
        <v>51800</v>
      </c>
      <c r="N129" s="85" t="n">
        <f aca="false">SUM('план на 2016'!$L130:N130)-SUM('членские взносы'!$M130:N130)</f>
        <v>52600</v>
      </c>
      <c r="O129" s="85" t="n">
        <f aca="false">SUM('план на 2016'!$L130:O130)-SUM('членские взносы'!$M130:O130)</f>
        <v>53400</v>
      </c>
      <c r="P129" s="85" t="n">
        <f aca="false">SUM('план на 2016'!$L130:P130)-SUM('членские взносы'!$M130:P130)</f>
        <v>54200</v>
      </c>
      <c r="Q129" s="85" t="n">
        <f aca="false">SUM('план на 2016'!$L130:Q130)-SUM('членские взносы'!$M130:Q130)</f>
        <v>55000</v>
      </c>
      <c r="R129" s="85" t="n">
        <f aca="false">SUM('план на 2016'!$L130:R130)-SUM('членские взносы'!$M130:R130)</f>
        <v>55800</v>
      </c>
      <c r="S129" s="85" t="n">
        <f aca="false">SUM('план на 2016'!$L130:S130)-SUM('членские взносы'!$M130:S130)</f>
        <v>56600</v>
      </c>
      <c r="T129" s="85" t="n">
        <f aca="false">SUM('план на 2016'!$L130:T130)-SUM('членские взносы'!$M130:T130)</f>
        <v>57400</v>
      </c>
      <c r="U129" s="85" t="n">
        <f aca="false">SUM('план на 2016'!$L130:U130)-SUM('членские взносы'!$M130:U130)</f>
        <v>58200</v>
      </c>
      <c r="V129" s="85" t="n">
        <f aca="false">SUM('план на 2016'!$L130:V130)-SUM('членские взносы'!$M130:V130)</f>
        <v>59000</v>
      </c>
      <c r="W129" s="85" t="n">
        <f aca="false">SUM('план на 2016'!$L130:W130)-SUM('членские взносы'!$M130:W130)</f>
        <v>59800</v>
      </c>
      <c r="X129" s="85" t="n">
        <f aca="false">SUM('план на 2016'!$L130:X130)-SUM('членские взносы'!$M130:X130)</f>
        <v>60600</v>
      </c>
      <c r="Y129" s="59" t="n">
        <f aca="false">X129</f>
        <v>60600</v>
      </c>
    </row>
    <row collapsed="false" customFormat="false" customHeight="false" hidden="false" ht="15" outlineLevel="0" r="130">
      <c r="A130" s="19" t="n">
        <f aca="false">VLOOKUP(B130,справочник!$B$2:$E$322,4,0)</f>
        <v>305</v>
      </c>
      <c r="B130" s="0" t="e">
        <f aca="false">CONCATENATE(C130;D130)</f>
        <v>#VALUE!</v>
      </c>
      <c r="C130" s="24" t="n">
        <v>320</v>
      </c>
      <c r="D130" s="29" t="s">
        <v>126</v>
      </c>
      <c r="E130" s="24" t="s">
        <v>495</v>
      </c>
      <c r="F130" s="30" t="n">
        <v>41929</v>
      </c>
      <c r="G130" s="30" t="n">
        <v>41944</v>
      </c>
      <c r="H130" s="31" t="n">
        <f aca="false">INT(($H$326-G130)/30)</f>
        <v>14</v>
      </c>
      <c r="I130" s="24" t="n">
        <f aca="false">H130*1000</f>
        <v>14000</v>
      </c>
      <c r="J130" s="31" t="n">
        <v>1000</v>
      </c>
      <c r="K130" s="31"/>
      <c r="L130" s="59" t="n">
        <f aca="false">I130-J130-K130</f>
        <v>13000</v>
      </c>
      <c r="M130" s="85" t="n">
        <f aca="false">SUM('план на 2016'!$L131:M131)-SUM('членские взносы'!$M131:M131)</f>
        <v>13800</v>
      </c>
      <c r="N130" s="85" t="n">
        <f aca="false">SUM('план на 2016'!$L131:N131)-SUM('членские взносы'!$M131:N131)</f>
        <v>14600</v>
      </c>
      <c r="O130" s="85" t="n">
        <f aca="false">SUM('план на 2016'!$L131:O131)-SUM('членские взносы'!$M131:O131)</f>
        <v>15400</v>
      </c>
      <c r="P130" s="85" t="n">
        <f aca="false">SUM('план на 2016'!$L131:P131)-SUM('членские взносы'!$M131:P131)</f>
        <v>16200</v>
      </c>
      <c r="Q130" s="85" t="n">
        <f aca="false">SUM('план на 2016'!$L131:Q131)-SUM('членские взносы'!$M131:Q131)</f>
        <v>17000</v>
      </c>
      <c r="R130" s="85" t="n">
        <f aca="false">SUM('план на 2016'!$L131:R131)-SUM('членские взносы'!$M131:R131)</f>
        <v>17800</v>
      </c>
      <c r="S130" s="85" t="n">
        <f aca="false">SUM('план на 2016'!$L131:S131)-SUM('членские взносы'!$M131:S131)</f>
        <v>18600</v>
      </c>
      <c r="T130" s="85" t="n">
        <f aca="false">SUM('план на 2016'!$L131:T131)-SUM('членские взносы'!$M131:T131)</f>
        <v>19400</v>
      </c>
      <c r="U130" s="85" t="n">
        <f aca="false">SUM('план на 2016'!$L131:U131)-SUM('членские взносы'!$M131:U131)</f>
        <v>20200</v>
      </c>
      <c r="V130" s="85" t="n">
        <f aca="false">SUM('план на 2016'!$L131:V131)-SUM('членские взносы'!$M131:V131)</f>
        <v>21000</v>
      </c>
      <c r="W130" s="85" t="n">
        <f aca="false">SUM('план на 2016'!$L131:W131)-SUM('членские взносы'!$M131:W131)</f>
        <v>21800</v>
      </c>
      <c r="X130" s="85" t="n">
        <f aca="false">SUM('план на 2016'!$L131:X131)-SUM('членские взносы'!$M131:X131)</f>
        <v>22600</v>
      </c>
      <c r="Y130" s="59" t="n">
        <f aca="false">X130</f>
        <v>22600</v>
      </c>
    </row>
    <row collapsed="false" customFormat="false" customHeight="false" hidden="false" ht="15" outlineLevel="0" r="131">
      <c r="A131" s="19" t="n">
        <f aca="false">VLOOKUP(B131,справочник!$B$2:$E$322,4,0)</f>
        <v>69</v>
      </c>
      <c r="B131" s="0" t="e">
        <f aca="false">CONCATENATE(C131;D131)</f>
        <v>#VALUE!</v>
      </c>
      <c r="C131" s="24" t="n">
        <v>75</v>
      </c>
      <c r="D131" s="29" t="s">
        <v>45</v>
      </c>
      <c r="E131" s="24" t="s">
        <v>496</v>
      </c>
      <c r="F131" s="34" t="s">
        <v>497</v>
      </c>
      <c r="G131" s="34" t="n">
        <v>40787</v>
      </c>
      <c r="H131" s="35" t="n">
        <f aca="false">INT(($H$326-G131)/30)</f>
        <v>52</v>
      </c>
      <c r="I131" s="36" t="n">
        <f aca="false">H131*1000</f>
        <v>52000</v>
      </c>
      <c r="J131" s="35" t="n">
        <f aca="false">3000+10000</f>
        <v>13000</v>
      </c>
      <c r="K131" s="35"/>
      <c r="L131" s="66" t="n">
        <f aca="false">I131-J131-K131</f>
        <v>39000</v>
      </c>
      <c r="M131" s="85" t="n">
        <f aca="false">SUM('план на 2016'!$L132:M132)-SUM('членские взносы'!$M132:M132)</f>
        <v>39800</v>
      </c>
      <c r="N131" s="85" t="n">
        <f aca="false">SUM('план на 2016'!$L132:N132)-SUM('членские взносы'!$M132:N132)</f>
        <v>40600</v>
      </c>
      <c r="O131" s="85" t="n">
        <f aca="false">SUM('план на 2016'!$L132:O132)-SUM('членские взносы'!$M132:O132)</f>
        <v>41400</v>
      </c>
      <c r="P131" s="85" t="n">
        <f aca="false">SUM('план на 2016'!$L132:P132)-SUM('членские взносы'!$M132:P132)</f>
        <v>42200</v>
      </c>
      <c r="Q131" s="85" t="n">
        <f aca="false">SUM('план на 2016'!$L132:Q132)-SUM('членские взносы'!$M132:Q132)</f>
        <v>43000</v>
      </c>
      <c r="R131" s="85" t="n">
        <f aca="false">SUM('план на 2016'!$L132:R132)-SUM('членские взносы'!$M132:R132)</f>
        <v>43800</v>
      </c>
      <c r="S131" s="85" t="n">
        <f aca="false">SUM('план на 2016'!$L132:S132)-SUM('членские взносы'!$M132:S132)</f>
        <v>44600</v>
      </c>
      <c r="T131" s="85" t="n">
        <f aca="false">SUM('план на 2016'!$L132:T132)-SUM('членские взносы'!$M132:T132)</f>
        <v>45400</v>
      </c>
      <c r="U131" s="85" t="n">
        <f aca="false">SUM('план на 2016'!$L132:U132)-SUM('членские взносы'!$M132:U132)</f>
        <v>46200</v>
      </c>
      <c r="V131" s="85" t="n">
        <f aca="false">SUM('план на 2016'!$L132:V132)-SUM('членские взносы'!$M132:V132)</f>
        <v>47000</v>
      </c>
      <c r="W131" s="85" t="n">
        <f aca="false">SUM('план на 2016'!$L132:W132)-SUM('членские взносы'!$M132:W132)</f>
        <v>47800</v>
      </c>
      <c r="X131" s="85" t="n">
        <f aca="false">SUM('план на 2016'!$L132:X132)-SUM('членские взносы'!$M132:X132)</f>
        <v>48600</v>
      </c>
      <c r="Y131" s="59" t="n">
        <f aca="false">X131</f>
        <v>48600</v>
      </c>
    </row>
    <row collapsed="false" customFormat="false" customHeight="false" hidden="false" ht="15" outlineLevel="0" r="132">
      <c r="A132" s="19" t="n">
        <f aca="false">VLOOKUP(B132,справочник!$B$2:$E$322,4,0)</f>
        <v>69</v>
      </c>
      <c r="B132" s="0" t="e">
        <f aca="false">CONCATENATE(C132;D132)</f>
        <v>#VALUE!</v>
      </c>
      <c r="C132" s="24" t="n">
        <v>76</v>
      </c>
      <c r="D132" s="29" t="s">
        <v>45</v>
      </c>
      <c r="E132" s="24" t="s">
        <v>498</v>
      </c>
      <c r="F132" s="36"/>
      <c r="G132" s="36"/>
      <c r="H132" s="35"/>
      <c r="I132" s="36" t="n">
        <f aca="false">H132*1000</f>
        <v>0</v>
      </c>
      <c r="J132" s="35"/>
      <c r="K132" s="35"/>
      <c r="L132" s="66"/>
      <c r="M132" s="85" t="n">
        <f aca="false">SUM('план на 2016'!$L133:M133)-SUM('членские взносы'!$M133:M133)</f>
        <v>0</v>
      </c>
      <c r="N132" s="85" t="n">
        <f aca="false">SUM('план на 2016'!$L133:N133)-SUM('членские взносы'!$M133:N133)</f>
        <v>0</v>
      </c>
      <c r="O132" s="85" t="n">
        <f aca="false">SUM('план на 2016'!$L133:O133)-SUM('членские взносы'!$M133:O133)</f>
        <v>0</v>
      </c>
      <c r="P132" s="85" t="n">
        <f aca="false">SUM('план на 2016'!$L133:P133)-SUM('членские взносы'!$M133:P133)</f>
        <v>0</v>
      </c>
      <c r="Q132" s="85" t="n">
        <f aca="false">SUM('план на 2016'!$L133:Q133)-SUM('членские взносы'!$M133:Q133)</f>
        <v>0</v>
      </c>
      <c r="R132" s="85" t="n">
        <f aca="false">SUM('план на 2016'!$L133:R133)-SUM('членские взносы'!$M133:R133)</f>
        <v>0</v>
      </c>
      <c r="S132" s="85" t="n">
        <f aca="false">SUM('план на 2016'!$L133:S133)-SUM('членские взносы'!$M133:S133)</f>
        <v>0</v>
      </c>
      <c r="T132" s="85" t="n">
        <f aca="false">SUM('план на 2016'!$L133:T133)-SUM('членские взносы'!$M133:T133)</f>
        <v>0</v>
      </c>
      <c r="U132" s="85" t="n">
        <f aca="false">SUM('план на 2016'!$L133:U133)-SUM('членские взносы'!$M133:U133)</f>
        <v>0</v>
      </c>
      <c r="V132" s="85" t="n">
        <f aca="false">SUM('план на 2016'!$L133:V133)-SUM('членские взносы'!$M133:V133)</f>
        <v>0</v>
      </c>
      <c r="W132" s="85" t="n">
        <f aca="false">SUM('план на 2016'!$L133:W133)-SUM('членские взносы'!$M133:W133)</f>
        <v>0</v>
      </c>
      <c r="X132" s="85" t="n">
        <f aca="false">SUM('план на 2016'!$L133:X133)-SUM('членские взносы'!$M133:X133)</f>
        <v>0</v>
      </c>
      <c r="Y132" s="59" t="n">
        <f aca="false">X132</f>
        <v>0</v>
      </c>
    </row>
    <row collapsed="false" customFormat="false" customHeight="false" hidden="false" ht="15" outlineLevel="0" r="133">
      <c r="A133" s="19" t="n">
        <f aca="false">VLOOKUP(B133,справочник!$B$2:$E$322,4,0)</f>
        <v>1</v>
      </c>
      <c r="B133" s="0" t="e">
        <f aca="false">CONCATENATE(C133;D133)</f>
        <v>#VALUE!</v>
      </c>
      <c r="C133" s="24" t="n">
        <v>1</v>
      </c>
      <c r="D133" s="29" t="s">
        <v>230</v>
      </c>
      <c r="E133" s="24" t="s">
        <v>499</v>
      </c>
      <c r="F133" s="30" t="n">
        <v>41409</v>
      </c>
      <c r="G133" s="30" t="n">
        <v>41548</v>
      </c>
      <c r="H133" s="31" t="n">
        <f aca="false">INT(($H$326-G133)/30)</f>
        <v>27</v>
      </c>
      <c r="I133" s="24" t="n">
        <f aca="false">H133*1000</f>
        <v>27000</v>
      </c>
      <c r="J133" s="31" t="n">
        <v>24000</v>
      </c>
      <c r="K133" s="31"/>
      <c r="L133" s="59" t="n">
        <f aca="false">I133-J133-K133</f>
        <v>3000</v>
      </c>
      <c r="M133" s="85" t="n">
        <f aca="false">SUM('план на 2016'!$L134:M134)-SUM('членские взносы'!$M134:M134)</f>
        <v>3800</v>
      </c>
      <c r="N133" s="85" t="n">
        <f aca="false">SUM('план на 2016'!$L134:N134)-SUM('членские взносы'!$M134:N134)</f>
        <v>400</v>
      </c>
      <c r="O133" s="85" t="n">
        <f aca="false">SUM('план на 2016'!$L134:O134)-SUM('членские взносы'!$M134:O134)</f>
        <v>1200</v>
      </c>
      <c r="P133" s="85" t="n">
        <f aca="false">SUM('план на 2016'!$L134:P134)-SUM('членские взносы'!$M134:P134)</f>
        <v>2000</v>
      </c>
      <c r="Q133" s="85" t="n">
        <f aca="false">SUM('план на 2016'!$L134:Q134)-SUM('членские взносы'!$M134:Q134)</f>
        <v>2800</v>
      </c>
      <c r="R133" s="85" t="n">
        <f aca="false">SUM('план на 2016'!$L134:R134)-SUM('членские взносы'!$M134:R134)</f>
        <v>3600</v>
      </c>
      <c r="S133" s="85" t="n">
        <f aca="false">SUM('план на 2016'!$L134:S134)-SUM('членские взносы'!$M134:S134)</f>
        <v>4400</v>
      </c>
      <c r="T133" s="85" t="n">
        <f aca="false">SUM('план на 2016'!$L134:T134)-SUM('членские взносы'!$M134:T134)</f>
        <v>5200</v>
      </c>
      <c r="U133" s="85" t="n">
        <f aca="false">SUM('план на 2016'!$L134:U134)-SUM('членские взносы'!$M134:U134)</f>
        <v>6000</v>
      </c>
      <c r="V133" s="85" t="n">
        <f aca="false">SUM('план на 2016'!$L134:V134)-SUM('членские взносы'!$M134:V134)</f>
        <v>6800</v>
      </c>
      <c r="W133" s="85" t="n">
        <f aca="false">SUM('план на 2016'!$L134:W134)-SUM('членские взносы'!$M134:W134)</f>
        <v>7600</v>
      </c>
      <c r="X133" s="85" t="n">
        <f aca="false">SUM('план на 2016'!$L134:X134)-SUM('членские взносы'!$M134:X134)</f>
        <v>2800</v>
      </c>
      <c r="Y133" s="59" t="n">
        <f aca="false">X133</f>
        <v>2800</v>
      </c>
    </row>
    <row collapsed="false" customFormat="false" customHeight="false" hidden="false" ht="15" outlineLevel="0" r="134">
      <c r="A134" s="19" t="n">
        <f aca="false">VLOOKUP(B134,справочник!$B$2:$E$322,4,0)</f>
        <v>302</v>
      </c>
      <c r="B134" s="0" t="e">
        <f aca="false">CONCATENATE(C134;D134)</f>
        <v>#VALUE!</v>
      </c>
      <c r="C134" s="24" t="n">
        <v>317</v>
      </c>
      <c r="D134" s="29" t="s">
        <v>127</v>
      </c>
      <c r="E134" s="24" t="s">
        <v>500</v>
      </c>
      <c r="F134" s="30" t="n">
        <v>40997</v>
      </c>
      <c r="G134" s="30" t="n">
        <v>41000</v>
      </c>
      <c r="H134" s="31" t="n">
        <f aca="false">INT(($H$326-G134)/30)</f>
        <v>45</v>
      </c>
      <c r="I134" s="24" t="n">
        <f aca="false">H134*1000</f>
        <v>45000</v>
      </c>
      <c r="J134" s="31" t="n">
        <v>32000</v>
      </c>
      <c r="K134" s="31"/>
      <c r="L134" s="59" t="n">
        <f aca="false">I134-J134-K134</f>
        <v>13000</v>
      </c>
      <c r="M134" s="85" t="n">
        <f aca="false">SUM('план на 2016'!$L135:M135)-SUM('членские взносы'!$M135:M135)</f>
        <v>13800</v>
      </c>
      <c r="N134" s="85" t="n">
        <f aca="false">SUM('план на 2016'!$L135:N135)-SUM('членские взносы'!$M135:N135)</f>
        <v>14600</v>
      </c>
      <c r="O134" s="85" t="n">
        <f aca="false">SUM('план на 2016'!$L135:O135)-SUM('членские взносы'!$M135:O135)</f>
        <v>15400</v>
      </c>
      <c r="P134" s="85" t="n">
        <f aca="false">SUM('план на 2016'!$L135:P135)-SUM('членские взносы'!$M135:P135)</f>
        <v>16200</v>
      </c>
      <c r="Q134" s="85" t="n">
        <f aca="false">SUM('план на 2016'!$L135:Q135)-SUM('членские взносы'!$M135:Q135)</f>
        <v>17000</v>
      </c>
      <c r="R134" s="85" t="n">
        <f aca="false">SUM('план на 2016'!$L135:R135)-SUM('членские взносы'!$M135:R135)</f>
        <v>17800</v>
      </c>
      <c r="S134" s="85" t="n">
        <f aca="false">SUM('план на 2016'!$L135:S135)-SUM('членские взносы'!$M135:S135)</f>
        <v>18600</v>
      </c>
      <c r="T134" s="85" t="n">
        <f aca="false">SUM('план на 2016'!$L135:T135)-SUM('членские взносы'!$M135:T135)</f>
        <v>19400</v>
      </c>
      <c r="U134" s="85" t="n">
        <f aca="false">SUM('план на 2016'!$L135:U135)-SUM('членские взносы'!$M135:U135)</f>
        <v>20200</v>
      </c>
      <c r="V134" s="85" t="n">
        <f aca="false">SUM('план на 2016'!$L135:V135)-SUM('членские взносы'!$M135:V135)</f>
        <v>21000</v>
      </c>
      <c r="W134" s="85" t="n">
        <f aca="false">SUM('план на 2016'!$L135:W135)-SUM('членские взносы'!$M135:W135)</f>
        <v>21800</v>
      </c>
      <c r="X134" s="85" t="n">
        <f aca="false">SUM('план на 2016'!$L135:X135)-SUM('членские взносы'!$M135:X135)</f>
        <v>22600</v>
      </c>
      <c r="Y134" s="59" t="n">
        <f aca="false">X134</f>
        <v>22600</v>
      </c>
    </row>
    <row collapsed="false" customFormat="false" customHeight="false" hidden="false" ht="15" outlineLevel="0" r="135">
      <c r="A135" s="19" t="n">
        <f aca="false">VLOOKUP(B135,справочник!$B$2:$E$322,4,0)</f>
        <v>123</v>
      </c>
      <c r="B135" s="0" t="e">
        <f aca="false">CONCATENATE(C135;D135)</f>
        <v>#VALUE!</v>
      </c>
      <c r="C135" s="24" t="n">
        <v>128</v>
      </c>
      <c r="D135" s="29" t="s">
        <v>130</v>
      </c>
      <c r="E135" s="24" t="s">
        <v>501</v>
      </c>
      <c r="F135" s="30" t="n">
        <v>40960</v>
      </c>
      <c r="G135" s="30" t="n">
        <v>40940</v>
      </c>
      <c r="H135" s="31" t="n">
        <f aca="false">INT(($H$326-G135)/30)</f>
        <v>47</v>
      </c>
      <c r="I135" s="24" t="n">
        <f aca="false">H135*1000</f>
        <v>47000</v>
      </c>
      <c r="J135" s="31" t="n">
        <v>34000</v>
      </c>
      <c r="K135" s="31"/>
      <c r="L135" s="59" t="n">
        <f aca="false">I135-J135-K135</f>
        <v>13000</v>
      </c>
      <c r="M135" s="85" t="n">
        <f aca="false">SUM('план на 2016'!$L136:M136)-SUM('членские взносы'!$M136:M136)</f>
        <v>13800</v>
      </c>
      <c r="N135" s="85" t="n">
        <f aca="false">SUM('план на 2016'!$L136:N136)-SUM('членские взносы'!$M136:N136)</f>
        <v>14600</v>
      </c>
      <c r="O135" s="85" t="n">
        <f aca="false">SUM('план на 2016'!$L136:O136)-SUM('членские взносы'!$M136:O136)</f>
        <v>15400</v>
      </c>
      <c r="P135" s="85" t="n">
        <f aca="false">SUM('план на 2016'!$L136:P136)-SUM('членские взносы'!$M136:P136)</f>
        <v>16200</v>
      </c>
      <c r="Q135" s="85" t="n">
        <f aca="false">SUM('план на 2016'!$L136:Q136)-SUM('членские взносы'!$M136:Q136)</f>
        <v>17000</v>
      </c>
      <c r="R135" s="85" t="n">
        <f aca="false">SUM('план на 2016'!$L136:R136)-SUM('членские взносы'!$M136:R136)</f>
        <v>17800</v>
      </c>
      <c r="S135" s="85" t="n">
        <f aca="false">SUM('план на 2016'!$L136:S136)-SUM('членские взносы'!$M136:S136)</f>
        <v>-1400</v>
      </c>
      <c r="T135" s="85" t="n">
        <f aca="false">SUM('план на 2016'!$L136:T136)-SUM('членские взносы'!$M136:T136)</f>
        <v>-600</v>
      </c>
      <c r="U135" s="85" t="n">
        <f aca="false">SUM('план на 2016'!$L136:U136)-SUM('членские взносы'!$M136:U136)</f>
        <v>200</v>
      </c>
      <c r="V135" s="85" t="n">
        <f aca="false">SUM('план на 2016'!$L136:V136)-SUM('членские взносы'!$M136:V136)</f>
        <v>1000</v>
      </c>
      <c r="W135" s="85" t="n">
        <f aca="false">SUM('план на 2016'!$L136:W136)-SUM('членские взносы'!$M136:W136)</f>
        <v>1800</v>
      </c>
      <c r="X135" s="85" t="n">
        <f aca="false">SUM('план на 2016'!$L136:X136)-SUM('членские взносы'!$M136:X136)</f>
        <v>2600</v>
      </c>
      <c r="Y135" s="59" t="n">
        <f aca="false">X135</f>
        <v>2600</v>
      </c>
    </row>
    <row collapsed="false" customFormat="false" customHeight="false" hidden="false" ht="25.5" outlineLevel="0" r="136">
      <c r="A136" s="19" t="n">
        <f aca="false">VLOOKUP(B136,справочник!$B$2:$E$322,4,0)</f>
        <v>163</v>
      </c>
      <c r="B136" s="0" t="e">
        <f aca="false">CONCATENATE(C136;D136)</f>
        <v>#VALUE!</v>
      </c>
      <c r="C136" s="24" t="n">
        <v>171</v>
      </c>
      <c r="D136" s="29" t="s">
        <v>160</v>
      </c>
      <c r="E136" s="24"/>
      <c r="F136" s="30" t="n">
        <v>41809</v>
      </c>
      <c r="G136" s="30" t="n">
        <v>41821</v>
      </c>
      <c r="H136" s="31" t="n">
        <f aca="false">INT(($H$326-G136)/30)</f>
        <v>18</v>
      </c>
      <c r="I136" s="24" t="n">
        <f aca="false">H136*1000</f>
        <v>18000</v>
      </c>
      <c r="J136" s="31" t="n">
        <f aca="false">5000+4000</f>
        <v>9000</v>
      </c>
      <c r="K136" s="31"/>
      <c r="L136" s="59" t="n">
        <f aca="false">I136-J136-K136</f>
        <v>9000</v>
      </c>
      <c r="M136" s="85" t="n">
        <f aca="false">SUM('план на 2016'!$L137:M137)-SUM('членские взносы'!$M137:M137)</f>
        <v>9800</v>
      </c>
      <c r="N136" s="85" t="n">
        <f aca="false">SUM('план на 2016'!$L137:N137)-SUM('членские взносы'!$M137:N137)</f>
        <v>10600</v>
      </c>
      <c r="O136" s="85" t="n">
        <f aca="false">SUM('план на 2016'!$L137:O137)-SUM('членские взносы'!$M137:O137)</f>
        <v>11400</v>
      </c>
      <c r="P136" s="85" t="n">
        <f aca="false">SUM('план на 2016'!$L137:P137)-SUM('членские взносы'!$M137:P137)</f>
        <v>12200</v>
      </c>
      <c r="Q136" s="85" t="n">
        <f aca="false">SUM('план на 2016'!$L137:Q137)-SUM('членские взносы'!$M137:Q137)</f>
        <v>13000</v>
      </c>
      <c r="R136" s="85" t="n">
        <f aca="false">SUM('план на 2016'!$L137:R137)-SUM('членские взносы'!$M137:R137)</f>
        <v>13800</v>
      </c>
      <c r="S136" s="85" t="n">
        <f aca="false">SUM('план на 2016'!$L137:S137)-SUM('членские взносы'!$M137:S137)</f>
        <v>14600</v>
      </c>
      <c r="T136" s="85" t="n">
        <f aca="false">SUM('план на 2016'!$L137:T137)-SUM('членские взносы'!$M137:T137)</f>
        <v>9300</v>
      </c>
      <c r="U136" s="85" t="n">
        <f aca="false">SUM('план на 2016'!$L137:U137)-SUM('членские взносы'!$M137:U137)</f>
        <v>10100</v>
      </c>
      <c r="V136" s="85" t="n">
        <f aca="false">SUM('план на 2016'!$L137:V137)-SUM('членские взносы'!$M137:V137)</f>
        <v>10900</v>
      </c>
      <c r="W136" s="85" t="n">
        <f aca="false">SUM('план на 2016'!$L137:W137)-SUM('членские взносы'!$M137:W137)</f>
        <v>11700</v>
      </c>
      <c r="X136" s="85" t="n">
        <f aca="false">SUM('план на 2016'!$L137:X137)-SUM('членские взносы'!$M137:X137)</f>
        <v>12500</v>
      </c>
      <c r="Y136" s="59" t="n">
        <f aca="false">X136</f>
        <v>12500</v>
      </c>
    </row>
    <row collapsed="false" customFormat="false" customHeight="false" hidden="false" ht="15" outlineLevel="0" r="137">
      <c r="A137" s="19" t="n">
        <f aca="false">VLOOKUP(B137,справочник!$B$2:$E$322,4,0)</f>
        <v>110</v>
      </c>
      <c r="B137" s="0" t="e">
        <f aca="false">CONCATENATE(C137;D137)</f>
        <v>#VALUE!</v>
      </c>
      <c r="C137" s="24" t="n">
        <v>115</v>
      </c>
      <c r="D137" s="29" t="s">
        <v>101</v>
      </c>
      <c r="E137" s="24" t="s">
        <v>502</v>
      </c>
      <c r="F137" s="30" t="n">
        <v>41101</v>
      </c>
      <c r="G137" s="30" t="n">
        <v>41091</v>
      </c>
      <c r="H137" s="31" t="n">
        <f aca="false">INT(($H$326-G137)/30)</f>
        <v>42</v>
      </c>
      <c r="I137" s="24" t="n">
        <f aca="false">H137*1000</f>
        <v>42000</v>
      </c>
      <c r="J137" s="31" t="n">
        <v>23000</v>
      </c>
      <c r="K137" s="31"/>
      <c r="L137" s="59" t="n">
        <f aca="false">I137-J137-K137</f>
        <v>19000</v>
      </c>
      <c r="M137" s="85" t="n">
        <f aca="false">SUM('план на 2016'!$L138:M138)-SUM('членские взносы'!$M138:M138)</f>
        <v>19800</v>
      </c>
      <c r="N137" s="85" t="n">
        <f aca="false">SUM('план на 2016'!$L138:N138)-SUM('членские взносы'!$M138:N138)</f>
        <v>20600</v>
      </c>
      <c r="O137" s="85" t="n">
        <f aca="false">SUM('план на 2016'!$L138:O138)-SUM('членские взносы'!$M138:O138)</f>
        <v>21400</v>
      </c>
      <c r="P137" s="85" t="n">
        <f aca="false">SUM('план на 2016'!$L138:P138)-SUM('членские взносы'!$M138:P138)</f>
        <v>22200</v>
      </c>
      <c r="Q137" s="85" t="n">
        <f aca="false">SUM('план на 2016'!$L138:Q138)-SUM('членские взносы'!$M138:Q138)</f>
        <v>23000</v>
      </c>
      <c r="R137" s="85" t="n">
        <f aca="false">SUM('план на 2016'!$L138:R138)-SUM('членские взносы'!$M138:R138)</f>
        <v>23800</v>
      </c>
      <c r="S137" s="85" t="n">
        <f aca="false">SUM('план на 2016'!$L138:S138)-SUM('членские взносы'!$M138:S138)</f>
        <v>22200</v>
      </c>
      <c r="T137" s="85" t="n">
        <f aca="false">SUM('план на 2016'!$L138:T138)-SUM('членские взносы'!$M138:T138)</f>
        <v>19400</v>
      </c>
      <c r="U137" s="85" t="n">
        <f aca="false">SUM('план на 2016'!$L138:U138)-SUM('членские взносы'!$M138:U138)</f>
        <v>20200</v>
      </c>
      <c r="V137" s="85" t="n">
        <f aca="false">SUM('план на 2016'!$L138:V138)-SUM('членские взносы'!$M138:V138)</f>
        <v>19400</v>
      </c>
      <c r="W137" s="85" t="n">
        <f aca="false">SUM('план на 2016'!$L138:W138)-SUM('членские взносы'!$M138:W138)</f>
        <v>20200</v>
      </c>
      <c r="X137" s="85" t="n">
        <f aca="false">SUM('план на 2016'!$L138:X138)-SUM('членские взносы'!$M138:X138)</f>
        <v>12000</v>
      </c>
      <c r="Y137" s="59" t="n">
        <f aca="false">X137</f>
        <v>12000</v>
      </c>
    </row>
    <row collapsed="false" customFormat="false" customHeight="false" hidden="false" ht="25.5" outlineLevel="0" r="138">
      <c r="A138" s="19" t="n">
        <f aca="false">VLOOKUP(B138,справочник!$B$2:$E$322,4,0)</f>
        <v>112</v>
      </c>
      <c r="B138" s="0" t="e">
        <f aca="false">CONCATENATE(C138;D138)</f>
        <v>#VALUE!</v>
      </c>
      <c r="C138" s="24" t="n">
        <v>117</v>
      </c>
      <c r="D138" s="29" t="s">
        <v>166</v>
      </c>
      <c r="E138" s="24"/>
      <c r="F138" s="30" t="n">
        <v>41101</v>
      </c>
      <c r="G138" s="30" t="n">
        <v>41091</v>
      </c>
      <c r="H138" s="31" t="n">
        <f aca="false">INT(($H$326-G138)/30)</f>
        <v>42</v>
      </c>
      <c r="I138" s="24" t="n">
        <f aca="false">H138*1000</f>
        <v>42000</v>
      </c>
      <c r="J138" s="31" t="n">
        <f aca="false">25000</f>
        <v>25000</v>
      </c>
      <c r="K138" s="31"/>
      <c r="L138" s="59" t="n">
        <f aca="false">I138-J138-K138</f>
        <v>17000</v>
      </c>
      <c r="M138" s="85" t="n">
        <f aca="false">SUM('план на 2016'!$L139:M139)-SUM('членские взносы'!$M139:M139)</f>
        <v>17800</v>
      </c>
      <c r="N138" s="85" t="n">
        <f aca="false">SUM('план на 2016'!$L139:N139)-SUM('членские взносы'!$M139:N139)</f>
        <v>13800</v>
      </c>
      <c r="O138" s="85" t="n">
        <f aca="false">SUM('план на 2016'!$L139:O139)-SUM('членские взносы'!$M139:O139)</f>
        <v>14600</v>
      </c>
      <c r="P138" s="85" t="n">
        <f aca="false">SUM('план на 2016'!$L139:P139)-SUM('членские взносы'!$M139:P139)</f>
        <v>15400</v>
      </c>
      <c r="Q138" s="85" t="n">
        <f aca="false">SUM('план на 2016'!$L139:Q139)-SUM('членские взносы'!$M139:Q139)</f>
        <v>16200</v>
      </c>
      <c r="R138" s="85" t="n">
        <f aca="false">SUM('план на 2016'!$L139:R139)-SUM('членские взносы'!$M139:R139)</f>
        <v>17000</v>
      </c>
      <c r="S138" s="85" t="n">
        <f aca="false">SUM('план на 2016'!$L139:S139)-SUM('членские взносы'!$M139:S139)</f>
        <v>13000</v>
      </c>
      <c r="T138" s="85" t="n">
        <f aca="false">SUM('план на 2016'!$L139:T139)-SUM('членские взносы'!$M139:T139)</f>
        <v>13800</v>
      </c>
      <c r="U138" s="85" t="n">
        <f aca="false">SUM('план на 2016'!$L139:U139)-SUM('членские взносы'!$M139:U139)</f>
        <v>14600</v>
      </c>
      <c r="V138" s="85" t="n">
        <f aca="false">SUM('план на 2016'!$L139:V139)-SUM('членские взносы'!$M139:V139)</f>
        <v>15400</v>
      </c>
      <c r="W138" s="85" t="n">
        <f aca="false">SUM('план на 2016'!$L139:W139)-SUM('членские взносы'!$M139:W139)</f>
        <v>16200</v>
      </c>
      <c r="X138" s="85" t="n">
        <f aca="false">SUM('план на 2016'!$L139:X139)-SUM('членские взносы'!$M139:X139)</f>
        <v>12200</v>
      </c>
      <c r="Y138" s="59" t="n">
        <f aca="false">X138</f>
        <v>12200</v>
      </c>
    </row>
    <row collapsed="false" customFormat="false" customHeight="false" hidden="false" ht="15" outlineLevel="0" r="139">
      <c r="A139" s="19" t="n">
        <f aca="false">VLOOKUP(B139,справочник!$B$2:$E$322,4,0)</f>
        <v>190</v>
      </c>
      <c r="B139" s="0" t="e">
        <f aca="false">CONCATENATE(C139;D139)</f>
        <v>#VALUE!</v>
      </c>
      <c r="C139" s="24" t="n">
        <v>198</v>
      </c>
      <c r="D139" s="29" t="s">
        <v>117</v>
      </c>
      <c r="E139" s="24" t="s">
        <v>503</v>
      </c>
      <c r="F139" s="30" t="n">
        <v>41407</v>
      </c>
      <c r="G139" s="30" t="n">
        <v>41426</v>
      </c>
      <c r="H139" s="31" t="n">
        <f aca="false">INT(($H$326-G139)/30)</f>
        <v>31</v>
      </c>
      <c r="I139" s="24" t="n">
        <f aca="false">H139*1000</f>
        <v>31000</v>
      </c>
      <c r="J139" s="31" t="n">
        <v>15000</v>
      </c>
      <c r="K139" s="31"/>
      <c r="L139" s="59" t="n">
        <f aca="false">I139-J139-K139</f>
        <v>16000</v>
      </c>
      <c r="M139" s="85" t="n">
        <f aca="false">SUM('план на 2016'!$L140:M140)-SUM('членские взносы'!$M140:M140)</f>
        <v>16800</v>
      </c>
      <c r="N139" s="85" t="n">
        <f aca="false">SUM('план на 2016'!$L140:N140)-SUM('членские взносы'!$M140:N140)</f>
        <v>17600</v>
      </c>
      <c r="O139" s="85" t="n">
        <f aca="false">SUM('план на 2016'!$L140:O140)-SUM('членские взносы'!$M140:O140)</f>
        <v>18400</v>
      </c>
      <c r="P139" s="85" t="n">
        <f aca="false">SUM('план на 2016'!$L140:P140)-SUM('членские взносы'!$M140:P140)</f>
        <v>19200</v>
      </c>
      <c r="Q139" s="85" t="n">
        <f aca="false">SUM('план на 2016'!$L140:Q140)-SUM('членские взносы'!$M140:Q140)</f>
        <v>20000</v>
      </c>
      <c r="R139" s="85" t="n">
        <f aca="false">SUM('план на 2016'!$L140:R140)-SUM('членские взносы'!$M140:R140)</f>
        <v>20000</v>
      </c>
      <c r="S139" s="85" t="n">
        <f aca="false">SUM('план на 2016'!$L140:S140)-SUM('членские взносы'!$M140:S140)</f>
        <v>20800</v>
      </c>
      <c r="T139" s="85" t="n">
        <f aca="false">SUM('план на 2016'!$L140:T140)-SUM('членские взносы'!$M140:T140)</f>
        <v>21600</v>
      </c>
      <c r="U139" s="85" t="n">
        <f aca="false">SUM('план на 2016'!$L140:U140)-SUM('членские взносы'!$M140:U140)</f>
        <v>22400</v>
      </c>
      <c r="V139" s="85" t="n">
        <f aca="false">SUM('план на 2016'!$L140:V140)-SUM('членские взносы'!$M140:V140)</f>
        <v>23200</v>
      </c>
      <c r="W139" s="85" t="n">
        <f aca="false">SUM('план на 2016'!$L140:W140)-SUM('членские взносы'!$M140:W140)</f>
        <v>24000</v>
      </c>
      <c r="X139" s="85" t="n">
        <f aca="false">SUM('план на 2016'!$L140:X140)-SUM('членские взносы'!$M140:X140)</f>
        <v>24800</v>
      </c>
      <c r="Y139" s="59" t="n">
        <f aca="false">X139</f>
        <v>24800</v>
      </c>
    </row>
    <row collapsed="false" customFormat="false" customHeight="false" hidden="false" ht="15" outlineLevel="0" r="140">
      <c r="A140" s="19" t="n">
        <f aca="false">VLOOKUP(B140,справочник!$B$2:$E$322,4,0)</f>
        <v>83</v>
      </c>
      <c r="B140" s="0" t="e">
        <f aca="false">CONCATENATE(C140;D140)</f>
        <v>#VALUE!</v>
      </c>
      <c r="C140" s="24" t="n">
        <v>88</v>
      </c>
      <c r="D140" s="29" t="s">
        <v>231</v>
      </c>
      <c r="E140" s="24" t="s">
        <v>504</v>
      </c>
      <c r="F140" s="30" t="n">
        <v>40675</v>
      </c>
      <c r="G140" s="30" t="n">
        <v>40695</v>
      </c>
      <c r="H140" s="31" t="n">
        <f aca="false">INT(($H$326-G140)/30)</f>
        <v>55</v>
      </c>
      <c r="I140" s="24" t="n">
        <f aca="false">H140*1000</f>
        <v>55000</v>
      </c>
      <c r="J140" s="31" t="n">
        <f aca="false">1000+49000</f>
        <v>50000</v>
      </c>
      <c r="K140" s="31"/>
      <c r="L140" s="59" t="n">
        <f aca="false">I140-J140-K140</f>
        <v>5000</v>
      </c>
      <c r="M140" s="85" t="n">
        <f aca="false">SUM('план на 2016'!$L141:M141)-SUM('членские взносы'!$M141:M141)</f>
        <v>3000</v>
      </c>
      <c r="N140" s="85" t="n">
        <f aca="false">SUM('план на 2016'!$L141:N141)-SUM('членские взносы'!$M141:N141)</f>
        <v>3000</v>
      </c>
      <c r="O140" s="85" t="n">
        <f aca="false">SUM('план на 2016'!$L141:O141)-SUM('членские взносы'!$M141:O141)</f>
        <v>3000</v>
      </c>
      <c r="P140" s="85" t="n">
        <f aca="false">SUM('план на 2016'!$L141:P141)-SUM('членские взносы'!$M141:P141)</f>
        <v>3000</v>
      </c>
      <c r="Q140" s="85" t="n">
        <f aca="false">SUM('план на 2016'!$L141:Q141)-SUM('членские взносы'!$M141:Q141)</f>
        <v>3000</v>
      </c>
      <c r="R140" s="85" t="n">
        <f aca="false">SUM('план на 2016'!$L141:R141)-SUM('членские взносы'!$M141:R141)</f>
        <v>3000</v>
      </c>
      <c r="S140" s="85" t="n">
        <f aca="false">SUM('план на 2016'!$L141:S141)-SUM('членские взносы'!$M141:S141)</f>
        <v>3000</v>
      </c>
      <c r="T140" s="85" t="n">
        <f aca="false">SUM('план на 2016'!$L141:T141)-SUM('членские взносы'!$M141:T141)</f>
        <v>3000</v>
      </c>
      <c r="U140" s="85" t="n">
        <f aca="false">SUM('план на 2016'!$L141:U141)-SUM('членские взносы'!$M141:U141)</f>
        <v>3800</v>
      </c>
      <c r="V140" s="85" t="n">
        <f aca="false">SUM('план на 2016'!$L141:V141)-SUM('членские взносы'!$M141:V141)</f>
        <v>3000</v>
      </c>
      <c r="W140" s="85" t="n">
        <f aca="false">SUM('план на 2016'!$L141:W141)-SUM('членские взносы'!$M141:W141)</f>
        <v>3000</v>
      </c>
      <c r="X140" s="85" t="n">
        <f aca="false">SUM('план на 2016'!$L141:X141)-SUM('членские взносы'!$M141:X141)</f>
        <v>3000</v>
      </c>
      <c r="Y140" s="59" t="n">
        <f aca="false">X140</f>
        <v>3000</v>
      </c>
    </row>
    <row collapsed="false" customFormat="false" customHeight="false" hidden="false" ht="15" outlineLevel="0" r="141">
      <c r="A141" s="19" t="n">
        <f aca="false">VLOOKUP(B141,справочник!$B$2:$E$322,4,0)</f>
        <v>133</v>
      </c>
      <c r="B141" s="0" t="e">
        <f aca="false">CONCATENATE(C141;D141)</f>
        <v>#VALUE!</v>
      </c>
      <c r="C141" s="24" t="n">
        <v>140</v>
      </c>
      <c r="D141" s="29" t="s">
        <v>296</v>
      </c>
      <c r="E141" s="24" t="s">
        <v>505</v>
      </c>
      <c r="F141" s="30" t="n">
        <v>41008</v>
      </c>
      <c r="G141" s="30" t="n">
        <v>41000</v>
      </c>
      <c r="H141" s="31" t="n">
        <f aca="false">INT(($H$326-G141)/30)</f>
        <v>45</v>
      </c>
      <c r="I141" s="24" t="n">
        <f aca="false">H141*1000</f>
        <v>45000</v>
      </c>
      <c r="J141" s="31" t="n">
        <v>41000</v>
      </c>
      <c r="K141" s="31" t="n">
        <v>4000</v>
      </c>
      <c r="L141" s="59" t="n">
        <f aca="false">I141-J141-K141</f>
        <v>0</v>
      </c>
      <c r="M141" s="85" t="n">
        <f aca="false">SUM('план на 2016'!$L142:M142)-SUM('членские взносы'!$M142:M142)</f>
        <v>800</v>
      </c>
      <c r="N141" s="85" t="n">
        <f aca="false">SUM('план на 2016'!$L142:N142)-SUM('членские взносы'!$M142:N142)</f>
        <v>600</v>
      </c>
      <c r="O141" s="85" t="n">
        <f aca="false">SUM('план на 2016'!$L142:O142)-SUM('членские взносы'!$M142:O142)</f>
        <v>400</v>
      </c>
      <c r="P141" s="85" t="n">
        <f aca="false">SUM('план на 2016'!$L142:P142)-SUM('членские взносы'!$M142:P142)</f>
        <v>200</v>
      </c>
      <c r="Q141" s="85" t="n">
        <f aca="false">SUM('план на 2016'!$L142:Q142)-SUM('членские взносы'!$M142:Q142)</f>
        <v>0</v>
      </c>
      <c r="R141" s="85" t="n">
        <f aca="false">SUM('план на 2016'!$L142:R142)-SUM('членские взносы'!$M142:R142)</f>
        <v>-200</v>
      </c>
      <c r="S141" s="85" t="n">
        <f aca="false">SUM('план на 2016'!$L142:S142)-SUM('членские взносы'!$M142:S142)</f>
        <v>-400</v>
      </c>
      <c r="T141" s="85" t="n">
        <f aca="false">SUM('план на 2016'!$L142:T142)-SUM('членские взносы'!$M142:T142)</f>
        <v>-600</v>
      </c>
      <c r="U141" s="85" t="n">
        <f aca="false">SUM('план на 2016'!$L142:U142)-SUM('членские взносы'!$M142:U142)</f>
        <v>-800</v>
      </c>
      <c r="V141" s="85" t="n">
        <f aca="false">SUM('план на 2016'!$L142:V142)-SUM('членские взносы'!$M142:V142)</f>
        <v>-1000</v>
      </c>
      <c r="W141" s="85" t="n">
        <f aca="false">SUM('план на 2016'!$L142:W142)-SUM('членские взносы'!$M142:W142)</f>
        <v>-200</v>
      </c>
      <c r="X141" s="85" t="n">
        <f aca="false">SUM('план на 2016'!$L142:X142)-SUM('членские взносы'!$M142:X142)</f>
        <v>600</v>
      </c>
      <c r="Y141" s="59" t="n">
        <f aca="false">X141</f>
        <v>600</v>
      </c>
    </row>
    <row collapsed="false" customFormat="false" customHeight="false" hidden="false" ht="15" outlineLevel="0" r="142">
      <c r="A142" s="19" t="n">
        <f aca="false">VLOOKUP(B142,справочник!$B$2:$E$322,4,0)</f>
        <v>202</v>
      </c>
      <c r="B142" s="0" t="e">
        <f aca="false">CONCATENATE(C142;D142)</f>
        <v>#VALUE!</v>
      </c>
      <c r="C142" s="24" t="n">
        <v>212</v>
      </c>
      <c r="D142" s="29" t="s">
        <v>77</v>
      </c>
      <c r="E142" s="24" t="s">
        <v>506</v>
      </c>
      <c r="F142" s="30" t="n">
        <v>41100</v>
      </c>
      <c r="G142" s="30" t="n">
        <v>41091</v>
      </c>
      <c r="H142" s="31" t="n">
        <f aca="false">INT(($H$326-G142)/30)</f>
        <v>42</v>
      </c>
      <c r="I142" s="24" t="n">
        <f aca="false">H142*1000</f>
        <v>42000</v>
      </c>
      <c r="J142" s="31" t="n">
        <v>18000</v>
      </c>
      <c r="K142" s="31"/>
      <c r="L142" s="59" t="n">
        <f aca="false">I142-J142-K142</f>
        <v>24000</v>
      </c>
      <c r="M142" s="85" t="n">
        <f aca="false">SUM('план на 2016'!$L143:M143)-SUM('членские взносы'!$M143:M143)</f>
        <v>24800</v>
      </c>
      <c r="N142" s="85" t="n">
        <f aca="false">SUM('план на 2016'!$L143:N143)-SUM('членские взносы'!$M143:N143)</f>
        <v>25600</v>
      </c>
      <c r="O142" s="85" t="n">
        <f aca="false">SUM('план на 2016'!$L143:O143)-SUM('членские взносы'!$M143:O143)</f>
        <v>26400</v>
      </c>
      <c r="P142" s="85" t="n">
        <f aca="false">SUM('план на 2016'!$L143:P143)-SUM('членские взносы'!$M143:P143)</f>
        <v>27200</v>
      </c>
      <c r="Q142" s="85" t="n">
        <f aca="false">SUM('план на 2016'!$L143:Q143)-SUM('членские взносы'!$M143:Q143)</f>
        <v>28000</v>
      </c>
      <c r="R142" s="85" t="n">
        <f aca="false">SUM('план на 2016'!$L143:R143)-SUM('членские взносы'!$M143:R143)</f>
        <v>28800</v>
      </c>
      <c r="S142" s="85" t="n">
        <f aca="false">SUM('план на 2016'!$L143:S143)-SUM('членские взносы'!$M143:S143)</f>
        <v>29600</v>
      </c>
      <c r="T142" s="85" t="n">
        <f aca="false">SUM('план на 2016'!$L143:T143)-SUM('членские взносы'!$M143:T143)</f>
        <v>30400</v>
      </c>
      <c r="U142" s="85" t="n">
        <f aca="false">SUM('план на 2016'!$L143:U143)-SUM('членские взносы'!$M143:U143)</f>
        <v>31200</v>
      </c>
      <c r="V142" s="85" t="n">
        <f aca="false">SUM('план на 2016'!$L143:V143)-SUM('членские взносы'!$M143:V143)</f>
        <v>32000</v>
      </c>
      <c r="W142" s="85" t="n">
        <f aca="false">SUM('план на 2016'!$L143:W143)-SUM('членские взносы'!$M143:W143)</f>
        <v>32800</v>
      </c>
      <c r="X142" s="85" t="n">
        <f aca="false">SUM('план на 2016'!$L143:X143)-SUM('членские взносы'!$M143:X143)</f>
        <v>33600</v>
      </c>
      <c r="Y142" s="59" t="n">
        <f aca="false">X142</f>
        <v>33600</v>
      </c>
    </row>
    <row collapsed="false" customFormat="false" customHeight="false" hidden="false" ht="15" outlineLevel="0" r="143">
      <c r="A143" s="19" t="n">
        <f aca="false">VLOOKUP(B143,справочник!$B$2:$E$322,4,0)</f>
        <v>192</v>
      </c>
      <c r="B143" s="0" t="e">
        <f aca="false">CONCATENATE(C143;D143)</f>
        <v>#VALUE!</v>
      </c>
      <c r="C143" s="24" t="n">
        <v>200</v>
      </c>
      <c r="D143" s="29" t="s">
        <v>109</v>
      </c>
      <c r="E143" s="24" t="s">
        <v>507</v>
      </c>
      <c r="F143" s="30" t="n">
        <v>41829</v>
      </c>
      <c r="G143" s="30" t="n">
        <v>41852</v>
      </c>
      <c r="H143" s="31" t="n">
        <f aca="false">INT(($H$326-G143)/30)</f>
        <v>17</v>
      </c>
      <c r="I143" s="24" t="n">
        <f aca="false">H143*1000</f>
        <v>17000</v>
      </c>
      <c r="J143" s="31"/>
      <c r="K143" s="31"/>
      <c r="L143" s="59" t="n">
        <f aca="false">I143-J143-K143</f>
        <v>17000</v>
      </c>
      <c r="M143" s="85" t="n">
        <f aca="false">SUM('план на 2016'!$L144:M144)-SUM('членские взносы'!$M144:M144)</f>
        <v>17800</v>
      </c>
      <c r="N143" s="85" t="n">
        <f aca="false">SUM('план на 2016'!$L144:N144)-SUM('членские взносы'!$M144:N144)</f>
        <v>18600</v>
      </c>
      <c r="O143" s="85" t="n">
        <f aca="false">SUM('план на 2016'!$L144:O144)-SUM('членские взносы'!$M144:O144)</f>
        <v>19400</v>
      </c>
      <c r="P143" s="85" t="n">
        <f aca="false">SUM('план на 2016'!$L144:P144)-SUM('членские взносы'!$M144:P144)</f>
        <v>20200</v>
      </c>
      <c r="Q143" s="85" t="n">
        <f aca="false">SUM('план на 2016'!$L144:Q144)-SUM('членские взносы'!$M144:Q144)</f>
        <v>21000</v>
      </c>
      <c r="R143" s="85" t="n">
        <f aca="false">SUM('план на 2016'!$L144:R144)-SUM('членские взносы'!$M144:R144)</f>
        <v>21800</v>
      </c>
      <c r="S143" s="85" t="n">
        <f aca="false">SUM('план на 2016'!$L144:S144)-SUM('членские взносы'!$M144:S144)</f>
        <v>22600</v>
      </c>
      <c r="T143" s="85" t="n">
        <f aca="false">SUM('план на 2016'!$L144:T144)-SUM('членские взносы'!$M144:T144)</f>
        <v>23400</v>
      </c>
      <c r="U143" s="85" t="n">
        <f aca="false">SUM('план на 2016'!$L144:U144)-SUM('членские взносы'!$M144:U144)</f>
        <v>24200</v>
      </c>
      <c r="V143" s="85" t="n">
        <f aca="false">SUM('план на 2016'!$L144:V144)-SUM('членские взносы'!$M144:V144)</f>
        <v>25000</v>
      </c>
      <c r="W143" s="85" t="n">
        <f aca="false">SUM('план на 2016'!$L144:W144)-SUM('членские взносы'!$M144:W144)</f>
        <v>25800</v>
      </c>
      <c r="X143" s="85" t="n">
        <f aca="false">SUM('план на 2016'!$L144:X144)-SUM('членские взносы'!$M144:X144)</f>
        <v>26600</v>
      </c>
      <c r="Y143" s="59" t="n">
        <f aca="false">X143</f>
        <v>26600</v>
      </c>
    </row>
    <row collapsed="false" customFormat="false" customHeight="false" hidden="false" ht="15" outlineLevel="0" r="144">
      <c r="A144" s="19" t="n">
        <f aca="false">VLOOKUP(B144,справочник!$B$2:$E$322,4,0)</f>
        <v>289</v>
      </c>
      <c r="B144" s="0" t="e">
        <f aca="false">CONCATENATE(C144;D144)</f>
        <v>#VALUE!</v>
      </c>
      <c r="C144" s="24" t="n">
        <v>301</v>
      </c>
      <c r="D144" s="29" t="s">
        <v>158</v>
      </c>
      <c r="E144" s="24" t="s">
        <v>508</v>
      </c>
      <c r="F144" s="30" t="n">
        <v>41976</v>
      </c>
      <c r="G144" s="30" t="n">
        <v>42005</v>
      </c>
      <c r="H144" s="31" t="n">
        <f aca="false">INT(($H$326-G144)/30)</f>
        <v>12</v>
      </c>
      <c r="I144" s="24" t="n">
        <f aca="false">H144*1000</f>
        <v>12000</v>
      </c>
      <c r="J144" s="31" t="n">
        <v>3000</v>
      </c>
      <c r="K144" s="31"/>
      <c r="L144" s="59" t="n">
        <f aca="false">I144-J144-K144</f>
        <v>9000</v>
      </c>
      <c r="M144" s="85" t="n">
        <f aca="false">SUM('план на 2016'!$L145:M145)-SUM('членские взносы'!$M145:M145)</f>
        <v>9800</v>
      </c>
      <c r="N144" s="85" t="n">
        <f aca="false">SUM('план на 2016'!$L145:N145)-SUM('членские взносы'!$M145:N145)</f>
        <v>10600</v>
      </c>
      <c r="O144" s="85" t="n">
        <f aca="false">SUM('план на 2016'!$L145:O145)-SUM('членские взносы'!$M145:O145)</f>
        <v>11400</v>
      </c>
      <c r="P144" s="85" t="n">
        <f aca="false">SUM('план на 2016'!$L145:P145)-SUM('членские взносы'!$M145:P145)</f>
        <v>12200</v>
      </c>
      <c r="Q144" s="85" t="n">
        <f aca="false">SUM('план на 2016'!$L145:Q145)-SUM('членские взносы'!$M145:Q145)</f>
        <v>13000</v>
      </c>
      <c r="R144" s="85" t="n">
        <f aca="false">SUM('план на 2016'!$L145:R145)-SUM('членские взносы'!$M145:R145)</f>
        <v>13800</v>
      </c>
      <c r="S144" s="85" t="n">
        <f aca="false">SUM('план на 2016'!$L145:S145)-SUM('членские взносы'!$M145:S145)</f>
        <v>14600</v>
      </c>
      <c r="T144" s="85" t="n">
        <f aca="false">SUM('план на 2016'!$L145:T145)-SUM('членские взносы'!$M145:T145)</f>
        <v>15400</v>
      </c>
      <c r="U144" s="85" t="n">
        <f aca="false">SUM('план на 2016'!$L145:U145)-SUM('членские взносы'!$M145:U145)</f>
        <v>16200</v>
      </c>
      <c r="V144" s="85" t="n">
        <f aca="false">SUM('план на 2016'!$L145:V145)-SUM('членские взносы'!$M145:V145)</f>
        <v>7000</v>
      </c>
      <c r="W144" s="85" t="n">
        <f aca="false">SUM('план на 2016'!$L145:W145)-SUM('членские взносы'!$M145:W145)</f>
        <v>7800</v>
      </c>
      <c r="X144" s="85" t="n">
        <f aca="false">SUM('план на 2016'!$L145:X145)-SUM('членские взносы'!$M145:X145)</f>
        <v>8600</v>
      </c>
      <c r="Y144" s="59" t="n">
        <f aca="false">X144</f>
        <v>8600</v>
      </c>
    </row>
    <row collapsed="false" customFormat="false" customHeight="false" hidden="false" ht="15" outlineLevel="0" r="145">
      <c r="A145" s="19" t="n">
        <f aca="false">VLOOKUP(B145,справочник!$B$2:$E$322,4,0)</f>
        <v>143</v>
      </c>
      <c r="B145" s="0" t="e">
        <f aca="false">CONCATENATE(C145;D145)</f>
        <v>#VALUE!</v>
      </c>
      <c r="C145" s="24" t="n">
        <v>151</v>
      </c>
      <c r="D145" s="29" t="s">
        <v>162</v>
      </c>
      <c r="E145" s="24" t="s">
        <v>509</v>
      </c>
      <c r="F145" s="30" t="n">
        <v>40841</v>
      </c>
      <c r="G145" s="30" t="n">
        <v>40848</v>
      </c>
      <c r="H145" s="31" t="n">
        <f aca="false">INT(($H$326-G145)/30)</f>
        <v>50</v>
      </c>
      <c r="I145" s="24" t="n">
        <f aca="false">H145*1000</f>
        <v>50000</v>
      </c>
      <c r="J145" s="31" t="n">
        <v>37000</v>
      </c>
      <c r="K145" s="31"/>
      <c r="L145" s="59" t="n">
        <f aca="false">I145-J145-K145</f>
        <v>13000</v>
      </c>
      <c r="M145" s="85" t="n">
        <f aca="false">SUM('план на 2016'!$L146:M146)-SUM('членские взносы'!$M146:M146)</f>
        <v>13800</v>
      </c>
      <c r="N145" s="85" t="n">
        <f aca="false">SUM('план на 2016'!$L146:N146)-SUM('членские взносы'!$M146:N146)</f>
        <v>14600</v>
      </c>
      <c r="O145" s="85" t="n">
        <f aca="false">SUM('план на 2016'!$L146:O146)-SUM('членские взносы'!$M146:O146)</f>
        <v>15400</v>
      </c>
      <c r="P145" s="85" t="n">
        <f aca="false">SUM('план на 2016'!$L146:P146)-SUM('членские взносы'!$M146:P146)</f>
        <v>16200</v>
      </c>
      <c r="Q145" s="85" t="n">
        <f aca="false">SUM('план на 2016'!$L146:Q146)-SUM('членские взносы'!$M146:Q146)</f>
        <v>17000</v>
      </c>
      <c r="R145" s="85" t="n">
        <f aca="false">SUM('план на 2016'!$L146:R146)-SUM('членские взносы'!$M146:R146)</f>
        <v>13000</v>
      </c>
      <c r="S145" s="85" t="n">
        <f aca="false">SUM('план на 2016'!$L146:S146)-SUM('членские взносы'!$M146:S146)</f>
        <v>13800</v>
      </c>
      <c r="T145" s="85" t="n">
        <f aca="false">SUM('план на 2016'!$L146:T146)-SUM('членские взносы'!$M146:T146)</f>
        <v>14600</v>
      </c>
      <c r="U145" s="85" t="n">
        <f aca="false">SUM('план на 2016'!$L146:U146)-SUM('членские взносы'!$M146:U146)</f>
        <v>15400</v>
      </c>
      <c r="V145" s="85" t="n">
        <f aca="false">SUM('план на 2016'!$L146:V146)-SUM('членские взносы'!$M146:V146)</f>
        <v>13300</v>
      </c>
      <c r="W145" s="85" t="n">
        <f aca="false">SUM('план на 2016'!$L146:W146)-SUM('членские взносы'!$M146:W146)</f>
        <v>14100</v>
      </c>
      <c r="X145" s="85" t="n">
        <f aca="false">SUM('план на 2016'!$L146:X146)-SUM('членские взносы'!$M146:X146)</f>
        <v>12500</v>
      </c>
      <c r="Y145" s="59" t="n">
        <f aca="false">X145</f>
        <v>12500</v>
      </c>
    </row>
    <row collapsed="false" customFormat="false" customHeight="false" hidden="false" ht="15" outlineLevel="0" r="146">
      <c r="A146" s="19" t="n">
        <f aca="false">VLOOKUP(B146,справочник!$B$2:$E$322,4,0)</f>
        <v>62</v>
      </c>
      <c r="B146" s="0" t="e">
        <f aca="false">CONCATENATE(C146;D146)</f>
        <v>#VALUE!</v>
      </c>
      <c r="C146" s="24" t="n">
        <v>64</v>
      </c>
      <c r="D146" s="29" t="s">
        <v>253</v>
      </c>
      <c r="E146" s="24" t="s">
        <v>510</v>
      </c>
      <c r="F146" s="30" t="n">
        <v>40816</v>
      </c>
      <c r="G146" s="30" t="n">
        <v>40817</v>
      </c>
      <c r="H146" s="31" t="n">
        <f aca="false">INT(($H$326-G146)/30)</f>
        <v>51</v>
      </c>
      <c r="I146" s="24" t="n">
        <f aca="false">H146*1000</f>
        <v>51000</v>
      </c>
      <c r="J146" s="31" t="n">
        <f aca="false">1000+47000</f>
        <v>48000</v>
      </c>
      <c r="K146" s="31" t="n">
        <v>3000</v>
      </c>
      <c r="L146" s="59" t="n">
        <f aca="false">I146-J146-K146</f>
        <v>0</v>
      </c>
      <c r="M146" s="85" t="n">
        <f aca="false">SUM('план на 2016'!$L147:M147)-SUM('членские взносы'!$M147:M147)</f>
        <v>800</v>
      </c>
      <c r="N146" s="85" t="n">
        <f aca="false">SUM('план на 2016'!$L147:N147)-SUM('членские взносы'!$M147:N147)</f>
        <v>1600</v>
      </c>
      <c r="O146" s="85" t="n">
        <f aca="false">SUM('план на 2016'!$L147:O147)-SUM('членские взносы'!$M147:O147)</f>
        <v>-800</v>
      </c>
      <c r="P146" s="85" t="n">
        <f aca="false">SUM('план на 2016'!$L147:P147)-SUM('членские взносы'!$M147:P147)</f>
        <v>0</v>
      </c>
      <c r="Q146" s="85" t="n">
        <f aca="false">SUM('план на 2016'!$L147:Q147)-SUM('членские взносы'!$M147:Q147)</f>
        <v>800</v>
      </c>
      <c r="R146" s="85" t="n">
        <f aca="false">SUM('план на 2016'!$L147:R147)-SUM('членские взносы'!$M147:R147)</f>
        <v>1600</v>
      </c>
      <c r="S146" s="85" t="n">
        <f aca="false">SUM('план на 2016'!$L147:S147)-SUM('членские взносы'!$M147:S147)</f>
        <v>2400</v>
      </c>
      <c r="T146" s="85" t="n">
        <f aca="false">SUM('план на 2016'!$L147:T147)-SUM('членские взносы'!$M147:T147)</f>
        <v>0</v>
      </c>
      <c r="U146" s="85" t="n">
        <f aca="false">SUM('план на 2016'!$L147:U147)-SUM('членские взносы'!$M147:U147)</f>
        <v>800</v>
      </c>
      <c r="V146" s="85" t="n">
        <f aca="false">SUM('план на 2016'!$L147:V147)-SUM('членские взносы'!$M147:V147)</f>
        <v>1600</v>
      </c>
      <c r="W146" s="85" t="n">
        <f aca="false">SUM('план на 2016'!$L147:W147)-SUM('членские взносы'!$M147:W147)</f>
        <v>2400</v>
      </c>
      <c r="X146" s="85" t="n">
        <f aca="false">SUM('план на 2016'!$L147:X147)-SUM('членские взносы'!$M147:X147)</f>
        <v>0</v>
      </c>
      <c r="Y146" s="59" t="n">
        <f aca="false">X146</f>
        <v>0</v>
      </c>
    </row>
    <row collapsed="false" customFormat="false" customHeight="false" hidden="false" ht="15" outlineLevel="0" r="147">
      <c r="A147" s="19" t="n">
        <f aca="false">VLOOKUP(B147,справочник!$B$2:$E$322,4,0)</f>
        <v>225</v>
      </c>
      <c r="B147" s="0" t="e">
        <f aca="false">CONCATENATE(C147;D147)</f>
        <v>#VALUE!</v>
      </c>
      <c r="C147" s="24" t="n">
        <v>234</v>
      </c>
      <c r="D147" s="29" t="s">
        <v>114</v>
      </c>
      <c r="E147" s="24" t="s">
        <v>511</v>
      </c>
      <c r="F147" s="30" t="n">
        <v>41871</v>
      </c>
      <c r="G147" s="30" t="n">
        <v>41883</v>
      </c>
      <c r="H147" s="31" t="n">
        <f aca="false">INT(($H$326-G147)/30)</f>
        <v>16</v>
      </c>
      <c r="I147" s="24" t="n">
        <f aca="false">H147*1000</f>
        <v>16000</v>
      </c>
      <c r="J147" s="31"/>
      <c r="K147" s="31"/>
      <c r="L147" s="59" t="n">
        <f aca="false">I147-J147-K147</f>
        <v>16000</v>
      </c>
      <c r="M147" s="85" t="n">
        <f aca="false">SUM('план на 2016'!$L148:M148)-SUM('членские взносы'!$M148:M148)</f>
        <v>16800</v>
      </c>
      <c r="N147" s="85" t="n">
        <f aca="false">SUM('план на 2016'!$L148:N148)-SUM('членские взносы'!$M148:N148)</f>
        <v>17600</v>
      </c>
      <c r="O147" s="85" t="n">
        <f aca="false">SUM('план на 2016'!$L148:O148)-SUM('членские взносы'!$M148:O148)</f>
        <v>18400</v>
      </c>
      <c r="P147" s="85" t="n">
        <f aca="false">SUM('план на 2016'!$L148:P148)-SUM('членские взносы'!$M148:P148)</f>
        <v>19200</v>
      </c>
      <c r="Q147" s="85" t="n">
        <f aca="false">SUM('план на 2016'!$L148:Q148)-SUM('членские взносы'!$M148:Q148)</f>
        <v>20000</v>
      </c>
      <c r="R147" s="85" t="n">
        <f aca="false">SUM('план на 2016'!$L148:R148)-SUM('членские взносы'!$M148:R148)</f>
        <v>20800</v>
      </c>
      <c r="S147" s="85" t="n">
        <f aca="false">SUM('план на 2016'!$L148:S148)-SUM('членские взносы'!$M148:S148)</f>
        <v>5600</v>
      </c>
      <c r="T147" s="85" t="n">
        <f aca="false">SUM('план на 2016'!$L148:T148)-SUM('членские взносы'!$M148:T148)</f>
        <v>6400</v>
      </c>
      <c r="U147" s="85" t="n">
        <f aca="false">SUM('план на 2016'!$L148:U148)-SUM('членские взносы'!$M148:U148)</f>
        <v>7200</v>
      </c>
      <c r="V147" s="85" t="n">
        <f aca="false">SUM('план на 2016'!$L148:V148)-SUM('членские взносы'!$M148:V148)</f>
        <v>8000</v>
      </c>
      <c r="W147" s="85" t="n">
        <f aca="false">SUM('план на 2016'!$L148:W148)-SUM('членские взносы'!$M148:W148)</f>
        <v>8800</v>
      </c>
      <c r="X147" s="85" t="n">
        <f aca="false">SUM('план на 2016'!$L148:X148)-SUM('членские взносы'!$M148:X148)</f>
        <v>9600</v>
      </c>
      <c r="Y147" s="59" t="n">
        <f aca="false">X147</f>
        <v>9600</v>
      </c>
    </row>
    <row collapsed="false" customFormat="false" customHeight="false" hidden="false" ht="15" outlineLevel="0" r="148">
      <c r="A148" s="19" t="n">
        <f aca="false">VLOOKUP(B148,справочник!$B$2:$E$322,4,0)</f>
        <v>266</v>
      </c>
      <c r="B148" s="0" t="e">
        <f aca="false">CONCATENATE(C148;D148)</f>
        <v>#VALUE!</v>
      </c>
      <c r="C148" s="24" t="n">
        <v>279</v>
      </c>
      <c r="D148" s="29" t="s">
        <v>145</v>
      </c>
      <c r="E148" s="24" t="s">
        <v>512</v>
      </c>
      <c r="F148" s="30" t="n">
        <v>40799</v>
      </c>
      <c r="G148" s="30" t="n">
        <v>40787</v>
      </c>
      <c r="H148" s="31" t="n">
        <f aca="false">INT(($H$326-G148)/30)</f>
        <v>52</v>
      </c>
      <c r="I148" s="24" t="n">
        <f aca="false">H148*1000</f>
        <v>52000</v>
      </c>
      <c r="J148" s="31" t="n">
        <f aca="false">40000+1000</f>
        <v>41000</v>
      </c>
      <c r="K148" s="31"/>
      <c r="L148" s="59" t="n">
        <f aca="false">I148-J148-K148</f>
        <v>11000</v>
      </c>
      <c r="M148" s="85" t="n">
        <f aca="false">SUM('план на 2016'!$L149:M149)-SUM('членские взносы'!$M149:M149)</f>
        <v>11800</v>
      </c>
      <c r="N148" s="85" t="n">
        <f aca="false">SUM('план на 2016'!$L149:N149)-SUM('членские взносы'!$M149:N149)</f>
        <v>12600</v>
      </c>
      <c r="O148" s="85" t="n">
        <f aca="false">SUM('план на 2016'!$L149:O149)-SUM('членские взносы'!$M149:O149)</f>
        <v>13400</v>
      </c>
      <c r="P148" s="85" t="n">
        <f aca="false">SUM('план на 2016'!$L149:P149)-SUM('членские взносы'!$M149:P149)</f>
        <v>14200</v>
      </c>
      <c r="Q148" s="85" t="n">
        <f aca="false">SUM('план на 2016'!$L149:Q149)-SUM('членские взносы'!$M149:Q149)</f>
        <v>15000</v>
      </c>
      <c r="R148" s="85" t="n">
        <f aca="false">SUM('план на 2016'!$L149:R149)-SUM('членские взносы'!$M149:R149)</f>
        <v>15800</v>
      </c>
      <c r="S148" s="85" t="n">
        <f aca="false">SUM('план на 2016'!$L149:S149)-SUM('членские взносы'!$M149:S149)</f>
        <v>16600</v>
      </c>
      <c r="T148" s="85" t="n">
        <f aca="false">SUM('план на 2016'!$L149:T149)-SUM('членские взносы'!$M149:T149)</f>
        <v>17400</v>
      </c>
      <c r="U148" s="85" t="n">
        <f aca="false">SUM('план на 2016'!$L149:U149)-SUM('членские взносы'!$M149:U149)</f>
        <v>18200</v>
      </c>
      <c r="V148" s="85" t="n">
        <f aca="false">SUM('план на 2016'!$L149:V149)-SUM('членские взносы'!$M149:V149)</f>
        <v>19000</v>
      </c>
      <c r="W148" s="85" t="n">
        <f aca="false">SUM('план на 2016'!$L149:W149)-SUM('членские взносы'!$M149:W149)</f>
        <v>1800</v>
      </c>
      <c r="X148" s="85" t="n">
        <f aca="false">SUM('план на 2016'!$L149:X149)-SUM('членские взносы'!$M149:X149)</f>
        <v>2600</v>
      </c>
      <c r="Y148" s="59" t="n">
        <f aca="false">X148</f>
        <v>2600</v>
      </c>
    </row>
    <row collapsed="false" customFormat="false" customHeight="false" hidden="false" ht="15" outlineLevel="0" r="149">
      <c r="A149" s="19" t="n">
        <f aca="false">VLOOKUP(B149,справочник!$B$2:$E$322,4,0)</f>
        <v>157</v>
      </c>
      <c r="B149" s="0" t="e">
        <f aca="false">CONCATENATE(C149;D149)</f>
        <v>#VALUE!</v>
      </c>
      <c r="C149" s="24" t="n">
        <v>165</v>
      </c>
      <c r="D149" s="29" t="s">
        <v>80</v>
      </c>
      <c r="E149" s="24" t="s">
        <v>513</v>
      </c>
      <c r="F149" s="30" t="n">
        <v>40885</v>
      </c>
      <c r="G149" s="30" t="n">
        <v>40878</v>
      </c>
      <c r="H149" s="31" t="n">
        <f aca="false">INT(($H$326-G149)/30)</f>
        <v>49</v>
      </c>
      <c r="I149" s="24" t="n">
        <f aca="false">H149*1000</f>
        <v>49000</v>
      </c>
      <c r="J149" s="31" t="n">
        <f aca="false">12000+13000</f>
        <v>25000</v>
      </c>
      <c r="K149" s="31"/>
      <c r="L149" s="59" t="n">
        <f aca="false">I149-J149-K149</f>
        <v>24000</v>
      </c>
      <c r="M149" s="85" t="n">
        <f aca="false">SUM('план на 2016'!$L150:M150)-SUM('членские взносы'!$M150:M150)</f>
        <v>23800</v>
      </c>
      <c r="N149" s="85" t="n">
        <f aca="false">SUM('план на 2016'!$L150:N150)-SUM('членские взносы'!$M150:N150)</f>
        <v>24600</v>
      </c>
      <c r="O149" s="85" t="n">
        <f aca="false">SUM('план на 2016'!$L150:O150)-SUM('членские взносы'!$M150:O150)</f>
        <v>25400</v>
      </c>
      <c r="P149" s="85" t="n">
        <f aca="false">SUM('план на 2016'!$L150:P150)-SUM('членские взносы'!$M150:P150)</f>
        <v>26200</v>
      </c>
      <c r="Q149" s="85" t="n">
        <f aca="false">SUM('план на 2016'!$L150:Q150)-SUM('членские взносы'!$M150:Q150)</f>
        <v>27000</v>
      </c>
      <c r="R149" s="85" t="n">
        <f aca="false">SUM('план на 2016'!$L150:R150)-SUM('членские взносы'!$M150:R150)</f>
        <v>27800</v>
      </c>
      <c r="S149" s="85" t="n">
        <f aca="false">SUM('план на 2016'!$L150:S150)-SUM('членские взносы'!$M150:S150)</f>
        <v>28600</v>
      </c>
      <c r="T149" s="85" t="n">
        <f aca="false">SUM('план на 2016'!$L150:T150)-SUM('членские взносы'!$M150:T150)</f>
        <v>17400</v>
      </c>
      <c r="U149" s="85" t="n">
        <f aca="false">SUM('план на 2016'!$L150:U150)-SUM('членские взносы'!$M150:U150)</f>
        <v>6200</v>
      </c>
      <c r="V149" s="85" t="n">
        <f aca="false">SUM('план на 2016'!$L150:V150)-SUM('членские взносы'!$M150:V150)</f>
        <v>7000</v>
      </c>
      <c r="W149" s="85" t="n">
        <f aca="false">SUM('план на 2016'!$L150:W150)-SUM('членские взносы'!$M150:W150)</f>
        <v>7800</v>
      </c>
      <c r="X149" s="85" t="n">
        <f aca="false">SUM('план на 2016'!$L150:X150)-SUM('членские взносы'!$M150:X150)</f>
        <v>8600</v>
      </c>
      <c r="Y149" s="59" t="n">
        <f aca="false">X149</f>
        <v>8600</v>
      </c>
    </row>
    <row collapsed="false" customFormat="false" customHeight="false" hidden="false" ht="15" outlineLevel="0" r="150">
      <c r="A150" s="19" t="n">
        <f aca="false">VLOOKUP(B150,справочник!$B$2:$E$322,4,0)</f>
        <v>194</v>
      </c>
      <c r="B150" s="0" t="e">
        <f aca="false">CONCATENATE(C150;D150)</f>
        <v>#VALUE!</v>
      </c>
      <c r="C150" s="24" t="n">
        <v>202</v>
      </c>
      <c r="D150" s="29" t="s">
        <v>227</v>
      </c>
      <c r="E150" s="24" t="s">
        <v>514</v>
      </c>
      <c r="F150" s="30" t="n">
        <v>41898</v>
      </c>
      <c r="G150" s="30" t="n">
        <v>41913</v>
      </c>
      <c r="H150" s="31" t="n">
        <f aca="false">INT(($H$326-G150)/30)</f>
        <v>15</v>
      </c>
      <c r="I150" s="24" t="n">
        <f aca="false">H150*1000</f>
        <v>15000</v>
      </c>
      <c r="J150" s="31" t="n">
        <v>11000</v>
      </c>
      <c r="K150" s="31"/>
      <c r="L150" s="59" t="n">
        <f aca="false">I150-J150-K150</f>
        <v>4000</v>
      </c>
      <c r="M150" s="85" t="n">
        <f aca="false">SUM('план на 2016'!$L151:M151)-SUM('членские взносы'!$M151:M151)</f>
        <v>4800</v>
      </c>
      <c r="N150" s="85" t="n">
        <f aca="false">SUM('план на 2016'!$L151:N151)-SUM('членские взносы'!$M151:N151)</f>
        <v>600</v>
      </c>
      <c r="O150" s="85" t="n">
        <f aca="false">SUM('план на 2016'!$L151:O151)-SUM('членские взносы'!$M151:O151)</f>
        <v>1400</v>
      </c>
      <c r="P150" s="85" t="n">
        <f aca="false">SUM('план на 2016'!$L151:P151)-SUM('членские взносы'!$M151:P151)</f>
        <v>2200</v>
      </c>
      <c r="Q150" s="85" t="n">
        <f aca="false">SUM('план на 2016'!$L151:Q151)-SUM('членские взносы'!$M151:Q151)</f>
        <v>3000</v>
      </c>
      <c r="R150" s="85" t="n">
        <f aca="false">SUM('план на 2016'!$L151:R151)-SUM('членские взносы'!$M151:R151)</f>
        <v>3800</v>
      </c>
      <c r="S150" s="85" t="n">
        <f aca="false">SUM('план на 2016'!$L151:S151)-SUM('членские взносы'!$M151:S151)</f>
        <v>4600</v>
      </c>
      <c r="T150" s="85" t="n">
        <f aca="false">SUM('план на 2016'!$L151:T151)-SUM('членские взносы'!$M151:T151)</f>
        <v>5400</v>
      </c>
      <c r="U150" s="85" t="n">
        <f aca="false">SUM('план на 2016'!$L151:U151)-SUM('членские взносы'!$M151:U151)</f>
        <v>-3400</v>
      </c>
      <c r="V150" s="85" t="n">
        <f aca="false">SUM('план на 2016'!$L151:V151)-SUM('членские взносы'!$M151:V151)</f>
        <v>-2600</v>
      </c>
      <c r="W150" s="85" t="n">
        <f aca="false">SUM('план на 2016'!$L151:W151)-SUM('членские взносы'!$M151:W151)</f>
        <v>-1800</v>
      </c>
      <c r="X150" s="85" t="n">
        <f aca="false">SUM('план на 2016'!$L151:X151)-SUM('членские взносы'!$M151:X151)</f>
        <v>-1000</v>
      </c>
      <c r="Y150" s="59" t="n">
        <f aca="false">X150</f>
        <v>-1000</v>
      </c>
    </row>
    <row collapsed="false" customFormat="false" customHeight="false" hidden="false" ht="15" outlineLevel="0" r="151">
      <c r="A151" s="19" t="n">
        <f aca="false">VLOOKUP(B151,справочник!$B$2:$E$322,4,0)</f>
        <v>65</v>
      </c>
      <c r="B151" s="0" t="e">
        <f aca="false">CONCATENATE(C151;D151)</f>
        <v>#VALUE!</v>
      </c>
      <c r="C151" s="24" t="n">
        <v>67</v>
      </c>
      <c r="D151" s="29" t="s">
        <v>98</v>
      </c>
      <c r="E151" s="24" t="s">
        <v>515</v>
      </c>
      <c r="F151" s="30" t="n">
        <v>40872</v>
      </c>
      <c r="G151" s="30" t="n">
        <v>40848</v>
      </c>
      <c r="H151" s="31" t="n">
        <f aca="false">INT(($H$326-G151)/30)</f>
        <v>50</v>
      </c>
      <c r="I151" s="24" t="n">
        <f aca="false">H151*1000</f>
        <v>50000</v>
      </c>
      <c r="J151" s="31" t="n">
        <f aca="false">30000</f>
        <v>30000</v>
      </c>
      <c r="K151" s="31"/>
      <c r="L151" s="59" t="n">
        <f aca="false">I151-J151-K151</f>
        <v>20000</v>
      </c>
      <c r="M151" s="85" t="n">
        <f aca="false">SUM('план на 2016'!$L152:M152)-SUM('членские взносы'!$M152:M152)</f>
        <v>20800</v>
      </c>
      <c r="N151" s="85" t="n">
        <f aca="false">SUM('план на 2016'!$L152:N152)-SUM('членские взносы'!$M152:N152)</f>
        <v>21600</v>
      </c>
      <c r="O151" s="85" t="n">
        <f aca="false">SUM('план на 2016'!$L152:O152)-SUM('членские взносы'!$M152:O152)</f>
        <v>22400</v>
      </c>
      <c r="P151" s="85" t="n">
        <f aca="false">SUM('план на 2016'!$L152:P152)-SUM('членские взносы'!$M152:P152)</f>
        <v>23200</v>
      </c>
      <c r="Q151" s="85" t="n">
        <f aca="false">SUM('план на 2016'!$L152:Q152)-SUM('членские взносы'!$M152:Q152)</f>
        <v>24000</v>
      </c>
      <c r="R151" s="85" t="n">
        <f aca="false">SUM('план на 2016'!$L152:R152)-SUM('членские взносы'!$M152:R152)</f>
        <v>24800</v>
      </c>
      <c r="S151" s="85" t="n">
        <f aca="false">SUM('план на 2016'!$L152:S152)-SUM('членские взносы'!$M152:S152)</f>
        <v>25600</v>
      </c>
      <c r="T151" s="85" t="n">
        <f aca="false">SUM('план на 2016'!$L152:T152)-SUM('членские взносы'!$M152:T152)</f>
        <v>26400</v>
      </c>
      <c r="U151" s="85" t="n">
        <f aca="false">SUM('план на 2016'!$L152:U152)-SUM('членские взносы'!$M152:U152)</f>
        <v>27200</v>
      </c>
      <c r="V151" s="85" t="n">
        <f aca="false">SUM('план на 2016'!$L152:V152)-SUM('членские взносы'!$M152:V152)</f>
        <v>28000</v>
      </c>
      <c r="W151" s="85" t="n">
        <f aca="false">SUM('план на 2016'!$L152:W152)-SUM('членские взносы'!$M152:W152)</f>
        <v>28800</v>
      </c>
      <c r="X151" s="85" t="n">
        <f aca="false">SUM('план на 2016'!$L152:X152)-SUM('членские взносы'!$M152:X152)</f>
        <v>29600</v>
      </c>
      <c r="Y151" s="59" t="n">
        <f aca="false">X151</f>
        <v>29600</v>
      </c>
    </row>
    <row collapsed="false" customFormat="false" customHeight="false" hidden="false" ht="15" outlineLevel="0" r="152">
      <c r="A152" s="19" t="n">
        <f aca="false">VLOOKUP(B152,справочник!$B$2:$E$322,4,0)</f>
        <v>216</v>
      </c>
      <c r="B152" s="0" t="e">
        <f aca="false">CONCATENATE(C152;D152)</f>
        <v>#VALUE!</v>
      </c>
      <c r="C152" s="24" t="n">
        <v>225</v>
      </c>
      <c r="D152" s="42" t="s">
        <v>298</v>
      </c>
      <c r="E152" s="24" t="s">
        <v>516</v>
      </c>
      <c r="F152" s="30" t="n">
        <v>41773</v>
      </c>
      <c r="G152" s="30" t="n">
        <v>41760</v>
      </c>
      <c r="H152" s="31" t="n">
        <f aca="false">INT(($H$326-G152)/30)</f>
        <v>20</v>
      </c>
      <c r="I152" s="24" t="n">
        <f aca="false">H152*1000</f>
        <v>20000</v>
      </c>
      <c r="J152" s="31" t="n">
        <v>20000</v>
      </c>
      <c r="K152" s="31"/>
      <c r="L152" s="59" t="n">
        <f aca="false">I152-J152-K152</f>
        <v>0</v>
      </c>
      <c r="M152" s="85" t="n">
        <f aca="false">SUM('план на 2016'!$L153:M153)-SUM('членские взносы'!$M153:M153)</f>
        <v>800</v>
      </c>
      <c r="N152" s="85" t="n">
        <f aca="false">SUM('план на 2016'!$L153:N153)-SUM('членские взносы'!$M153:N153)</f>
        <v>-3600</v>
      </c>
      <c r="O152" s="85" t="n">
        <f aca="false">SUM('план на 2016'!$L153:O153)-SUM('членские взносы'!$M153:O153)</f>
        <v>-2800</v>
      </c>
      <c r="P152" s="85" t="n">
        <f aca="false">SUM('план на 2016'!$L153:P153)-SUM('членские взносы'!$M153:P153)</f>
        <v>-2000</v>
      </c>
      <c r="Q152" s="85" t="n">
        <f aca="false">SUM('план на 2016'!$L153:Q153)-SUM('членские взносы'!$M153:Q153)</f>
        <v>-1200</v>
      </c>
      <c r="R152" s="85" t="n">
        <f aca="false">SUM('план на 2016'!$L153:R153)-SUM('членские взносы'!$M153:R153)</f>
        <v>-400</v>
      </c>
      <c r="S152" s="85" t="n">
        <f aca="false">SUM('план на 2016'!$L153:S153)-SUM('членские взносы'!$M153:S153)</f>
        <v>400</v>
      </c>
      <c r="T152" s="85" t="n">
        <f aca="false">SUM('план на 2016'!$L153:T153)-SUM('членские взносы'!$M153:T153)</f>
        <v>1200</v>
      </c>
      <c r="U152" s="85" t="n">
        <f aca="false">SUM('план на 2016'!$L153:U153)-SUM('членские взносы'!$M153:U153)</f>
        <v>2000</v>
      </c>
      <c r="V152" s="85" t="n">
        <f aca="false">SUM('план на 2016'!$L153:V153)-SUM('членские взносы'!$M153:V153)</f>
        <v>2800</v>
      </c>
      <c r="W152" s="85" t="n">
        <f aca="false">SUM('план на 2016'!$L153:W153)-SUM('членские взносы'!$M153:W153)</f>
        <v>-800</v>
      </c>
      <c r="X152" s="85" t="n">
        <f aca="false">SUM('план на 2016'!$L153:X153)-SUM('членские взносы'!$M153:X153)</f>
        <v>0</v>
      </c>
      <c r="Y152" s="59" t="n">
        <f aca="false">X152</f>
        <v>0</v>
      </c>
    </row>
    <row collapsed="false" customFormat="false" customHeight="false" hidden="false" ht="15" outlineLevel="0" r="153">
      <c r="A153" s="19" t="n">
        <f aca="false">VLOOKUP(B153,справочник!$B$2:$E$322,4,0)</f>
        <v>216</v>
      </c>
      <c r="B153" s="0" t="e">
        <f aca="false">CONCATENATE(C153;D153)</f>
        <v>#VALUE!</v>
      </c>
      <c r="C153" s="24" t="n">
        <v>226</v>
      </c>
      <c r="D153" s="42" t="s">
        <v>298</v>
      </c>
      <c r="E153" s="24" t="s">
        <v>517</v>
      </c>
      <c r="F153" s="30" t="n">
        <v>41773</v>
      </c>
      <c r="G153" s="30" t="n">
        <v>41760</v>
      </c>
      <c r="H153" s="31" t="n">
        <f aca="false">INT(($H$326-G153)/30)</f>
        <v>20</v>
      </c>
      <c r="I153" s="24" t="n">
        <f aca="false">H153*1000</f>
        <v>20000</v>
      </c>
      <c r="J153" s="31" t="n">
        <v>20000</v>
      </c>
      <c r="K153" s="31"/>
      <c r="L153" s="59" t="n">
        <f aca="false">I153-J153-K153</f>
        <v>0</v>
      </c>
      <c r="M153" s="85" t="n">
        <f aca="false">SUM('план на 2016'!$L154:M154)-SUM('членские взносы'!$M154:M154)</f>
        <v>0</v>
      </c>
      <c r="N153" s="85" t="n">
        <f aca="false">SUM('план на 2016'!$L154:N154)-SUM('членские взносы'!$M154:N154)</f>
        <v>0</v>
      </c>
      <c r="O153" s="85" t="n">
        <f aca="false">SUM('план на 2016'!$L154:O154)-SUM('членские взносы'!$M154:O154)</f>
        <v>0</v>
      </c>
      <c r="P153" s="85" t="n">
        <f aca="false">SUM('план на 2016'!$L154:P154)-SUM('членские взносы'!$M154:P154)</f>
        <v>0</v>
      </c>
      <c r="Q153" s="85" t="n">
        <f aca="false">SUM('план на 2016'!$L154:Q154)-SUM('членские взносы'!$M154:Q154)</f>
        <v>0</v>
      </c>
      <c r="R153" s="85" t="n">
        <f aca="false">SUM('план на 2016'!$L154:R154)-SUM('членские взносы'!$M154:R154)</f>
        <v>0</v>
      </c>
      <c r="S153" s="85" t="n">
        <f aca="false">SUM('план на 2016'!$L154:S154)-SUM('членские взносы'!$M154:S154)</f>
        <v>0</v>
      </c>
      <c r="T153" s="85" t="n">
        <f aca="false">SUM('план на 2016'!$L154:T154)-SUM('членские взносы'!$M154:T154)</f>
        <v>0</v>
      </c>
      <c r="U153" s="85" t="n">
        <f aca="false">SUM('план на 2016'!$L154:U154)-SUM('членские взносы'!$M154:U154)</f>
        <v>0</v>
      </c>
      <c r="V153" s="85" t="n">
        <f aca="false">SUM('план на 2016'!$L154:V154)-SUM('членские взносы'!$M154:V154)</f>
        <v>0</v>
      </c>
      <c r="W153" s="85" t="n">
        <f aca="false">SUM('план на 2016'!$L154:W154)-SUM('членские взносы'!$M154:W154)</f>
        <v>0</v>
      </c>
      <c r="X153" s="85" t="n">
        <f aca="false">SUM('план на 2016'!$L154:X154)-SUM('членские взносы'!$M154:X154)</f>
        <v>0</v>
      </c>
      <c r="Y153" s="59" t="n">
        <f aca="false">X153</f>
        <v>0</v>
      </c>
    </row>
    <row collapsed="false" customFormat="false" customHeight="false" hidden="false" ht="15" outlineLevel="0" r="154">
      <c r="A154" s="19" t="n">
        <f aca="false">VLOOKUP(B154,справочник!$B$2:$E$322,4,0)</f>
        <v>56</v>
      </c>
      <c r="B154" s="0" t="e">
        <f aca="false">CONCATENATE(C154;D154)</f>
        <v>#VALUE!</v>
      </c>
      <c r="C154" s="24" t="n">
        <v>58</v>
      </c>
      <c r="D154" s="29" t="s">
        <v>27</v>
      </c>
      <c r="E154" s="24" t="s">
        <v>518</v>
      </c>
      <c r="F154" s="30" t="n">
        <v>40715</v>
      </c>
      <c r="G154" s="30" t="n">
        <v>40725</v>
      </c>
      <c r="H154" s="31" t="n">
        <f aca="false">INT(($H$326-G154)/30)</f>
        <v>54</v>
      </c>
      <c r="I154" s="24" t="n">
        <f aca="false">H154*1000</f>
        <v>54000</v>
      </c>
      <c r="J154" s="31" t="n">
        <v>1000</v>
      </c>
      <c r="K154" s="31"/>
      <c r="L154" s="59" t="n">
        <f aca="false">I154-J154-K154</f>
        <v>53000</v>
      </c>
      <c r="M154" s="85" t="n">
        <f aca="false">SUM('план на 2016'!$L155:M155)-SUM('членские взносы'!$M155:M155)</f>
        <v>53800</v>
      </c>
      <c r="N154" s="85" t="n">
        <f aca="false">SUM('план на 2016'!$L155:N155)-SUM('членские взносы'!$M155:N155)</f>
        <v>54600</v>
      </c>
      <c r="O154" s="85" t="n">
        <f aca="false">SUM('план на 2016'!$L155:O155)-SUM('членские взносы'!$M155:O155)</f>
        <v>55400</v>
      </c>
      <c r="P154" s="85" t="n">
        <f aca="false">SUM('план на 2016'!$L155:P155)-SUM('членские взносы'!$M155:P155)</f>
        <v>56200</v>
      </c>
      <c r="Q154" s="85" t="n">
        <f aca="false">SUM('план на 2016'!$L155:Q155)-SUM('членские взносы'!$M155:Q155)</f>
        <v>57000</v>
      </c>
      <c r="R154" s="85" t="n">
        <f aca="false">SUM('план на 2016'!$L155:R155)-SUM('членские взносы'!$M155:R155)</f>
        <v>57800</v>
      </c>
      <c r="S154" s="85" t="n">
        <f aca="false">SUM('план на 2016'!$L155:S155)-SUM('членские взносы'!$M155:S155)</f>
        <v>58600</v>
      </c>
      <c r="T154" s="85" t="n">
        <f aca="false">SUM('план на 2016'!$L155:T155)-SUM('членские взносы'!$M155:T155)</f>
        <v>59400</v>
      </c>
      <c r="U154" s="85" t="n">
        <f aca="false">SUM('план на 2016'!$L155:U155)-SUM('членские взносы'!$M155:U155)</f>
        <v>60200</v>
      </c>
      <c r="V154" s="85" t="n">
        <f aca="false">SUM('план на 2016'!$L155:V155)-SUM('членские взносы'!$M155:V155)</f>
        <v>61000</v>
      </c>
      <c r="W154" s="85" t="n">
        <f aca="false">SUM('план на 2016'!$L155:W155)-SUM('членские взносы'!$M155:W155)</f>
        <v>61800</v>
      </c>
      <c r="X154" s="85" t="n">
        <f aca="false">SUM('план на 2016'!$L155:X155)-SUM('членские взносы'!$M155:X155)</f>
        <v>62600</v>
      </c>
      <c r="Y154" s="59" t="n">
        <f aca="false">X154</f>
        <v>62600</v>
      </c>
    </row>
    <row collapsed="false" customFormat="false" customHeight="false" hidden="false" ht="15" outlineLevel="0" r="155">
      <c r="A155" s="19" t="n">
        <f aca="false">VLOOKUP(B155,справочник!$B$2:$E$322,4,0)</f>
        <v>150</v>
      </c>
      <c r="B155" s="0" t="e">
        <f aca="false">CONCATENATE(C155;D155)</f>
        <v>#VALUE!</v>
      </c>
      <c r="C155" s="24" t="n">
        <v>158</v>
      </c>
      <c r="D155" s="29" t="s">
        <v>59</v>
      </c>
      <c r="E155" s="24" t="s">
        <v>519</v>
      </c>
      <c r="F155" s="30" t="n">
        <v>40770</v>
      </c>
      <c r="G155" s="30" t="n">
        <v>40787</v>
      </c>
      <c r="H155" s="31" t="n">
        <f aca="false">INT(($H$326-G155)/30)</f>
        <v>52</v>
      </c>
      <c r="I155" s="24" t="n">
        <f aca="false">H155*1000</f>
        <v>52000</v>
      </c>
      <c r="J155" s="31" t="n">
        <f aca="false">21000+1000</f>
        <v>22000</v>
      </c>
      <c r="K155" s="31"/>
      <c r="L155" s="59" t="n">
        <f aca="false">I155-J155-K155</f>
        <v>30000</v>
      </c>
      <c r="M155" s="85" t="n">
        <f aca="false">SUM('план на 2016'!$L156:M156)-SUM('членские взносы'!$M156:M156)</f>
        <v>30800</v>
      </c>
      <c r="N155" s="85" t="n">
        <f aca="false">SUM('план на 2016'!$L156:N156)-SUM('членские взносы'!$M156:N156)</f>
        <v>31600</v>
      </c>
      <c r="O155" s="85" t="n">
        <f aca="false">SUM('план на 2016'!$L156:O156)-SUM('членские взносы'!$M156:O156)</f>
        <v>32400</v>
      </c>
      <c r="P155" s="85" t="n">
        <f aca="false">SUM('план на 2016'!$L156:P156)-SUM('членские взносы'!$M156:P156)</f>
        <v>33200</v>
      </c>
      <c r="Q155" s="85" t="n">
        <f aca="false">SUM('план на 2016'!$L156:Q156)-SUM('членские взносы'!$M156:Q156)</f>
        <v>34000</v>
      </c>
      <c r="R155" s="85" t="n">
        <f aca="false">SUM('план на 2016'!$L156:R156)-SUM('членские взносы'!$M156:R156)</f>
        <v>34800</v>
      </c>
      <c r="S155" s="85" t="n">
        <f aca="false">SUM('план на 2016'!$L156:S156)-SUM('членские взносы'!$M156:S156)</f>
        <v>35600</v>
      </c>
      <c r="T155" s="85" t="n">
        <f aca="false">SUM('план на 2016'!$L156:T156)-SUM('членские взносы'!$M156:T156)</f>
        <v>31600</v>
      </c>
      <c r="U155" s="85" t="n">
        <f aca="false">SUM('план на 2016'!$L156:U156)-SUM('членские взносы'!$M156:U156)</f>
        <v>26400</v>
      </c>
      <c r="V155" s="85" t="n">
        <f aca="false">SUM('план на 2016'!$L156:V156)-SUM('членские взносы'!$M156:V156)</f>
        <v>27200</v>
      </c>
      <c r="W155" s="85" t="n">
        <f aca="false">SUM('план на 2016'!$L156:W156)-SUM('членские взносы'!$M156:W156)</f>
        <v>28000</v>
      </c>
      <c r="X155" s="85" t="n">
        <f aca="false">SUM('план на 2016'!$L156:X156)-SUM('членские взносы'!$M156:X156)</f>
        <v>24000</v>
      </c>
      <c r="Y155" s="59" t="n">
        <f aca="false">X155</f>
        <v>24000</v>
      </c>
    </row>
    <row collapsed="false" customFormat="false" customHeight="false" hidden="false" ht="15" outlineLevel="0" r="156">
      <c r="A156" s="19" t="n">
        <f aca="false">VLOOKUP(B156,справочник!$B$2:$E$322,4,0)</f>
        <v>243</v>
      </c>
      <c r="B156" s="0" t="e">
        <f aca="false">CONCATENATE(C156;D156)</f>
        <v>#VALUE!</v>
      </c>
      <c r="C156" s="24" t="n">
        <v>254</v>
      </c>
      <c r="D156" s="29" t="s">
        <v>70</v>
      </c>
      <c r="E156" s="24" t="s">
        <v>520</v>
      </c>
      <c r="F156" s="30" t="n">
        <v>40791</v>
      </c>
      <c r="G156" s="30" t="n">
        <v>40787</v>
      </c>
      <c r="H156" s="31" t="n">
        <f aca="false">INT(($H$326-G156)/30)</f>
        <v>52</v>
      </c>
      <c r="I156" s="24" t="n">
        <f aca="false">H156*1000</f>
        <v>52000</v>
      </c>
      <c r="J156" s="31" t="n">
        <f aca="false">1000</f>
        <v>1000</v>
      </c>
      <c r="K156" s="31" t="n">
        <v>45000</v>
      </c>
      <c r="L156" s="59" t="n">
        <f aca="false">I156-J156-K156</f>
        <v>6000</v>
      </c>
      <c r="M156" s="85" t="n">
        <f aca="false">SUM('план на 2016'!$L157:M157)-SUM('членские взносы'!$M157:M157)</f>
        <v>1800</v>
      </c>
      <c r="N156" s="85" t="n">
        <f aca="false">SUM('план на 2016'!$L157:N157)-SUM('членские взносы'!$M157:N157)</f>
        <v>-2200</v>
      </c>
      <c r="O156" s="85" t="n">
        <f aca="false">SUM('план на 2016'!$L157:O157)-SUM('членские взносы'!$M157:O157)</f>
        <v>-1400</v>
      </c>
      <c r="P156" s="85" t="n">
        <f aca="false">SUM('план на 2016'!$L157:P157)-SUM('членские взносы'!$M157:P157)</f>
        <v>-600</v>
      </c>
      <c r="Q156" s="85" t="n">
        <f aca="false">SUM('план на 2016'!$L157:Q157)-SUM('членские взносы'!$M157:Q157)</f>
        <v>200</v>
      </c>
      <c r="R156" s="85" t="n">
        <f aca="false">SUM('план на 2016'!$L157:R157)-SUM('членские взносы'!$M157:R157)</f>
        <v>-3800</v>
      </c>
      <c r="S156" s="85" t="n">
        <f aca="false">SUM('план на 2016'!$L157:S157)-SUM('членские взносы'!$M157:S157)</f>
        <v>-3000</v>
      </c>
      <c r="T156" s="85" t="n">
        <f aca="false">SUM('план на 2016'!$L157:T157)-SUM('членские взносы'!$M157:T157)</f>
        <v>-2200</v>
      </c>
      <c r="U156" s="85" t="n">
        <f aca="false">SUM('план на 2016'!$L157:U157)-SUM('членские взносы'!$M157:U157)</f>
        <v>-1400</v>
      </c>
      <c r="V156" s="85" t="n">
        <f aca="false">SUM('план на 2016'!$L157:V157)-SUM('членские взносы'!$M157:V157)</f>
        <v>-600</v>
      </c>
      <c r="W156" s="85" t="n">
        <f aca="false">SUM('план на 2016'!$L157:W157)-SUM('членские взносы'!$M157:W157)</f>
        <v>200</v>
      </c>
      <c r="X156" s="85" t="n">
        <f aca="false">SUM('план на 2016'!$L157:X157)-SUM('членские взносы'!$M157:X157)</f>
        <v>1000</v>
      </c>
      <c r="Y156" s="59" t="n">
        <f aca="false">X156</f>
        <v>1000</v>
      </c>
    </row>
    <row collapsed="false" customFormat="false" customHeight="false" hidden="false" ht="15" outlineLevel="0" r="157">
      <c r="A157" s="19" t="n">
        <f aca="false">VLOOKUP(B157,справочник!$B$2:$E$322,4,0)</f>
        <v>220</v>
      </c>
      <c r="B157" s="0" t="e">
        <f aca="false">CONCATENATE(C157;D157)</f>
        <v>#VALUE!</v>
      </c>
      <c r="C157" s="24" t="n">
        <v>229</v>
      </c>
      <c r="D157" s="29" t="s">
        <v>108</v>
      </c>
      <c r="E157" s="24" t="s">
        <v>521</v>
      </c>
      <c r="F157" s="30" t="n">
        <v>41800</v>
      </c>
      <c r="G157" s="30" t="n">
        <v>41821</v>
      </c>
      <c r="H157" s="31" t="n">
        <f aca="false">INT(($H$326-G157)/30)</f>
        <v>18</v>
      </c>
      <c r="I157" s="24" t="n">
        <f aca="false">H157*1000</f>
        <v>18000</v>
      </c>
      <c r="J157" s="31" t="n">
        <f aca="false">1000</f>
        <v>1000</v>
      </c>
      <c r="K157" s="31"/>
      <c r="L157" s="59" t="n">
        <f aca="false">I157-J157-K157</f>
        <v>17000</v>
      </c>
      <c r="M157" s="85" t="n">
        <f aca="false">SUM('план на 2016'!$L158:M158)-SUM('членские взносы'!$M158:M158)</f>
        <v>17800</v>
      </c>
      <c r="N157" s="85" t="n">
        <f aca="false">SUM('план на 2016'!$L158:N158)-SUM('членские взносы'!$M158:N158)</f>
        <v>18600</v>
      </c>
      <c r="O157" s="85" t="n">
        <f aca="false">SUM('план на 2016'!$L158:O158)-SUM('членские взносы'!$M158:O158)</f>
        <v>19400</v>
      </c>
      <c r="P157" s="85" t="n">
        <f aca="false">SUM('план на 2016'!$L158:P158)-SUM('членские взносы'!$M158:P158)</f>
        <v>20200</v>
      </c>
      <c r="Q157" s="85" t="n">
        <f aca="false">SUM('план на 2016'!$L158:Q158)-SUM('членские взносы'!$M158:Q158)</f>
        <v>21000</v>
      </c>
      <c r="R157" s="85" t="n">
        <f aca="false">SUM('план на 2016'!$L158:R158)-SUM('членские взносы'!$M158:R158)</f>
        <v>21800</v>
      </c>
      <c r="S157" s="85" t="n">
        <f aca="false">SUM('план на 2016'!$L158:S158)-SUM('членские взносы'!$M158:S158)</f>
        <v>22600</v>
      </c>
      <c r="T157" s="85" t="n">
        <f aca="false">SUM('план на 2016'!$L158:T158)-SUM('членские взносы'!$M158:T158)</f>
        <v>23400</v>
      </c>
      <c r="U157" s="85" t="n">
        <f aca="false">SUM('план на 2016'!$L158:U158)-SUM('членские взносы'!$M158:U158)</f>
        <v>24200</v>
      </c>
      <c r="V157" s="85" t="n">
        <f aca="false">SUM('план на 2016'!$L158:V158)-SUM('членские взносы'!$M158:V158)</f>
        <v>25000</v>
      </c>
      <c r="W157" s="85" t="n">
        <f aca="false">SUM('план на 2016'!$L158:W158)-SUM('членские взносы'!$M158:W158)</f>
        <v>25800</v>
      </c>
      <c r="X157" s="85" t="n">
        <f aca="false">SUM('план на 2016'!$L158:X158)-SUM('членские взносы'!$M158:X158)</f>
        <v>26600</v>
      </c>
      <c r="Y157" s="59" t="n">
        <f aca="false">X157</f>
        <v>26600</v>
      </c>
    </row>
    <row collapsed="false" customFormat="false" customHeight="false" hidden="false" ht="15" outlineLevel="0" r="158">
      <c r="A158" s="19" t="n">
        <f aca="false">VLOOKUP(B158,справочник!$B$2:$E$322,4,0)</f>
        <v>3</v>
      </c>
      <c r="B158" s="0" t="e">
        <f aca="false">CONCATENATE(C158;D158)</f>
        <v>#VALUE!</v>
      </c>
      <c r="C158" s="24" t="n">
        <v>3</v>
      </c>
      <c r="D158" s="29" t="s">
        <v>90</v>
      </c>
      <c r="E158" s="24" t="s">
        <v>522</v>
      </c>
      <c r="F158" s="30" t="n">
        <v>41954</v>
      </c>
      <c r="G158" s="30" t="n">
        <v>41609</v>
      </c>
      <c r="H158" s="31" t="n">
        <f aca="false">INT(($H$326-G158)/30)</f>
        <v>25</v>
      </c>
      <c r="I158" s="24" t="n">
        <f aca="false">H158*1000</f>
        <v>25000</v>
      </c>
      <c r="J158" s="31" t="n">
        <f aca="false">4000</f>
        <v>4000</v>
      </c>
      <c r="K158" s="31"/>
      <c r="L158" s="59" t="n">
        <f aca="false">I158-J158-K158</f>
        <v>21000</v>
      </c>
      <c r="M158" s="85" t="n">
        <f aca="false">SUM('план на 2016'!$L159:M159)-SUM('членские взносы'!$M159:M159)</f>
        <v>21800</v>
      </c>
      <c r="N158" s="85" t="n">
        <f aca="false">SUM('план на 2016'!$L159:N159)-SUM('членские взносы'!$M159:N159)</f>
        <v>22600</v>
      </c>
      <c r="O158" s="85" t="n">
        <f aca="false">SUM('план на 2016'!$L159:O159)-SUM('членские взносы'!$M159:O159)</f>
        <v>23400</v>
      </c>
      <c r="P158" s="85" t="n">
        <f aca="false">SUM('план на 2016'!$L159:P159)-SUM('членские взносы'!$M159:P159)</f>
        <v>24200</v>
      </c>
      <c r="Q158" s="85" t="n">
        <f aca="false">SUM('план на 2016'!$L159:Q159)-SUM('членские взносы'!$M159:Q159)</f>
        <v>25000</v>
      </c>
      <c r="R158" s="85" t="n">
        <f aca="false">SUM('план на 2016'!$L159:R159)-SUM('членские взносы'!$M159:R159)</f>
        <v>25800</v>
      </c>
      <c r="S158" s="85" t="n">
        <f aca="false">SUM('план на 2016'!$L159:S159)-SUM('членские взносы'!$M159:S159)</f>
        <v>26600</v>
      </c>
      <c r="T158" s="85" t="n">
        <f aca="false">SUM('план на 2016'!$L159:T159)-SUM('членские взносы'!$M159:T159)</f>
        <v>27400</v>
      </c>
      <c r="U158" s="85" t="n">
        <f aca="false">SUM('план на 2016'!$L159:U159)-SUM('членские взносы'!$M159:U159)</f>
        <v>13200</v>
      </c>
      <c r="V158" s="85" t="n">
        <f aca="false">SUM('план на 2016'!$L159:V159)-SUM('членские взносы'!$M159:V159)</f>
        <v>14000</v>
      </c>
      <c r="W158" s="85" t="n">
        <f aca="false">SUM('план на 2016'!$L159:W159)-SUM('членские взносы'!$M159:W159)</f>
        <v>14800</v>
      </c>
      <c r="X158" s="85" t="n">
        <f aca="false">SUM('план на 2016'!$L159:X159)-SUM('членские взносы'!$M159:X159)</f>
        <v>15600</v>
      </c>
      <c r="Y158" s="59" t="n">
        <f aca="false">X158</f>
        <v>15600</v>
      </c>
    </row>
    <row collapsed="false" customFormat="false" customHeight="false" hidden="false" ht="15" outlineLevel="0" r="159">
      <c r="A159" s="19" t="n">
        <f aca="false">VLOOKUP(B159,справочник!$B$2:$E$322,4,0)</f>
        <v>158</v>
      </c>
      <c r="B159" s="0" t="e">
        <f aca="false">CONCATENATE(C159;D159)</f>
        <v>#VALUE!</v>
      </c>
      <c r="C159" s="24" t="n">
        <v>166</v>
      </c>
      <c r="D159" s="29" t="s">
        <v>84</v>
      </c>
      <c r="E159" s="24" t="s">
        <v>523</v>
      </c>
      <c r="F159" s="30" t="n">
        <v>41660</v>
      </c>
      <c r="G159" s="30" t="n">
        <v>41671</v>
      </c>
      <c r="H159" s="31" t="n">
        <f aca="false">INT(($H$326-G159)/30)</f>
        <v>23</v>
      </c>
      <c r="I159" s="24" t="n">
        <f aca="false">H159*1000</f>
        <v>23000</v>
      </c>
      <c r="J159" s="31" t="n">
        <f aca="false">1000</f>
        <v>1000</v>
      </c>
      <c r="K159" s="31"/>
      <c r="L159" s="59" t="n">
        <f aca="false">I159-J159-K159</f>
        <v>22000</v>
      </c>
      <c r="M159" s="85" t="n">
        <f aca="false">SUM('план на 2016'!$L160:M160)-SUM('членские взносы'!$M160:M160)</f>
        <v>22800</v>
      </c>
      <c r="N159" s="85" t="n">
        <f aca="false">SUM('план на 2016'!$L160:N160)-SUM('членские взносы'!$M160:N160)</f>
        <v>23600</v>
      </c>
      <c r="O159" s="85" t="n">
        <f aca="false">SUM('план на 2016'!$L160:O160)-SUM('членские взносы'!$M160:O160)</f>
        <v>24400</v>
      </c>
      <c r="P159" s="85" t="n">
        <f aca="false">SUM('план на 2016'!$L160:P160)-SUM('членские взносы'!$M160:P160)</f>
        <v>25200</v>
      </c>
      <c r="Q159" s="85" t="n">
        <f aca="false">SUM('план на 2016'!$L160:Q160)-SUM('членские взносы'!$M160:Q160)</f>
        <v>26000</v>
      </c>
      <c r="R159" s="85" t="n">
        <f aca="false">SUM('план на 2016'!$L160:R160)-SUM('членские взносы'!$M160:R160)</f>
        <v>26800</v>
      </c>
      <c r="S159" s="85" t="n">
        <f aca="false">SUM('план на 2016'!$L160:S160)-SUM('членские взносы'!$M160:S160)</f>
        <v>27600</v>
      </c>
      <c r="T159" s="85" t="n">
        <f aca="false">SUM('план на 2016'!$L160:T160)-SUM('членские взносы'!$M160:T160)</f>
        <v>28400</v>
      </c>
      <c r="U159" s="85" t="n">
        <f aca="false">SUM('план на 2016'!$L160:U160)-SUM('членские взносы'!$M160:U160)</f>
        <v>29200</v>
      </c>
      <c r="V159" s="85" t="n">
        <f aca="false">SUM('план на 2016'!$L160:V160)-SUM('членские взносы'!$M160:V160)</f>
        <v>30000</v>
      </c>
      <c r="W159" s="85" t="n">
        <f aca="false">SUM('план на 2016'!$L160:W160)-SUM('членские взносы'!$M160:W160)</f>
        <v>30800</v>
      </c>
      <c r="X159" s="85" t="n">
        <f aca="false">SUM('план на 2016'!$L160:X160)-SUM('членские взносы'!$M160:X160)</f>
        <v>31600</v>
      </c>
      <c r="Y159" s="59" t="n">
        <f aca="false">X159</f>
        <v>31600</v>
      </c>
    </row>
    <row collapsed="false" customFormat="false" customHeight="false" hidden="false" ht="15" outlineLevel="0" r="160">
      <c r="A160" s="19" t="n">
        <f aca="false">VLOOKUP(B160,справочник!$B$2:$E$322,4,0)</f>
        <v>139</v>
      </c>
      <c r="B160" s="0" t="e">
        <f aca="false">CONCATENATE(C160;D160)</f>
        <v>#VALUE!</v>
      </c>
      <c r="C160" s="24" t="n">
        <v>149</v>
      </c>
      <c r="D160" s="29" t="s">
        <v>51</v>
      </c>
      <c r="E160" s="24" t="s">
        <v>524</v>
      </c>
      <c r="F160" s="34" t="n">
        <v>40715</v>
      </c>
      <c r="G160" s="34" t="n">
        <v>40725</v>
      </c>
      <c r="H160" s="35" t="n">
        <f aca="false">INT(($H$326-G160)/30)</f>
        <v>54</v>
      </c>
      <c r="I160" s="36" t="n">
        <f aca="false">H160*1000</f>
        <v>54000</v>
      </c>
      <c r="J160" s="35" t="n">
        <v>54000</v>
      </c>
      <c r="K160" s="35"/>
      <c r="L160" s="66" t="n">
        <f aca="false">I160-J160-K160</f>
        <v>0</v>
      </c>
      <c r="M160" s="85" t="n">
        <f aca="false">SUM('план на 2016'!$L161:M161)-SUM('членские взносы'!$M161:M161)</f>
        <v>0</v>
      </c>
      <c r="N160" s="85" t="n">
        <f aca="false">SUM('план на 2016'!$L161:N161)-SUM('членские взносы'!$M161:N161)</f>
        <v>0</v>
      </c>
      <c r="O160" s="85" t="n">
        <f aca="false">SUM('план на 2016'!$L161:O161)-SUM('членские взносы'!$M161:O161)</f>
        <v>0</v>
      </c>
      <c r="P160" s="85" t="n">
        <f aca="false">SUM('план на 2016'!$L161:P161)-SUM('членские взносы'!$M161:P161)</f>
        <v>0</v>
      </c>
      <c r="Q160" s="85" t="n">
        <f aca="false">SUM('план на 2016'!$L161:Q161)-SUM('членские взносы'!$M161:Q161)</f>
        <v>-4800</v>
      </c>
      <c r="R160" s="85" t="n">
        <f aca="false">SUM('план на 2016'!$L161:R161)-SUM('членские взносы'!$M161:R161)</f>
        <v>-4800</v>
      </c>
      <c r="S160" s="85" t="n">
        <f aca="false">SUM('план на 2016'!$L161:S161)-SUM('членские взносы'!$M161:S161)</f>
        <v>-4800</v>
      </c>
      <c r="T160" s="85" t="n">
        <f aca="false">SUM('план на 2016'!$L161:T161)-SUM('членские взносы'!$M161:T161)</f>
        <v>-9600</v>
      </c>
      <c r="U160" s="85" t="n">
        <f aca="false">SUM('план на 2016'!$L161:U161)-SUM('членские взносы'!$M161:U161)</f>
        <v>-9600</v>
      </c>
      <c r="V160" s="85" t="n">
        <f aca="false">SUM('план на 2016'!$L161:V161)-SUM('членские взносы'!$M161:V161)</f>
        <v>-9600</v>
      </c>
      <c r="W160" s="85" t="n">
        <f aca="false">SUM('план на 2016'!$L161:W161)-SUM('членские взносы'!$M161:W161)</f>
        <v>-9600</v>
      </c>
      <c r="X160" s="85" t="n">
        <f aca="false">SUM('план на 2016'!$L161:X161)-SUM('членские взносы'!$M161:X161)</f>
        <v>-9600</v>
      </c>
      <c r="Y160" s="59" t="n">
        <f aca="false">X160</f>
        <v>-9600</v>
      </c>
    </row>
    <row collapsed="false" customFormat="false" customHeight="false" hidden="false" ht="15" outlineLevel="0" r="161">
      <c r="A161" s="19" t="n">
        <f aca="false">VLOOKUP(B161,справочник!$B$2:$E$322,4,0)</f>
        <v>139</v>
      </c>
      <c r="B161" s="0" t="e">
        <f aca="false">CONCATENATE(C161;D161)</f>
        <v>#VALUE!</v>
      </c>
      <c r="C161" s="24" t="n">
        <v>147</v>
      </c>
      <c r="D161" s="29" t="s">
        <v>51</v>
      </c>
      <c r="E161" s="24" t="s">
        <v>525</v>
      </c>
      <c r="F161" s="34" t="n">
        <v>40715</v>
      </c>
      <c r="G161" s="34" t="n">
        <v>40725</v>
      </c>
      <c r="H161" s="35" t="n">
        <f aca="false">INT(($H$326-G161)/30)</f>
        <v>54</v>
      </c>
      <c r="I161" s="36" t="n">
        <f aca="false">H161*1000</f>
        <v>54000</v>
      </c>
      <c r="J161" s="35" t="n">
        <v>54000</v>
      </c>
      <c r="K161" s="35"/>
      <c r="L161" s="66" t="n">
        <f aca="false">I161-J161-K161</f>
        <v>0</v>
      </c>
      <c r="M161" s="85" t="n">
        <f aca="false">SUM('план на 2016'!$L162:M162)-SUM('членские взносы'!$M162:M162)</f>
        <v>0</v>
      </c>
      <c r="N161" s="85" t="n">
        <f aca="false">SUM('план на 2016'!$L162:N162)-SUM('членские взносы'!$M162:N162)</f>
        <v>0</v>
      </c>
      <c r="O161" s="85" t="n">
        <f aca="false">SUM('план на 2016'!$L162:O162)-SUM('членские взносы'!$M162:O162)</f>
        <v>0</v>
      </c>
      <c r="P161" s="85" t="n">
        <f aca="false">SUM('план на 2016'!$L162:P162)-SUM('членские взносы'!$M162:P162)</f>
        <v>0</v>
      </c>
      <c r="Q161" s="85" t="n">
        <f aca="false">SUM('план на 2016'!$L162:Q162)-SUM('членские взносы'!$M162:Q162)</f>
        <v>0</v>
      </c>
      <c r="R161" s="85" t="n">
        <f aca="false">SUM('план на 2016'!$L162:R162)-SUM('членские взносы'!$M162:R162)</f>
        <v>0</v>
      </c>
      <c r="S161" s="85" t="n">
        <f aca="false">SUM('план на 2016'!$L162:S162)-SUM('членские взносы'!$M162:S162)</f>
        <v>0</v>
      </c>
      <c r="T161" s="85" t="n">
        <f aca="false">SUM('план на 2016'!$L162:T162)-SUM('членские взносы'!$M162:T162)</f>
        <v>0</v>
      </c>
      <c r="U161" s="85" t="n">
        <f aca="false">SUM('план на 2016'!$L162:U162)-SUM('членские взносы'!$M162:U162)</f>
        <v>0</v>
      </c>
      <c r="V161" s="85" t="n">
        <f aca="false">SUM('план на 2016'!$L162:V162)-SUM('членские взносы'!$M162:V162)</f>
        <v>0</v>
      </c>
      <c r="W161" s="85" t="n">
        <f aca="false">SUM('план на 2016'!$L162:W162)-SUM('членские взносы'!$M162:W162)</f>
        <v>0</v>
      </c>
      <c r="X161" s="85" t="n">
        <f aca="false">SUM('план на 2016'!$L162:X162)-SUM('членские взносы'!$M162:X162)</f>
        <v>0</v>
      </c>
      <c r="Y161" s="59" t="n">
        <f aca="false">X161</f>
        <v>0</v>
      </c>
    </row>
    <row collapsed="false" customFormat="false" customHeight="false" hidden="false" ht="15" outlineLevel="0" r="162">
      <c r="A162" s="19" t="n">
        <f aca="false">VLOOKUP(B162,справочник!$B$2:$E$322,4,0)</f>
        <v>139</v>
      </c>
      <c r="B162" s="0" t="e">
        <f aca="false">CONCATENATE(C162;D162)</f>
        <v>#VALUE!</v>
      </c>
      <c r="C162" s="24" t="n">
        <v>148</v>
      </c>
      <c r="D162" s="29" t="s">
        <v>51</v>
      </c>
      <c r="E162" s="24" t="s">
        <v>526</v>
      </c>
      <c r="F162" s="34" t="n">
        <v>40715</v>
      </c>
      <c r="G162" s="34" t="n">
        <v>40725</v>
      </c>
      <c r="H162" s="35" t="n">
        <f aca="false">INT(($H$326-G162)/30)</f>
        <v>54</v>
      </c>
      <c r="I162" s="36" t="n">
        <f aca="false">H162*1000</f>
        <v>54000</v>
      </c>
      <c r="J162" s="35" t="n">
        <f aca="false">11000+4000</f>
        <v>15000</v>
      </c>
      <c r="K162" s="35"/>
      <c r="L162" s="66" t="n">
        <f aca="false">I162-J162-K162</f>
        <v>39000</v>
      </c>
      <c r="M162" s="85" t="n">
        <f aca="false">SUM('план на 2016'!$L163:M163)-SUM('членские взносы'!$M163:M163)</f>
        <v>39800</v>
      </c>
      <c r="N162" s="85" t="n">
        <f aca="false">SUM('план на 2016'!$L163:N163)-SUM('членские взносы'!$M163:N163)</f>
        <v>40600</v>
      </c>
      <c r="O162" s="85" t="n">
        <f aca="false">SUM('план на 2016'!$L163:O163)-SUM('членские взносы'!$M163:O163)</f>
        <v>41400</v>
      </c>
      <c r="P162" s="85" t="n">
        <f aca="false">SUM('план на 2016'!$L163:P163)-SUM('членские взносы'!$M163:P163)</f>
        <v>42200</v>
      </c>
      <c r="Q162" s="85" t="n">
        <f aca="false">SUM('план на 2016'!$L163:Q163)-SUM('членские взносы'!$M163:Q163)</f>
        <v>43000</v>
      </c>
      <c r="R162" s="85" t="n">
        <f aca="false">SUM('план на 2016'!$L163:R163)-SUM('членские взносы'!$M163:R163)</f>
        <v>43800</v>
      </c>
      <c r="S162" s="85" t="n">
        <f aca="false">SUM('план на 2016'!$L163:S163)-SUM('членские взносы'!$M163:S163)</f>
        <v>44600</v>
      </c>
      <c r="T162" s="85" t="n">
        <f aca="false">SUM('план на 2016'!$L163:T163)-SUM('членские взносы'!$M163:T163)</f>
        <v>45400</v>
      </c>
      <c r="U162" s="85" t="n">
        <f aca="false">SUM('план на 2016'!$L163:U163)-SUM('членские взносы'!$M163:U163)</f>
        <v>46200</v>
      </c>
      <c r="V162" s="85" t="n">
        <f aca="false">SUM('план на 2016'!$L163:V163)-SUM('членские взносы'!$M163:V163)</f>
        <v>47000</v>
      </c>
      <c r="W162" s="85" t="n">
        <f aca="false">SUM('план на 2016'!$L163:W163)-SUM('членские взносы'!$M163:W163)</f>
        <v>47800</v>
      </c>
      <c r="X162" s="85" t="n">
        <f aca="false">SUM('план на 2016'!$L163:X163)-SUM('членские взносы'!$M163:X163)</f>
        <v>48600</v>
      </c>
      <c r="Y162" s="59" t="n">
        <f aca="false">X162</f>
        <v>48600</v>
      </c>
    </row>
    <row collapsed="false" customFormat="false" customHeight="false" hidden="false" ht="15" outlineLevel="0" r="163">
      <c r="A163" s="19" t="n">
        <f aca="false">VLOOKUP(B163,справочник!$B$2:$E$322,4,0)</f>
        <v>261</v>
      </c>
      <c r="B163" s="0" t="e">
        <f aca="false">CONCATENATE(C163;D163)</f>
        <v>#VALUE!</v>
      </c>
      <c r="C163" s="24" t="n">
        <v>274</v>
      </c>
      <c r="D163" s="29" t="s">
        <v>72</v>
      </c>
      <c r="E163" s="24" t="s">
        <v>527</v>
      </c>
      <c r="F163" s="34" t="n">
        <v>41373</v>
      </c>
      <c r="G163" s="34" t="n">
        <v>41395</v>
      </c>
      <c r="H163" s="35" t="n">
        <f aca="false">INT(($H$326-G163)/30)</f>
        <v>32</v>
      </c>
      <c r="I163" s="36" t="n">
        <f aca="false">H163*1000</f>
        <v>32000</v>
      </c>
      <c r="J163" s="35" t="n">
        <v>19000</v>
      </c>
      <c r="K163" s="35"/>
      <c r="L163" s="66" t="n">
        <f aca="false">I163-J163-K163</f>
        <v>13000</v>
      </c>
      <c r="M163" s="85" t="n">
        <f aca="false">SUM('план на 2016'!$L164:M164)-SUM('членские взносы'!$M164:M164)</f>
        <v>10600</v>
      </c>
      <c r="N163" s="85" t="n">
        <f aca="false">SUM('план на 2016'!$L164:N164)-SUM('членские взносы'!$M164:N164)</f>
        <v>10600</v>
      </c>
      <c r="O163" s="85" t="n">
        <f aca="false">SUM('план на 2016'!$L164:O164)-SUM('членские взносы'!$M164:O164)</f>
        <v>10600</v>
      </c>
      <c r="P163" s="85" t="n">
        <f aca="false">SUM('план на 2016'!$L164:P164)-SUM('членские взносы'!$M164:P164)</f>
        <v>8200</v>
      </c>
      <c r="Q163" s="85" t="n">
        <f aca="false">SUM('план на 2016'!$L164:Q164)-SUM('членские взносы'!$M164:Q164)</f>
        <v>8200</v>
      </c>
      <c r="R163" s="85" t="n">
        <f aca="false">SUM('план на 2016'!$L164:R164)-SUM('членские взносы'!$M164:R164)</f>
        <v>8200</v>
      </c>
      <c r="S163" s="85" t="n">
        <f aca="false">SUM('план на 2016'!$L164:S164)-SUM('членские взносы'!$M164:S164)</f>
        <v>5000</v>
      </c>
      <c r="T163" s="85" t="n">
        <f aca="false">SUM('план на 2016'!$L164:T164)-SUM('членские взносы'!$M164:T164)</f>
        <v>5000</v>
      </c>
      <c r="U163" s="85" t="n">
        <f aca="false">SUM('план на 2016'!$L164:U164)-SUM('членские взносы'!$M164:U164)</f>
        <v>5000</v>
      </c>
      <c r="V163" s="85" t="n">
        <f aca="false">SUM('план на 2016'!$L164:V164)-SUM('членские взносы'!$M164:V164)</f>
        <v>5000</v>
      </c>
      <c r="W163" s="85" t="n">
        <f aca="false">SUM('план на 2016'!$L164:W164)-SUM('членские взносы'!$M164:W164)</f>
        <v>5000</v>
      </c>
      <c r="X163" s="85" t="n">
        <f aca="false">SUM('план на 2016'!$L164:X164)-SUM('членские взносы'!$M164:X164)</f>
        <v>1000</v>
      </c>
      <c r="Y163" s="59" t="n">
        <f aca="false">X163</f>
        <v>1000</v>
      </c>
    </row>
    <row collapsed="false" customFormat="false" customHeight="false" hidden="false" ht="15" outlineLevel="0" r="164">
      <c r="A164" s="19" t="n">
        <f aca="false">VLOOKUP(B164,справочник!$B$2:$E$322,4,0)</f>
        <v>261</v>
      </c>
      <c r="B164" s="0" t="e">
        <f aca="false">CONCATENATE(C164;D164)</f>
        <v>#VALUE!</v>
      </c>
      <c r="C164" s="24" t="n">
        <v>275</v>
      </c>
      <c r="D164" s="29" t="s">
        <v>72</v>
      </c>
      <c r="E164" s="24"/>
      <c r="F164" s="34" t="n">
        <v>41016</v>
      </c>
      <c r="G164" s="34" t="n">
        <v>41000</v>
      </c>
      <c r="H164" s="35" t="n">
        <f aca="false">INT(($H$326-G164)/30)</f>
        <v>45</v>
      </c>
      <c r="I164" s="36" t="n">
        <f aca="false">H164*1000</f>
        <v>45000</v>
      </c>
      <c r="J164" s="35" t="n">
        <f aca="false">9000+19000</f>
        <v>28000</v>
      </c>
      <c r="K164" s="35"/>
      <c r="L164" s="66" t="n">
        <f aca="false">I164-J164-K164</f>
        <v>17000</v>
      </c>
      <c r="M164" s="85" t="n">
        <f aca="false">SUM('план на 2016'!$L165:M165)-SUM('членские взносы'!$M165:M165)</f>
        <v>17800</v>
      </c>
      <c r="N164" s="85" t="n">
        <f aca="false">SUM('план на 2016'!$L165:N165)-SUM('членские взносы'!$M165:N165)</f>
        <v>18600</v>
      </c>
      <c r="O164" s="85" t="n">
        <f aca="false">SUM('план на 2016'!$L165:O165)-SUM('членские взносы'!$M165:O165)</f>
        <v>19400</v>
      </c>
      <c r="P164" s="85" t="n">
        <f aca="false">SUM('план на 2016'!$L165:P165)-SUM('членские взносы'!$M165:P165)</f>
        <v>20200</v>
      </c>
      <c r="Q164" s="85" t="n">
        <f aca="false">SUM('план на 2016'!$L165:Q165)-SUM('членские взносы'!$M165:Q165)</f>
        <v>21000</v>
      </c>
      <c r="R164" s="85" t="n">
        <f aca="false">SUM('план на 2016'!$L165:R165)-SUM('членские взносы'!$M165:R165)</f>
        <v>21800</v>
      </c>
      <c r="S164" s="85" t="n">
        <f aca="false">SUM('план на 2016'!$L165:S165)-SUM('членские взносы'!$M165:S165)</f>
        <v>22600</v>
      </c>
      <c r="T164" s="85" t="n">
        <f aca="false">SUM('план на 2016'!$L165:T165)-SUM('членские взносы'!$M165:T165)</f>
        <v>23400</v>
      </c>
      <c r="U164" s="85" t="n">
        <f aca="false">SUM('план на 2016'!$L165:U165)-SUM('членские взносы'!$M165:U165)</f>
        <v>24200</v>
      </c>
      <c r="V164" s="85" t="n">
        <f aca="false">SUM('план на 2016'!$L165:V165)-SUM('членские взносы'!$M165:V165)</f>
        <v>25000</v>
      </c>
      <c r="W164" s="85" t="n">
        <f aca="false">SUM('план на 2016'!$L165:W165)-SUM('членские взносы'!$M165:W165)</f>
        <v>25800</v>
      </c>
      <c r="X164" s="85" t="n">
        <f aca="false">SUM('план на 2016'!$L165:X165)-SUM('членские взносы'!$M165:X165)</f>
        <v>26600</v>
      </c>
      <c r="Y164" s="59" t="n">
        <f aca="false">X164</f>
        <v>26600</v>
      </c>
    </row>
    <row collapsed="false" customFormat="false" customHeight="false" hidden="false" ht="15" outlineLevel="0" r="165">
      <c r="A165" s="19" t="n">
        <f aca="false">VLOOKUP(B165,справочник!$B$2:$E$322,4,0)</f>
        <v>288</v>
      </c>
      <c r="B165" s="0" t="e">
        <f aca="false">CONCATENATE(C165;D165)</f>
        <v>#VALUE!</v>
      </c>
      <c r="C165" s="24" t="n">
        <v>300</v>
      </c>
      <c r="D165" s="29" t="s">
        <v>66</v>
      </c>
      <c r="E165" s="24" t="s">
        <v>528</v>
      </c>
      <c r="F165" s="30" t="n">
        <v>41513</v>
      </c>
      <c r="G165" s="30" t="n">
        <v>41518</v>
      </c>
      <c r="H165" s="31" t="n">
        <f aca="false">INT(($H$326-G165)/30)</f>
        <v>28</v>
      </c>
      <c r="I165" s="24" t="n">
        <f aca="false">H165*1000</f>
        <v>28000</v>
      </c>
      <c r="J165" s="31"/>
      <c r="K165" s="31"/>
      <c r="L165" s="59" t="n">
        <f aca="false">I165-J165-K165</f>
        <v>28000</v>
      </c>
      <c r="M165" s="85" t="n">
        <f aca="false">SUM('план на 2016'!$L166:M166)-SUM('членские взносы'!$M166:M166)</f>
        <v>28800</v>
      </c>
      <c r="N165" s="85" t="n">
        <f aca="false">SUM('план на 2016'!$L166:N166)-SUM('членские взносы'!$M166:N166)</f>
        <v>29600</v>
      </c>
      <c r="O165" s="85" t="n">
        <f aca="false">SUM('план на 2016'!$L166:O166)-SUM('членские взносы'!$M166:O166)</f>
        <v>30400</v>
      </c>
      <c r="P165" s="85" t="n">
        <f aca="false">SUM('план на 2016'!$L166:P166)-SUM('членские взносы'!$M166:P166)</f>
        <v>31200</v>
      </c>
      <c r="Q165" s="85" t="n">
        <f aca="false">SUM('план на 2016'!$L166:Q166)-SUM('членские взносы'!$M166:Q166)</f>
        <v>32000</v>
      </c>
      <c r="R165" s="85" t="n">
        <f aca="false">SUM('план на 2016'!$L166:R166)-SUM('членские взносы'!$M166:R166)</f>
        <v>32800</v>
      </c>
      <c r="S165" s="85" t="n">
        <f aca="false">SUM('план на 2016'!$L166:S166)-SUM('членские взносы'!$M166:S166)</f>
        <v>33600</v>
      </c>
      <c r="T165" s="85" t="n">
        <f aca="false">SUM('план на 2016'!$L166:T166)-SUM('членские взносы'!$M166:T166)</f>
        <v>34400</v>
      </c>
      <c r="U165" s="85" t="n">
        <f aca="false">SUM('план на 2016'!$L166:U166)-SUM('членские взносы'!$M166:U166)</f>
        <v>35200</v>
      </c>
      <c r="V165" s="85" t="n">
        <f aca="false">SUM('план на 2016'!$L166:V166)-SUM('членские взносы'!$M166:V166)</f>
        <v>36000</v>
      </c>
      <c r="W165" s="85" t="n">
        <f aca="false">SUM('план на 2016'!$L166:W166)-SUM('членские взносы'!$M166:W166)</f>
        <v>36800</v>
      </c>
      <c r="X165" s="85" t="n">
        <f aca="false">SUM('план на 2016'!$L166:X166)-SUM('членские взносы'!$M166:X166)</f>
        <v>37600</v>
      </c>
      <c r="Y165" s="59" t="n">
        <f aca="false">X165</f>
        <v>37600</v>
      </c>
    </row>
    <row collapsed="false" customFormat="false" customHeight="false" hidden="false" ht="15" outlineLevel="0" r="166">
      <c r="A166" s="19" t="n">
        <f aca="false">VLOOKUP(B166,справочник!$B$2:$E$322,4,0)</f>
        <v>166</v>
      </c>
      <c r="B166" s="0" t="e">
        <f aca="false">CONCATENATE(C166;D166)</f>
        <v>#VALUE!</v>
      </c>
      <c r="C166" s="24" t="n">
        <v>174</v>
      </c>
      <c r="D166" s="29" t="s">
        <v>138</v>
      </c>
      <c r="E166" s="24" t="s">
        <v>529</v>
      </c>
      <c r="F166" s="30" t="n">
        <v>41829</v>
      </c>
      <c r="G166" s="30" t="n">
        <v>41852</v>
      </c>
      <c r="H166" s="31" t="n">
        <f aca="false">INT(($H$326-G166)/30)</f>
        <v>17</v>
      </c>
      <c r="I166" s="24" t="n">
        <f aca="false">H166*1000</f>
        <v>17000</v>
      </c>
      <c r="J166" s="31" t="n">
        <v>5000</v>
      </c>
      <c r="K166" s="31"/>
      <c r="L166" s="59" t="n">
        <f aca="false">I166-J166-K166</f>
        <v>12000</v>
      </c>
      <c r="M166" s="85" t="n">
        <f aca="false">SUM('план на 2016'!$L167:M167)-SUM('членские взносы'!$M167:M167)</f>
        <v>12800</v>
      </c>
      <c r="N166" s="85" t="n">
        <f aca="false">SUM('план на 2016'!$L167:N167)-SUM('членские взносы'!$M167:N167)</f>
        <v>13600</v>
      </c>
      <c r="O166" s="85" t="n">
        <f aca="false">SUM('план на 2016'!$L167:O167)-SUM('членские взносы'!$M167:O167)</f>
        <v>14400</v>
      </c>
      <c r="P166" s="85" t="n">
        <f aca="false">SUM('план на 2016'!$L167:P167)-SUM('членские взносы'!$M167:P167)</f>
        <v>15200</v>
      </c>
      <c r="Q166" s="85" t="n">
        <f aca="false">SUM('план на 2016'!$L167:Q167)-SUM('членские взносы'!$M167:Q167)</f>
        <v>16000</v>
      </c>
      <c r="R166" s="85" t="n">
        <f aca="false">SUM('план на 2016'!$L167:R167)-SUM('членские взносы'!$M167:R167)</f>
        <v>16800</v>
      </c>
      <c r="S166" s="85" t="n">
        <f aca="false">SUM('план на 2016'!$L167:S167)-SUM('членские взносы'!$M167:S167)</f>
        <v>10800</v>
      </c>
      <c r="T166" s="85" t="n">
        <f aca="false">SUM('план на 2016'!$L167:T167)-SUM('членские взносы'!$M167:T167)</f>
        <v>6600</v>
      </c>
      <c r="U166" s="85" t="n">
        <f aca="false">SUM('план на 2016'!$L167:U167)-SUM('членские взносы'!$M167:U167)</f>
        <v>5000</v>
      </c>
      <c r="V166" s="85" t="n">
        <f aca="false">SUM('план на 2016'!$L167:V167)-SUM('членские взносы'!$M167:V167)</f>
        <v>5800</v>
      </c>
      <c r="W166" s="85" t="n">
        <f aca="false">SUM('план на 2016'!$L167:W167)-SUM('членские взносы'!$M167:W167)</f>
        <v>6600</v>
      </c>
      <c r="X166" s="85" t="n">
        <f aca="false">SUM('план на 2016'!$L167:X167)-SUM('членские взносы'!$M167:X167)</f>
        <v>7400</v>
      </c>
      <c r="Y166" s="59" t="n">
        <f aca="false">X166</f>
        <v>7400</v>
      </c>
    </row>
    <row collapsed="false" customFormat="false" customHeight="false" hidden="false" ht="15" outlineLevel="0" r="167">
      <c r="A167" s="19" t="n">
        <f aca="false">VLOOKUP(B167,справочник!$B$2:$E$322,4,0)</f>
        <v>118</v>
      </c>
      <c r="B167" s="0" t="e">
        <f aca="false">CONCATENATE(C167;D167)</f>
        <v>#VALUE!</v>
      </c>
      <c r="C167" s="24" t="n">
        <v>123</v>
      </c>
      <c r="D167" s="29" t="s">
        <v>167</v>
      </c>
      <c r="E167" s="24" t="s">
        <v>530</v>
      </c>
      <c r="F167" s="30" t="n">
        <v>41435</v>
      </c>
      <c r="G167" s="30" t="n">
        <v>41456</v>
      </c>
      <c r="H167" s="31" t="n">
        <f aca="false">INT(($H$326-G167)/30)</f>
        <v>30</v>
      </c>
      <c r="I167" s="24" t="n">
        <f aca="false">H167*1000</f>
        <v>30000</v>
      </c>
      <c r="J167" s="31" t="n">
        <v>23000</v>
      </c>
      <c r="K167" s="31"/>
      <c r="L167" s="59" t="n">
        <f aca="false">I167-J167-K167</f>
        <v>7000</v>
      </c>
      <c r="M167" s="85" t="n">
        <f aca="false">SUM('план на 2016'!$L168:M168)-SUM('членские взносы'!$M168:M168)</f>
        <v>7800</v>
      </c>
      <c r="N167" s="85" t="n">
        <f aca="false">SUM('план на 2016'!$L168:N168)-SUM('членские взносы'!$M168:N168)</f>
        <v>8600</v>
      </c>
      <c r="O167" s="85" t="n">
        <f aca="false">SUM('план на 2016'!$L168:O168)-SUM('членские взносы'!$M168:O168)</f>
        <v>9400</v>
      </c>
      <c r="P167" s="85" t="n">
        <f aca="false">SUM('план на 2016'!$L168:P168)-SUM('членские взносы'!$M168:P168)</f>
        <v>10200</v>
      </c>
      <c r="Q167" s="85" t="n">
        <f aca="false">SUM('план на 2016'!$L168:Q168)-SUM('членские взносы'!$M168:Q168)</f>
        <v>11000</v>
      </c>
      <c r="R167" s="85" t="n">
        <f aca="false">SUM('план на 2016'!$L168:R168)-SUM('членские взносы'!$M168:R168)</f>
        <v>11800</v>
      </c>
      <c r="S167" s="85" t="n">
        <f aca="false">SUM('план на 2016'!$L168:S168)-SUM('членские взносы'!$M168:S168)</f>
        <v>600</v>
      </c>
      <c r="T167" s="85" t="n">
        <f aca="false">SUM('план на 2016'!$L168:T168)-SUM('членские взносы'!$M168:T168)</f>
        <v>1400</v>
      </c>
      <c r="U167" s="85" t="n">
        <f aca="false">SUM('план на 2016'!$L168:U168)-SUM('членские взносы'!$M168:U168)</f>
        <v>2200</v>
      </c>
      <c r="V167" s="85" t="n">
        <f aca="false">SUM('план на 2016'!$L168:V168)-SUM('членские взносы'!$M168:V168)</f>
        <v>3000</v>
      </c>
      <c r="W167" s="85" t="n">
        <f aca="false">SUM('план на 2016'!$L168:W168)-SUM('членские взносы'!$M168:W168)</f>
        <v>3800</v>
      </c>
      <c r="X167" s="85" t="n">
        <f aca="false">SUM('план на 2016'!$L168:X168)-SUM('членские взносы'!$M168:X168)</f>
        <v>4600</v>
      </c>
      <c r="Y167" s="59" t="n">
        <f aca="false">X167</f>
        <v>4600</v>
      </c>
    </row>
    <row collapsed="false" customFormat="false" customHeight="false" hidden="false" ht="15" outlineLevel="0" r="168">
      <c r="A168" s="19" t="n">
        <f aca="false">VLOOKUP(B168,справочник!$B$2:$E$322,4,0)</f>
        <v>199</v>
      </c>
      <c r="B168" s="0" t="e">
        <f aca="false">CONCATENATE(C168;D168)</f>
        <v>#VALUE!</v>
      </c>
      <c r="C168" s="24" t="n">
        <v>207</v>
      </c>
      <c r="D168" s="29" t="s">
        <v>25</v>
      </c>
      <c r="E168" s="24" t="s">
        <v>531</v>
      </c>
      <c r="F168" s="34" t="n">
        <v>41036</v>
      </c>
      <c r="G168" s="34" t="n">
        <v>41030</v>
      </c>
      <c r="H168" s="35" t="n">
        <f aca="false">INT(($H$326-G168)/30)</f>
        <v>44</v>
      </c>
      <c r="I168" s="36" t="n">
        <f aca="false">H168*1000</f>
        <v>44000</v>
      </c>
      <c r="J168" s="35" t="n">
        <v>1000</v>
      </c>
      <c r="K168" s="35"/>
      <c r="L168" s="66" t="n">
        <f aca="false">I168-J168-K168</f>
        <v>43000</v>
      </c>
      <c r="M168" s="85" t="n">
        <f aca="false">SUM('план на 2016'!$L169:M169)-SUM('членские взносы'!$M169:M169)</f>
        <v>43800</v>
      </c>
      <c r="N168" s="85" t="n">
        <f aca="false">SUM('план на 2016'!$L169:N169)-SUM('членские взносы'!$M169:N169)</f>
        <v>44600</v>
      </c>
      <c r="O168" s="85" t="n">
        <f aca="false">SUM('план на 2016'!$L169:O169)-SUM('членские взносы'!$M169:O169)</f>
        <v>45400</v>
      </c>
      <c r="P168" s="85" t="n">
        <f aca="false">SUM('план на 2016'!$L169:P169)-SUM('членские взносы'!$M169:P169)</f>
        <v>46200</v>
      </c>
      <c r="Q168" s="85" t="n">
        <f aca="false">SUM('план на 2016'!$L169:Q169)-SUM('членские взносы'!$M169:Q169)</f>
        <v>47000</v>
      </c>
      <c r="R168" s="85" t="n">
        <f aca="false">SUM('план на 2016'!$L169:R169)-SUM('членские взносы'!$M169:R169)</f>
        <v>47800</v>
      </c>
      <c r="S168" s="85" t="n">
        <f aca="false">SUM('план на 2016'!$L169:S169)-SUM('членские взносы'!$M169:S169)</f>
        <v>48600</v>
      </c>
      <c r="T168" s="85" t="n">
        <f aca="false">SUM('план на 2016'!$L169:T169)-SUM('членские взносы'!$M169:T169)</f>
        <v>49400</v>
      </c>
      <c r="U168" s="85" t="n">
        <f aca="false">SUM('план на 2016'!$L169:U169)-SUM('членские взносы'!$M169:U169)</f>
        <v>50200</v>
      </c>
      <c r="V168" s="85" t="n">
        <f aca="false">SUM('план на 2016'!$L169:V169)-SUM('членские взносы'!$M169:V169)</f>
        <v>51000</v>
      </c>
      <c r="W168" s="85" t="n">
        <f aca="false">SUM('план на 2016'!$L169:W169)-SUM('членские взносы'!$M169:W169)</f>
        <v>51800</v>
      </c>
      <c r="X168" s="85" t="n">
        <f aca="false">SUM('план на 2016'!$L169:X169)-SUM('членские взносы'!$M169:X169)</f>
        <v>52600</v>
      </c>
      <c r="Y168" s="59" t="n">
        <f aca="false">X168</f>
        <v>52600</v>
      </c>
    </row>
    <row collapsed="false" customFormat="false" customHeight="false" hidden="false" ht="15" outlineLevel="0" r="169">
      <c r="A169" s="19" t="n">
        <f aca="false">VLOOKUP(B169,справочник!$B$2:$E$322,4,0)</f>
        <v>199</v>
      </c>
      <c r="B169" s="0" t="e">
        <f aca="false">CONCATENATE(C169;D169)</f>
        <v>#VALUE!</v>
      </c>
      <c r="C169" s="24" t="n">
        <v>208</v>
      </c>
      <c r="D169" s="29" t="s">
        <v>25</v>
      </c>
      <c r="E169" s="24" t="s">
        <v>505</v>
      </c>
      <c r="F169" s="34" t="n">
        <v>41036</v>
      </c>
      <c r="G169" s="34" t="n">
        <v>41030</v>
      </c>
      <c r="H169" s="35" t="n">
        <f aca="false">INT(($H$326-G169)/30)</f>
        <v>44</v>
      </c>
      <c r="I169" s="36" t="n">
        <f aca="false">H169*1000</f>
        <v>44000</v>
      </c>
      <c r="J169" s="35" t="n">
        <v>1000</v>
      </c>
      <c r="K169" s="35"/>
      <c r="L169" s="66" t="n">
        <f aca="false">I169-J169-K169</f>
        <v>43000</v>
      </c>
      <c r="M169" s="85" t="n">
        <f aca="false">SUM('план на 2016'!$L170:M170)-SUM('членские взносы'!$M170:M170)</f>
        <v>43000</v>
      </c>
      <c r="N169" s="85" t="n">
        <f aca="false">SUM('план на 2016'!$L170:N170)-SUM('членские взносы'!$M170:N170)</f>
        <v>43000</v>
      </c>
      <c r="O169" s="85" t="n">
        <f aca="false">SUM('план на 2016'!$L170:O170)-SUM('членские взносы'!$M170:O170)</f>
        <v>43000</v>
      </c>
      <c r="P169" s="85" t="n">
        <f aca="false">SUM('план на 2016'!$L170:P170)-SUM('членские взносы'!$M170:P170)</f>
        <v>43000</v>
      </c>
      <c r="Q169" s="85" t="n">
        <f aca="false">SUM('план на 2016'!$L170:Q170)-SUM('членские взносы'!$M170:Q170)</f>
        <v>43000</v>
      </c>
      <c r="R169" s="85" t="n">
        <f aca="false">SUM('план на 2016'!$L170:R170)-SUM('членские взносы'!$M170:R170)</f>
        <v>43000</v>
      </c>
      <c r="S169" s="85" t="n">
        <f aca="false">SUM('план на 2016'!$L170:S170)-SUM('членские взносы'!$M170:S170)</f>
        <v>43000</v>
      </c>
      <c r="T169" s="85" t="n">
        <f aca="false">SUM('план на 2016'!$L170:T170)-SUM('членские взносы'!$M170:T170)</f>
        <v>43000</v>
      </c>
      <c r="U169" s="85" t="n">
        <f aca="false">SUM('план на 2016'!$L170:U170)-SUM('членские взносы'!$M170:U170)</f>
        <v>43000</v>
      </c>
      <c r="V169" s="85" t="n">
        <f aca="false">SUM('план на 2016'!$L170:V170)-SUM('членские взносы'!$M170:V170)</f>
        <v>43000</v>
      </c>
      <c r="W169" s="85" t="n">
        <f aca="false">SUM('план на 2016'!$L170:W170)-SUM('членские взносы'!$M170:W170)</f>
        <v>43000</v>
      </c>
      <c r="X169" s="85" t="n">
        <f aca="false">SUM('план на 2016'!$L170:X170)-SUM('членские взносы'!$M170:X170)</f>
        <v>43000</v>
      </c>
      <c r="Y169" s="59" t="n">
        <f aca="false">X169</f>
        <v>43000</v>
      </c>
    </row>
    <row collapsed="false" customFormat="false" customHeight="false" hidden="false" ht="15" outlineLevel="0" r="170">
      <c r="A170" s="19" t="n">
        <f aca="false">VLOOKUP(B170,справочник!$B$2:$E$322,4,0)</f>
        <v>164</v>
      </c>
      <c r="B170" s="0" t="e">
        <f aca="false">CONCATENATE(C170;D170)</f>
        <v>#VALUE!</v>
      </c>
      <c r="C170" s="24" t="n">
        <v>172</v>
      </c>
      <c r="D170" s="29" t="s">
        <v>73</v>
      </c>
      <c r="E170" s="24" t="s">
        <v>532</v>
      </c>
      <c r="F170" s="30" t="n">
        <v>41576</v>
      </c>
      <c r="G170" s="30" t="n">
        <v>41579</v>
      </c>
      <c r="H170" s="31" t="n">
        <f aca="false">INT(($H$326-G170)/30)</f>
        <v>26</v>
      </c>
      <c r="I170" s="24" t="n">
        <f aca="false">H170*1000</f>
        <v>26000</v>
      </c>
      <c r="J170" s="31" t="n">
        <v>1000</v>
      </c>
      <c r="K170" s="31"/>
      <c r="L170" s="59" t="n">
        <f aca="false">I170-J170-K170</f>
        <v>25000</v>
      </c>
      <c r="M170" s="85" t="n">
        <f aca="false">SUM('план на 2016'!$L171:M171)-SUM('членские взносы'!$M171:M171)</f>
        <v>25800</v>
      </c>
      <c r="N170" s="85" t="n">
        <f aca="false">SUM('план на 2016'!$L171:N171)-SUM('членские взносы'!$M171:N171)</f>
        <v>26600</v>
      </c>
      <c r="O170" s="85" t="n">
        <f aca="false">SUM('план на 2016'!$L171:O171)-SUM('членские взносы'!$M171:O171)</f>
        <v>27400</v>
      </c>
      <c r="P170" s="85" t="n">
        <f aca="false">SUM('план на 2016'!$L171:P171)-SUM('членские взносы'!$M171:P171)</f>
        <v>28200</v>
      </c>
      <c r="Q170" s="85" t="n">
        <f aca="false">SUM('план на 2016'!$L171:Q171)-SUM('членские взносы'!$M171:Q171)</f>
        <v>29000</v>
      </c>
      <c r="R170" s="85" t="n">
        <f aca="false">SUM('план на 2016'!$L171:R171)-SUM('членские взносы'!$M171:R171)</f>
        <v>29800</v>
      </c>
      <c r="S170" s="85" t="n">
        <f aca="false">SUM('план на 2016'!$L171:S171)-SUM('членские взносы'!$M171:S171)</f>
        <v>30600</v>
      </c>
      <c r="T170" s="85" t="n">
        <f aca="false">SUM('план на 2016'!$L171:T171)-SUM('членские взносы'!$M171:T171)</f>
        <v>31400</v>
      </c>
      <c r="U170" s="85" t="n">
        <f aca="false">SUM('план на 2016'!$L171:U171)-SUM('членские взносы'!$M171:U171)</f>
        <v>32200</v>
      </c>
      <c r="V170" s="85" t="n">
        <f aca="false">SUM('план на 2016'!$L171:V171)-SUM('членские взносы'!$M171:V171)</f>
        <v>33000</v>
      </c>
      <c r="W170" s="85" t="n">
        <f aca="false">SUM('план на 2016'!$L171:W171)-SUM('членские взносы'!$M171:W171)</f>
        <v>23200</v>
      </c>
      <c r="X170" s="85" t="n">
        <f aca="false">SUM('план на 2016'!$L171:X171)-SUM('членские взносы'!$M171:X171)</f>
        <v>24000</v>
      </c>
      <c r="Y170" s="59" t="n">
        <f aca="false">X170</f>
        <v>24000</v>
      </c>
    </row>
    <row collapsed="false" customFormat="false" customHeight="false" hidden="false" ht="15" outlineLevel="0" r="171">
      <c r="A171" s="19" t="n">
        <f aca="false">VLOOKUP(B171,справочник!$B$2:$E$322,4,0)</f>
        <v>34</v>
      </c>
      <c r="B171" s="0" t="e">
        <f aca="false">CONCATENATE(C171;D171)</f>
        <v>#VALUE!</v>
      </c>
      <c r="C171" s="24" t="n">
        <v>34</v>
      </c>
      <c r="D171" s="29" t="s">
        <v>249</v>
      </c>
      <c r="E171" s="24" t="s">
        <v>533</v>
      </c>
      <c r="F171" s="30" t="n">
        <v>40781</v>
      </c>
      <c r="G171" s="30" t="n">
        <v>40787</v>
      </c>
      <c r="H171" s="31" t="n">
        <f aca="false">INT(($H$326-G171)/30)</f>
        <v>52</v>
      </c>
      <c r="I171" s="24" t="n">
        <f aca="false">H171*1000</f>
        <v>52000</v>
      </c>
      <c r="J171" s="31" t="n">
        <v>55000</v>
      </c>
      <c r="K171" s="31"/>
      <c r="L171" s="59" t="n">
        <f aca="false">I171-J171-K171</f>
        <v>-3000</v>
      </c>
      <c r="M171" s="85" t="n">
        <f aca="false">SUM('план на 2016'!$L172:M172)-SUM('членские взносы'!$M172:M172)</f>
        <v>-2200</v>
      </c>
      <c r="N171" s="85" t="n">
        <f aca="false">SUM('план на 2016'!$L172:N172)-SUM('членские взносы'!$M172:N172)</f>
        <v>-1400</v>
      </c>
      <c r="O171" s="85" t="n">
        <f aca="false">SUM('план на 2016'!$L172:O172)-SUM('членские взносы'!$M172:O172)</f>
        <v>-600</v>
      </c>
      <c r="P171" s="85" t="n">
        <f aca="false">SUM('план на 2016'!$L172:P172)-SUM('членские взносы'!$M172:P172)</f>
        <v>200</v>
      </c>
      <c r="Q171" s="85" t="n">
        <f aca="false">SUM('план на 2016'!$L172:Q172)-SUM('членские взносы'!$M172:Q172)</f>
        <v>1000</v>
      </c>
      <c r="R171" s="85" t="n">
        <f aca="false">SUM('план на 2016'!$L172:R172)-SUM('членские взносы'!$M172:R172)</f>
        <v>1800</v>
      </c>
      <c r="S171" s="85" t="n">
        <f aca="false">SUM('план на 2016'!$L172:S172)-SUM('членские взносы'!$M172:S172)</f>
        <v>2600</v>
      </c>
      <c r="T171" s="85" t="n">
        <f aca="false">SUM('план на 2016'!$L172:T172)-SUM('членские взносы'!$M172:T172)</f>
        <v>3400</v>
      </c>
      <c r="U171" s="85" t="n">
        <f aca="false">SUM('план на 2016'!$L172:U172)-SUM('членские взносы'!$M172:U172)</f>
        <v>4200</v>
      </c>
      <c r="V171" s="85" t="n">
        <f aca="false">SUM('план на 2016'!$L172:V172)-SUM('членские взносы'!$M172:V172)</f>
        <v>5000</v>
      </c>
      <c r="W171" s="85" t="n">
        <f aca="false">SUM('план на 2016'!$L172:W172)-SUM('членские взносы'!$M172:W172)</f>
        <v>5800</v>
      </c>
      <c r="X171" s="85" t="n">
        <f aca="false">SUM('план на 2016'!$L172:X172)-SUM('членские взносы'!$M172:X172)</f>
        <v>6600</v>
      </c>
      <c r="Y171" s="59" t="n">
        <f aca="false">X171</f>
        <v>6600</v>
      </c>
    </row>
    <row collapsed="false" customFormat="false" customHeight="false" hidden="false" ht="15" outlineLevel="0" r="172">
      <c r="A172" s="19" t="n">
        <f aca="false">VLOOKUP(B172,справочник!$B$2:$E$322,4,0)</f>
        <v>13</v>
      </c>
      <c r="B172" s="0" t="e">
        <f aca="false">CONCATENATE(C172;D172)</f>
        <v>#VALUE!</v>
      </c>
      <c r="C172" s="24" t="n">
        <v>13</v>
      </c>
      <c r="D172" s="29" t="s">
        <v>116</v>
      </c>
      <c r="E172" s="24" t="s">
        <v>534</v>
      </c>
      <c r="F172" s="30" t="n">
        <v>41464</v>
      </c>
      <c r="G172" s="30" t="n">
        <v>41487</v>
      </c>
      <c r="H172" s="31" t="n">
        <f aca="false">INT(($H$326-G172)/30)</f>
        <v>29</v>
      </c>
      <c r="I172" s="24" t="n">
        <f aca="false">H172*1000</f>
        <v>29000</v>
      </c>
      <c r="J172" s="31" t="n">
        <v>13000</v>
      </c>
      <c r="K172" s="31"/>
      <c r="L172" s="59" t="n">
        <f aca="false">I172-J172-K172</f>
        <v>16000</v>
      </c>
      <c r="M172" s="85" t="n">
        <f aca="false">SUM('план на 2016'!$L173:M173)-SUM('членские взносы'!$M173:M173)</f>
        <v>16800</v>
      </c>
      <c r="N172" s="85" t="n">
        <f aca="false">SUM('план на 2016'!$L173:N173)-SUM('членские взносы'!$M173:N173)</f>
        <v>17600</v>
      </c>
      <c r="O172" s="85" t="n">
        <f aca="false">SUM('план на 2016'!$L173:O173)-SUM('членские взносы'!$M173:O173)</f>
        <v>18400</v>
      </c>
      <c r="P172" s="85" t="n">
        <f aca="false">SUM('план на 2016'!$L173:P173)-SUM('членские взносы'!$M173:P173)</f>
        <v>19200</v>
      </c>
      <c r="Q172" s="85" t="n">
        <f aca="false">SUM('план на 2016'!$L173:Q173)-SUM('членские взносы'!$M173:Q173)</f>
        <v>20000</v>
      </c>
      <c r="R172" s="85" t="n">
        <f aca="false">SUM('план на 2016'!$L173:R173)-SUM('членские взносы'!$M173:R173)</f>
        <v>20800</v>
      </c>
      <c r="S172" s="85" t="n">
        <f aca="false">SUM('план на 2016'!$L173:S173)-SUM('членские взносы'!$M173:S173)</f>
        <v>1600</v>
      </c>
      <c r="T172" s="85" t="n">
        <f aca="false">SUM('план на 2016'!$L173:T173)-SUM('членские взносы'!$M173:T173)</f>
        <v>2400</v>
      </c>
      <c r="U172" s="85" t="n">
        <f aca="false">SUM('план на 2016'!$L173:U173)-SUM('членские взносы'!$M173:U173)</f>
        <v>3200</v>
      </c>
      <c r="V172" s="85" t="n">
        <f aca="false">SUM('план на 2016'!$L173:V173)-SUM('членские взносы'!$M173:V173)</f>
        <v>4000</v>
      </c>
      <c r="W172" s="85" t="n">
        <f aca="false">SUM('план на 2016'!$L173:W173)-SUM('членские взносы'!$M173:W173)</f>
        <v>4800</v>
      </c>
      <c r="X172" s="85" t="n">
        <f aca="false">SUM('план на 2016'!$L173:X173)-SUM('членские взносы'!$M173:X173)</f>
        <v>5600</v>
      </c>
      <c r="Y172" s="59" t="n">
        <f aca="false">X172</f>
        <v>5600</v>
      </c>
    </row>
    <row collapsed="false" customFormat="false" customHeight="false" hidden="false" ht="15" outlineLevel="0" r="173">
      <c r="A173" s="19" t="n">
        <f aca="false">VLOOKUP(B173,справочник!$B$2:$E$322,4,0)</f>
        <v>273</v>
      </c>
      <c r="B173" s="0" t="e">
        <f aca="false">CONCATENATE(C173;D173)</f>
        <v>#VALUE!</v>
      </c>
      <c r="C173" s="24" t="n">
        <v>286</v>
      </c>
      <c r="D173" s="43" t="s">
        <v>257</v>
      </c>
      <c r="E173" s="24" t="s">
        <v>535</v>
      </c>
      <c r="F173" s="30" t="n">
        <v>41992</v>
      </c>
      <c r="G173" s="30" t="n">
        <v>42005</v>
      </c>
      <c r="H173" s="31" t="n">
        <f aca="false">INT(($H$326-G173)/30)</f>
        <v>12</v>
      </c>
      <c r="I173" s="24" t="n">
        <f aca="false">H173*1000</f>
        <v>12000</v>
      </c>
      <c r="J173" s="31" t="n">
        <v>8000</v>
      </c>
      <c r="K173" s="31"/>
      <c r="L173" s="59" t="n">
        <f aca="false">I173-J173-K173</f>
        <v>4000</v>
      </c>
      <c r="M173" s="85" t="n">
        <f aca="false">SUM('план на 2016'!$L174:M174)-SUM('членские взносы'!$M174:M174)</f>
        <v>4800</v>
      </c>
      <c r="N173" s="85" t="n">
        <f aca="false">SUM('план на 2016'!$L174:N174)-SUM('членские взносы'!$M174:N174)</f>
        <v>5600</v>
      </c>
      <c r="O173" s="85" t="n">
        <f aca="false">SUM('план на 2016'!$L174:O174)-SUM('членские взносы'!$M174:O174)</f>
        <v>6400</v>
      </c>
      <c r="P173" s="85" t="n">
        <f aca="false">SUM('план на 2016'!$L174:P174)-SUM('членские взносы'!$M174:P174)</f>
        <v>7200</v>
      </c>
      <c r="Q173" s="85" t="n">
        <f aca="false">SUM('план на 2016'!$L174:Q174)-SUM('членские взносы'!$M174:Q174)</f>
        <v>8000</v>
      </c>
      <c r="R173" s="85" t="n">
        <f aca="false">SUM('план на 2016'!$L174:R174)-SUM('членские взносы'!$M174:R174)</f>
        <v>800</v>
      </c>
      <c r="S173" s="85" t="n">
        <f aca="false">SUM('план на 2016'!$L174:S174)-SUM('членские взносы'!$M174:S174)</f>
        <v>1600</v>
      </c>
      <c r="T173" s="85" t="n">
        <f aca="false">SUM('план на 2016'!$L174:T174)-SUM('членские взносы'!$M174:T174)</f>
        <v>2400</v>
      </c>
      <c r="U173" s="85" t="n">
        <f aca="false">SUM('план на 2016'!$L174:U174)-SUM('членские взносы'!$M174:U174)</f>
        <v>1600</v>
      </c>
      <c r="V173" s="85" t="n">
        <f aca="false">SUM('план на 2016'!$L174:V174)-SUM('членские взносы'!$M174:V174)</f>
        <v>2400</v>
      </c>
      <c r="W173" s="85" t="n">
        <f aca="false">SUM('план на 2016'!$L174:W174)-SUM('членские взносы'!$M174:W174)</f>
        <v>3200</v>
      </c>
      <c r="X173" s="85" t="n">
        <f aca="false">SUM('план на 2016'!$L174:X174)-SUM('членские взносы'!$M174:X174)</f>
        <v>800</v>
      </c>
      <c r="Y173" s="59" t="n">
        <f aca="false">X173</f>
        <v>800</v>
      </c>
    </row>
    <row collapsed="false" customFormat="false" customHeight="false" hidden="false" ht="15" outlineLevel="0" r="174">
      <c r="A174" s="19" t="n">
        <f aca="false">VLOOKUP(B174,справочник!$B$2:$E$322,4,0)</f>
        <v>87</v>
      </c>
      <c r="B174" s="0" t="e">
        <f aca="false">CONCATENATE(C174;D174)</f>
        <v>#VALUE!</v>
      </c>
      <c r="C174" s="24" t="n">
        <v>92</v>
      </c>
      <c r="D174" s="29" t="s">
        <v>188</v>
      </c>
      <c r="E174" s="24" t="s">
        <v>536</v>
      </c>
      <c r="F174" s="30" t="n">
        <v>41144</v>
      </c>
      <c r="G174" s="30" t="n">
        <v>41153</v>
      </c>
      <c r="H174" s="31" t="n">
        <f aca="false">INT(($H$326-G174)/30)</f>
        <v>40</v>
      </c>
      <c r="I174" s="24" t="n">
        <f aca="false">H174*1000</f>
        <v>40000</v>
      </c>
      <c r="J174" s="31" t="n">
        <v>37000</v>
      </c>
      <c r="K174" s="31"/>
      <c r="L174" s="59" t="n">
        <f aca="false">I174-J174-K174</f>
        <v>3000</v>
      </c>
      <c r="M174" s="85" t="n">
        <f aca="false">SUM('план на 2016'!$L175:M175)-SUM('членские взносы'!$M175:M175)</f>
        <v>3800</v>
      </c>
      <c r="N174" s="85" t="n">
        <f aca="false">SUM('план на 2016'!$L175:N175)-SUM('членские взносы'!$M175:N175)</f>
        <v>4600</v>
      </c>
      <c r="O174" s="85" t="n">
        <f aca="false">SUM('план на 2016'!$L175:O175)-SUM('членские взносы'!$M175:O175)</f>
        <v>5400</v>
      </c>
      <c r="P174" s="85" t="n">
        <f aca="false">SUM('план на 2016'!$L175:P175)-SUM('членские взносы'!$M175:P175)</f>
        <v>6200</v>
      </c>
      <c r="Q174" s="85" t="n">
        <f aca="false">SUM('план на 2016'!$L175:Q175)-SUM('членские взносы'!$M175:Q175)</f>
        <v>7000</v>
      </c>
      <c r="R174" s="85" t="n">
        <f aca="false">SUM('план на 2016'!$L175:R175)-SUM('членские взносы'!$M175:R175)</f>
        <v>7800</v>
      </c>
      <c r="S174" s="85" t="n">
        <f aca="false">SUM('план на 2016'!$L175:S175)-SUM('членские взносы'!$M175:S175)</f>
        <v>8600</v>
      </c>
      <c r="T174" s="85" t="n">
        <f aca="false">SUM('план на 2016'!$L175:T175)-SUM('членские взносы'!$M175:T175)</f>
        <v>9400</v>
      </c>
      <c r="U174" s="85" t="n">
        <f aca="false">SUM('план на 2016'!$L175:U175)-SUM('членские взносы'!$M175:U175)</f>
        <v>10200</v>
      </c>
      <c r="V174" s="85" t="n">
        <f aca="false">SUM('план на 2016'!$L175:V175)-SUM('членские взносы'!$M175:V175)</f>
        <v>11000</v>
      </c>
      <c r="W174" s="85" t="n">
        <f aca="false">SUM('план на 2016'!$L175:W175)-SUM('членские взносы'!$M175:W175)</f>
        <v>11800</v>
      </c>
      <c r="X174" s="85" t="n">
        <f aca="false">SUM('план на 2016'!$L175:X175)-SUM('членские взносы'!$M175:X175)</f>
        <v>12600</v>
      </c>
      <c r="Y174" s="59" t="n">
        <f aca="false">X174</f>
        <v>12600</v>
      </c>
    </row>
    <row collapsed="false" customFormat="false" customHeight="false" hidden="false" ht="15" outlineLevel="0" r="175">
      <c r="A175" s="19" t="n">
        <f aca="false">VLOOKUP(B175,справочник!$B$2:$E$322,4,0)</f>
        <v>154</v>
      </c>
      <c r="B175" s="0" t="e">
        <f aca="false">CONCATENATE(C175;D175)</f>
        <v>#VALUE!</v>
      </c>
      <c r="C175" s="24" t="n">
        <v>162</v>
      </c>
      <c r="D175" s="29" t="s">
        <v>224</v>
      </c>
      <c r="E175" s="24" t="s">
        <v>519</v>
      </c>
      <c r="F175" s="30" t="n">
        <v>40720</v>
      </c>
      <c r="G175" s="30" t="n">
        <v>40725</v>
      </c>
      <c r="H175" s="31" t="n">
        <f aca="false">INT(($H$326-G175)/30)</f>
        <v>54</v>
      </c>
      <c r="I175" s="24" t="n">
        <f aca="false">H175*1000</f>
        <v>54000</v>
      </c>
      <c r="J175" s="31" t="n">
        <v>50000</v>
      </c>
      <c r="K175" s="31"/>
      <c r="L175" s="59" t="n">
        <f aca="false">I175-J175-K175</f>
        <v>4000</v>
      </c>
      <c r="M175" s="85" t="n">
        <f aca="false">SUM('план на 2016'!$L176:M176)-SUM('членские взносы'!$M176:M176)</f>
        <v>4800</v>
      </c>
      <c r="N175" s="85" t="n">
        <f aca="false">SUM('план на 2016'!$L176:N176)-SUM('членские взносы'!$M176:N176)</f>
        <v>5600</v>
      </c>
      <c r="O175" s="85" t="n">
        <f aca="false">SUM('план на 2016'!$L176:O176)-SUM('членские взносы'!$M176:O176)</f>
        <v>6400</v>
      </c>
      <c r="P175" s="85" t="n">
        <f aca="false">SUM('план на 2016'!$L176:P176)-SUM('членские взносы'!$M176:P176)</f>
        <v>4800</v>
      </c>
      <c r="Q175" s="85" t="n">
        <f aca="false">SUM('план на 2016'!$L176:Q176)-SUM('членские взносы'!$M176:Q176)</f>
        <v>4800</v>
      </c>
      <c r="R175" s="85" t="n">
        <f aca="false">SUM('план на 2016'!$L176:R176)-SUM('членские взносы'!$M176:R176)</f>
        <v>4000</v>
      </c>
      <c r="S175" s="85" t="n">
        <f aca="false">SUM('план на 2016'!$L176:S176)-SUM('членские взносы'!$M176:S176)</f>
        <v>4000</v>
      </c>
      <c r="T175" s="85" t="n">
        <f aca="false">SUM('план на 2016'!$L176:T176)-SUM('членские взносы'!$M176:T176)</f>
        <v>4000</v>
      </c>
      <c r="U175" s="85" t="n">
        <f aca="false">SUM('план на 2016'!$L176:U176)-SUM('членские взносы'!$M176:U176)</f>
        <v>4000</v>
      </c>
      <c r="V175" s="85" t="n">
        <f aca="false">SUM('план на 2016'!$L176:V176)-SUM('членские взносы'!$M176:V176)</f>
        <v>4000</v>
      </c>
      <c r="W175" s="85" t="n">
        <f aca="false">SUM('план на 2016'!$L176:W176)-SUM('членские взносы'!$M176:W176)</f>
        <v>4000</v>
      </c>
      <c r="X175" s="85" t="n">
        <f aca="false">SUM('план на 2016'!$L176:X176)-SUM('членские взносы'!$M176:X176)</f>
        <v>4000</v>
      </c>
      <c r="Y175" s="59" t="n">
        <f aca="false">X175</f>
        <v>4000</v>
      </c>
    </row>
    <row collapsed="false" customFormat="false" customHeight="false" hidden="false" ht="15" outlineLevel="0" r="176">
      <c r="A176" s="19" t="n">
        <f aca="false">VLOOKUP(B176,справочник!$B$2:$E$322,4,0)</f>
        <v>270</v>
      </c>
      <c r="B176" s="0" t="e">
        <f aca="false">CONCATENATE(C176;D176)</f>
        <v>#VALUE!</v>
      </c>
      <c r="C176" s="24" t="n">
        <v>283</v>
      </c>
      <c r="D176" s="29" t="s">
        <v>151</v>
      </c>
      <c r="E176" s="24" t="s">
        <v>537</v>
      </c>
      <c r="F176" s="30" t="n">
        <v>41422</v>
      </c>
      <c r="G176" s="30" t="n">
        <v>41456</v>
      </c>
      <c r="H176" s="31" t="n">
        <f aca="false">INT(($H$326-G176)/30)</f>
        <v>30</v>
      </c>
      <c r="I176" s="24" t="n">
        <f aca="false">H176*1000</f>
        <v>30000</v>
      </c>
      <c r="J176" s="31" t="n">
        <v>20000</v>
      </c>
      <c r="K176" s="31"/>
      <c r="L176" s="59" t="n">
        <f aca="false">I176-J176-K176</f>
        <v>10000</v>
      </c>
      <c r="M176" s="85" t="n">
        <f aca="false">SUM('план на 2016'!$L177:M177)-SUM('членские взносы'!$M177:M177)</f>
        <v>10800</v>
      </c>
      <c r="N176" s="85" t="n">
        <f aca="false">SUM('план на 2016'!$L177:N177)-SUM('членские взносы'!$M177:N177)</f>
        <v>11600</v>
      </c>
      <c r="O176" s="85" t="n">
        <f aca="false">SUM('план на 2016'!$L177:O177)-SUM('членские взносы'!$M177:O177)</f>
        <v>12400</v>
      </c>
      <c r="P176" s="85" t="n">
        <f aca="false">SUM('план на 2016'!$L177:P177)-SUM('членские взносы'!$M177:P177)</f>
        <v>13200</v>
      </c>
      <c r="Q176" s="85" t="n">
        <f aca="false">SUM('план на 2016'!$L177:Q177)-SUM('членские взносы'!$M177:Q177)</f>
        <v>14000</v>
      </c>
      <c r="R176" s="85" t="n">
        <f aca="false">SUM('план на 2016'!$L177:R177)-SUM('членские взносы'!$M177:R177)</f>
        <v>14800</v>
      </c>
      <c r="S176" s="85" t="n">
        <f aca="false">SUM('план на 2016'!$L177:S177)-SUM('членские взносы'!$M177:S177)</f>
        <v>15600</v>
      </c>
      <c r="T176" s="85" t="n">
        <f aca="false">SUM('план на 2016'!$L177:T177)-SUM('членские взносы'!$M177:T177)</f>
        <v>1600</v>
      </c>
      <c r="U176" s="85" t="n">
        <f aca="false">SUM('план на 2016'!$L177:U177)-SUM('членские взносы'!$M177:U177)</f>
        <v>2400</v>
      </c>
      <c r="V176" s="85" t="n">
        <f aca="false">SUM('план на 2016'!$L177:V177)-SUM('членские взносы'!$M177:V177)</f>
        <v>3200</v>
      </c>
      <c r="W176" s="85" t="n">
        <f aca="false">SUM('план на 2016'!$L177:W177)-SUM('членские взносы'!$M177:W177)</f>
        <v>4000</v>
      </c>
      <c r="X176" s="85" t="n">
        <f aca="false">SUM('план на 2016'!$L177:X177)-SUM('членские взносы'!$M177:X177)</f>
        <v>4800</v>
      </c>
      <c r="Y176" s="59" t="n">
        <f aca="false">X176</f>
        <v>4800</v>
      </c>
    </row>
    <row collapsed="false" customFormat="false" customHeight="false" hidden="false" ht="15" outlineLevel="0" r="177">
      <c r="A177" s="19" t="n">
        <f aca="false">VLOOKUP(B177,справочник!$B$2:$E$322,4,0)</f>
        <v>9</v>
      </c>
      <c r="B177" s="0" t="e">
        <f aca="false">CONCATENATE(C177;D177)</f>
        <v>#VALUE!</v>
      </c>
      <c r="C177" s="24" t="n">
        <v>9</v>
      </c>
      <c r="D177" s="29" t="s">
        <v>132</v>
      </c>
      <c r="E177" s="24" t="s">
        <v>538</v>
      </c>
      <c r="F177" s="30" t="n">
        <v>41114</v>
      </c>
      <c r="G177" s="30" t="n">
        <v>41122</v>
      </c>
      <c r="H177" s="31" t="n">
        <f aca="false">INT(($H$326-G177)/30)</f>
        <v>41</v>
      </c>
      <c r="I177" s="24" t="n">
        <f aca="false">H177*1000</f>
        <v>41000</v>
      </c>
      <c r="J177" s="31" t="n">
        <v>18000</v>
      </c>
      <c r="K177" s="31"/>
      <c r="L177" s="59" t="n">
        <f aca="false">I177-J177-K177</f>
        <v>23000</v>
      </c>
      <c r="M177" s="85" t="n">
        <f aca="false">SUM('план на 2016'!$L178:M178)-SUM('членские взносы'!$M178:M178)</f>
        <v>23800</v>
      </c>
      <c r="N177" s="85" t="n">
        <f aca="false">SUM('план на 2016'!$L178:N178)-SUM('членские взносы'!$M178:N178)</f>
        <v>24600</v>
      </c>
      <c r="O177" s="85" t="n">
        <f aca="false">SUM('план на 2016'!$L178:O178)-SUM('членские взносы'!$M178:O178)</f>
        <v>25400</v>
      </c>
      <c r="P177" s="85" t="n">
        <f aca="false">SUM('план на 2016'!$L178:P178)-SUM('членские взносы'!$M178:P178)</f>
        <v>26200</v>
      </c>
      <c r="Q177" s="85" t="n">
        <f aca="false">SUM('план на 2016'!$L178:Q178)-SUM('членские взносы'!$M178:Q178)</f>
        <v>18000</v>
      </c>
      <c r="R177" s="85" t="n">
        <f aca="false">SUM('план на 2016'!$L178:R178)-SUM('членские взносы'!$M178:R178)</f>
        <v>17200</v>
      </c>
      <c r="S177" s="85" t="n">
        <f aca="false">SUM('план на 2016'!$L178:S178)-SUM('членские взносы'!$M178:S178)</f>
        <v>17000</v>
      </c>
      <c r="T177" s="85" t="n">
        <f aca="false">SUM('план на 2016'!$L178:T178)-SUM('членские взносы'!$M178:T178)</f>
        <v>6800</v>
      </c>
      <c r="U177" s="85" t="n">
        <f aca="false">SUM('план на 2016'!$L178:U178)-SUM('членские взносы'!$M178:U178)</f>
        <v>7600</v>
      </c>
      <c r="V177" s="85" t="n">
        <f aca="false">SUM('план на 2016'!$L178:V178)-SUM('членские взносы'!$M178:V178)</f>
        <v>1400</v>
      </c>
      <c r="W177" s="85" t="n">
        <f aca="false">SUM('план на 2016'!$L178:W178)-SUM('членские взносы'!$M178:W178)</f>
        <v>2200</v>
      </c>
      <c r="X177" s="85" t="n">
        <f aca="false">SUM('план на 2016'!$L178:X178)-SUM('членские взносы'!$M178:X178)</f>
        <v>0</v>
      </c>
      <c r="Y177" s="59" t="n">
        <f aca="false">X177</f>
        <v>0</v>
      </c>
    </row>
    <row collapsed="false" customFormat="false" customHeight="false" hidden="false" ht="15" outlineLevel="0" r="178">
      <c r="A178" s="19" t="n">
        <f aca="false">VLOOKUP(B178,справочник!$B$2:$E$322,4,0)</f>
        <v>129</v>
      </c>
      <c r="B178" s="0" t="e">
        <f aca="false">CONCATENATE(C178;D178)</f>
        <v>#VALUE!</v>
      </c>
      <c r="C178" s="24" t="n">
        <v>136</v>
      </c>
      <c r="D178" s="29" t="s">
        <v>266</v>
      </c>
      <c r="E178" s="24" t="s">
        <v>539</v>
      </c>
      <c r="F178" s="30" t="n">
        <v>41352</v>
      </c>
      <c r="G178" s="30" t="n">
        <v>41365</v>
      </c>
      <c r="H178" s="31" t="n">
        <f aca="false">INT(($H$326-G178)/30)</f>
        <v>33</v>
      </c>
      <c r="I178" s="24" t="n">
        <f aca="false">H178*1000</f>
        <v>33000</v>
      </c>
      <c r="J178" s="31" t="n">
        <v>31000</v>
      </c>
      <c r="K178" s="31"/>
      <c r="L178" s="59" t="n">
        <f aca="false">I178-J178-K178</f>
        <v>2000</v>
      </c>
      <c r="M178" s="85" t="n">
        <f aca="false">SUM('план на 2016'!$L179:M179)-SUM('членские взносы'!$M179:M179)</f>
        <v>2800</v>
      </c>
      <c r="N178" s="85" t="n">
        <f aca="false">SUM('план на 2016'!$L179:N179)-SUM('членские взносы'!$M179:N179)</f>
        <v>600</v>
      </c>
      <c r="O178" s="85" t="n">
        <f aca="false">SUM('план на 2016'!$L179:O179)-SUM('членские взносы'!$M179:O179)</f>
        <v>1400</v>
      </c>
      <c r="P178" s="85" t="n">
        <f aca="false">SUM('план на 2016'!$L179:P179)-SUM('членские взносы'!$M179:P179)</f>
        <v>-800</v>
      </c>
      <c r="Q178" s="85" t="n">
        <f aca="false">SUM('план на 2016'!$L179:Q179)-SUM('членские взносы'!$M179:Q179)</f>
        <v>0</v>
      </c>
      <c r="R178" s="85" t="n">
        <f aca="false">SUM('план на 2016'!$L179:R179)-SUM('членские взносы'!$M179:R179)</f>
        <v>800</v>
      </c>
      <c r="S178" s="85" t="n">
        <f aca="false">SUM('план на 2016'!$L179:S179)-SUM('членские взносы'!$M179:S179)</f>
        <v>-1400</v>
      </c>
      <c r="T178" s="85" t="n">
        <f aca="false">SUM('план на 2016'!$L179:T179)-SUM('членские взносы'!$M179:T179)</f>
        <v>-600</v>
      </c>
      <c r="U178" s="85" t="n">
        <f aca="false">SUM('план на 2016'!$L179:U179)-SUM('членские взносы'!$M179:U179)</f>
        <v>200</v>
      </c>
      <c r="V178" s="85" t="n">
        <f aca="false">SUM('план на 2016'!$L179:V179)-SUM('членские взносы'!$M179:V179)</f>
        <v>1000</v>
      </c>
      <c r="W178" s="85" t="n">
        <f aca="false">SUM('план на 2016'!$L179:W179)-SUM('членские взносы'!$M179:W179)</f>
        <v>1800</v>
      </c>
      <c r="X178" s="85" t="n">
        <f aca="false">SUM('план на 2016'!$L179:X179)-SUM('членские взносы'!$M179:X179)</f>
        <v>2600</v>
      </c>
      <c r="Y178" s="59" t="n">
        <f aca="false">X178</f>
        <v>2600</v>
      </c>
    </row>
    <row collapsed="false" customFormat="false" customHeight="false" hidden="false" ht="25.5" outlineLevel="0" r="179">
      <c r="A179" s="19" t="n">
        <f aca="false">VLOOKUP(B179,справочник!$B$2:$E$322,4,0)</f>
        <v>42</v>
      </c>
      <c r="B179" s="0" t="e">
        <f aca="false">CONCATENATE(C179;D179)</f>
        <v>#VALUE!</v>
      </c>
      <c r="C179" s="24" t="n">
        <v>42</v>
      </c>
      <c r="D179" s="29" t="s">
        <v>299</v>
      </c>
      <c r="E179" s="24" t="s">
        <v>540</v>
      </c>
      <c r="F179" s="30" t="n">
        <v>40785</v>
      </c>
      <c r="G179" s="30" t="n">
        <v>40787</v>
      </c>
      <c r="H179" s="31" t="n">
        <f aca="false">INT(($H$326-G179)/30)</f>
        <v>52</v>
      </c>
      <c r="I179" s="24" t="n">
        <f aca="false">H179*1000</f>
        <v>52000</v>
      </c>
      <c r="J179" s="31" t="n">
        <f aca="false">19500+500+4500+23500</f>
        <v>48000</v>
      </c>
      <c r="K179" s="31"/>
      <c r="L179" s="59" t="n">
        <f aca="false">I179-J179-K179</f>
        <v>4000</v>
      </c>
      <c r="M179" s="85" t="n">
        <f aca="false">SUM('план на 2016'!$L180:M180)-SUM('членские взносы'!$M180:M180)</f>
        <v>-200</v>
      </c>
      <c r="N179" s="85" t="n">
        <f aca="false">SUM('план на 2016'!$L180:N180)-SUM('членские взносы'!$M180:N180)</f>
        <v>-800</v>
      </c>
      <c r="O179" s="85" t="n">
        <f aca="false">SUM('план на 2016'!$L180:O180)-SUM('членские взносы'!$M180:O180)</f>
        <v>0</v>
      </c>
      <c r="P179" s="85" t="n">
        <f aca="false">SUM('план на 2016'!$L180:P180)-SUM('членские взносы'!$M180:P180)</f>
        <v>-800</v>
      </c>
      <c r="Q179" s="85" t="n">
        <f aca="false">SUM('план на 2016'!$L180:Q180)-SUM('членские взносы'!$M180:Q180)</f>
        <v>0</v>
      </c>
      <c r="R179" s="85" t="n">
        <f aca="false">SUM('план на 2016'!$L180:R180)-SUM('членские взносы'!$M180:R180)</f>
        <v>-800</v>
      </c>
      <c r="S179" s="85" t="n">
        <f aca="false">SUM('план на 2016'!$L180:S180)-SUM('членские взносы'!$M180:S180)</f>
        <v>0</v>
      </c>
      <c r="T179" s="85" t="n">
        <f aca="false">SUM('план на 2016'!$L180:T180)-SUM('членские взносы'!$M180:T180)</f>
        <v>800</v>
      </c>
      <c r="U179" s="85" t="n">
        <f aca="false">SUM('план на 2016'!$L180:U180)-SUM('членские взносы'!$M180:U180)</f>
        <v>1600</v>
      </c>
      <c r="V179" s="85" t="n">
        <f aca="false">SUM('план на 2016'!$L180:V180)-SUM('членские взносы'!$M180:V180)</f>
        <v>0</v>
      </c>
      <c r="W179" s="85" t="n">
        <f aca="false">SUM('план на 2016'!$L180:W180)-SUM('членские взносы'!$M180:W180)</f>
        <v>800</v>
      </c>
      <c r="X179" s="85" t="n">
        <f aca="false">SUM('план на 2016'!$L180:X180)-SUM('членские взносы'!$M180:X180)</f>
        <v>0</v>
      </c>
      <c r="Y179" s="59" t="n">
        <f aca="false">X179</f>
        <v>0</v>
      </c>
    </row>
    <row collapsed="false" customFormat="false" customHeight="false" hidden="false" ht="15" outlineLevel="0" r="180">
      <c r="A180" s="19" t="n">
        <f aca="false">VLOOKUP(B180,справочник!$B$2:$E$322,4,0)</f>
        <v>96</v>
      </c>
      <c r="B180" s="0" t="e">
        <f aca="false">CONCATENATE(C180;D180)</f>
        <v>#VALUE!</v>
      </c>
      <c r="C180" s="24" t="n">
        <v>101</v>
      </c>
      <c r="D180" s="29" t="s">
        <v>131</v>
      </c>
      <c r="E180" s="24" t="s">
        <v>541</v>
      </c>
      <c r="F180" s="34" t="n">
        <v>40708</v>
      </c>
      <c r="G180" s="34" t="n">
        <v>40725</v>
      </c>
      <c r="H180" s="35" t="n">
        <f aca="false">INT(($H$326-G180)/30)</f>
        <v>54</v>
      </c>
      <c r="I180" s="36" t="n">
        <f aca="false">H180*1000</f>
        <v>54000</v>
      </c>
      <c r="J180" s="35" t="n">
        <v>41012</v>
      </c>
      <c r="K180" s="35"/>
      <c r="L180" s="66" t="n">
        <f aca="false">I180-J180-K180</f>
        <v>12988</v>
      </c>
      <c r="M180" s="85" t="n">
        <f aca="false">SUM('план на 2016'!$L181:M181)-SUM('членские взносы'!$M181:M181)</f>
        <v>3988</v>
      </c>
      <c r="N180" s="85" t="n">
        <f aca="false">SUM('план на 2016'!$L181:N181)-SUM('членские взносы'!$M181:N181)</f>
        <v>3988</v>
      </c>
      <c r="O180" s="85" t="n">
        <f aca="false">SUM('план на 2016'!$L181:O181)-SUM('членские взносы'!$M181:O181)</f>
        <v>3988</v>
      </c>
      <c r="P180" s="85" t="n">
        <f aca="false">SUM('план на 2016'!$L181:P181)-SUM('членские взносы'!$M181:P181)</f>
        <v>1988</v>
      </c>
      <c r="Q180" s="85" t="n">
        <f aca="false">SUM('план на 2016'!$L181:Q181)-SUM('членские взносы'!$M181:Q181)</f>
        <v>1988</v>
      </c>
      <c r="R180" s="85" t="n">
        <f aca="false">SUM('план на 2016'!$L181:R181)-SUM('членские взносы'!$M181:R181)</f>
        <v>-12</v>
      </c>
      <c r="S180" s="85" t="n">
        <f aca="false">SUM('план на 2016'!$L181:S181)-SUM('членские взносы'!$M181:S181)</f>
        <v>-12</v>
      </c>
      <c r="T180" s="85" t="n">
        <f aca="false">SUM('план на 2016'!$L181:T181)-SUM('членские взносы'!$M181:T181)</f>
        <v>-2012</v>
      </c>
      <c r="U180" s="85" t="n">
        <f aca="false">SUM('план на 2016'!$L181:U181)-SUM('членские взносы'!$M181:U181)</f>
        <v>-2012</v>
      </c>
      <c r="V180" s="85" t="n">
        <f aca="false">SUM('план на 2016'!$L181:V181)-SUM('членские взносы'!$M181:V181)</f>
        <v>-4012</v>
      </c>
      <c r="W180" s="85" t="n">
        <f aca="false">SUM('план на 2016'!$L181:W181)-SUM('членские взносы'!$M181:W181)</f>
        <v>-4012</v>
      </c>
      <c r="X180" s="85" t="n">
        <f aca="false">SUM('план на 2016'!$L181:X181)-SUM('членские взносы'!$M181:X181)</f>
        <v>-6012</v>
      </c>
      <c r="Y180" s="59" t="n">
        <f aca="false">X180</f>
        <v>-6012</v>
      </c>
    </row>
    <row collapsed="false" customFormat="false" customHeight="false" hidden="false" ht="15" outlineLevel="0" r="181">
      <c r="A181" s="19" t="n">
        <f aca="false">VLOOKUP(B181,справочник!$B$2:$E$322,4,0)</f>
        <v>96</v>
      </c>
      <c r="B181" s="0" t="e">
        <f aca="false">CONCATENATE(C181;D181)</f>
        <v>#VALUE!</v>
      </c>
      <c r="C181" s="24" t="n">
        <v>102</v>
      </c>
      <c r="D181" s="29" t="s">
        <v>131</v>
      </c>
      <c r="E181" s="24"/>
      <c r="F181" s="34" t="n">
        <v>40708</v>
      </c>
      <c r="G181" s="34" t="n">
        <v>40725</v>
      </c>
      <c r="H181" s="35" t="n">
        <f aca="false">INT(($H$326-G181)/30)</f>
        <v>54</v>
      </c>
      <c r="I181" s="36" t="n">
        <f aca="false">H181*1000</f>
        <v>54000</v>
      </c>
      <c r="J181" s="35" t="n">
        <v>41000</v>
      </c>
      <c r="K181" s="35"/>
      <c r="L181" s="66" t="n">
        <f aca="false">I181-J181-K181</f>
        <v>13000</v>
      </c>
      <c r="M181" s="85" t="n">
        <f aca="false">SUM('план на 2016'!$L182:M182)-SUM('членские взносы'!$M182:M182)</f>
        <v>13800</v>
      </c>
      <c r="N181" s="85" t="n">
        <f aca="false">SUM('план на 2016'!$L182:N182)-SUM('членские взносы'!$M182:N182)</f>
        <v>14600</v>
      </c>
      <c r="O181" s="85" t="n">
        <f aca="false">SUM('план на 2016'!$L182:O182)-SUM('членские взносы'!$M182:O182)</f>
        <v>15400</v>
      </c>
      <c r="P181" s="85" t="n">
        <f aca="false">SUM('план на 2016'!$L182:P182)-SUM('членские взносы'!$M182:P182)</f>
        <v>16200</v>
      </c>
      <c r="Q181" s="85" t="n">
        <f aca="false">SUM('план на 2016'!$L182:Q182)-SUM('членские взносы'!$M182:Q182)</f>
        <v>17000</v>
      </c>
      <c r="R181" s="85" t="n">
        <f aca="false">SUM('план на 2016'!$L182:R182)-SUM('членские взносы'!$M182:R182)</f>
        <v>17800</v>
      </c>
      <c r="S181" s="85" t="n">
        <f aca="false">SUM('план на 2016'!$L182:S182)-SUM('членские взносы'!$M182:S182)</f>
        <v>18600</v>
      </c>
      <c r="T181" s="85" t="n">
        <f aca="false">SUM('план на 2016'!$L182:T182)-SUM('членские взносы'!$M182:T182)</f>
        <v>19400</v>
      </c>
      <c r="U181" s="85" t="n">
        <f aca="false">SUM('план на 2016'!$L182:U182)-SUM('членские взносы'!$M182:U182)</f>
        <v>20200</v>
      </c>
      <c r="V181" s="85" t="n">
        <f aca="false">SUM('план на 2016'!$L182:V182)-SUM('членские взносы'!$M182:V182)</f>
        <v>21000</v>
      </c>
      <c r="W181" s="85" t="n">
        <f aca="false">SUM('план на 2016'!$L182:W182)-SUM('членские взносы'!$M182:W182)</f>
        <v>21800</v>
      </c>
      <c r="X181" s="85" t="n">
        <f aca="false">SUM('план на 2016'!$L182:X182)-SUM('членские взносы'!$M182:X182)</f>
        <v>22600</v>
      </c>
      <c r="Y181" s="59" t="n">
        <f aca="false">X181</f>
        <v>22600</v>
      </c>
    </row>
    <row collapsed="false" customFormat="false" customHeight="false" hidden="false" ht="15" outlineLevel="0" r="182">
      <c r="A182" s="19" t="n">
        <f aca="false">VLOOKUP(B182,справочник!$B$2:$E$322,4,0)</f>
        <v>292</v>
      </c>
      <c r="B182" s="0" t="e">
        <f aca="false">CONCATENATE(C182;D182)</f>
        <v>#VALUE!</v>
      </c>
      <c r="C182" s="24" t="n">
        <v>305</v>
      </c>
      <c r="D182" s="29" t="s">
        <v>144</v>
      </c>
      <c r="E182" s="24" t="s">
        <v>542</v>
      </c>
      <c r="F182" s="30" t="n">
        <v>42018</v>
      </c>
      <c r="G182" s="30" t="n">
        <v>42036</v>
      </c>
      <c r="H182" s="31" t="n">
        <f aca="false">INT(($H$326-G182)/30)</f>
        <v>11</v>
      </c>
      <c r="I182" s="24" t="n">
        <f aca="false">H182*1000</f>
        <v>11000</v>
      </c>
      <c r="J182" s="31"/>
      <c r="K182" s="31"/>
      <c r="L182" s="59" t="n">
        <f aca="false">I182-J182-K182</f>
        <v>11000</v>
      </c>
      <c r="M182" s="85" t="n">
        <f aca="false">SUM('план на 2016'!$L183:M183)-SUM('членские взносы'!$M183:M183)</f>
        <v>11800</v>
      </c>
      <c r="N182" s="85" t="n">
        <f aca="false">SUM('план на 2016'!$L183:N183)-SUM('членские взносы'!$M183:N183)</f>
        <v>12600</v>
      </c>
      <c r="O182" s="85" t="n">
        <f aca="false">SUM('план на 2016'!$L183:O183)-SUM('членские взносы'!$M183:O183)</f>
        <v>13400</v>
      </c>
      <c r="P182" s="85" t="n">
        <f aca="false">SUM('план на 2016'!$L183:P183)-SUM('членские взносы'!$M183:P183)</f>
        <v>14200</v>
      </c>
      <c r="Q182" s="85" t="n">
        <f aca="false">SUM('план на 2016'!$L183:Q183)-SUM('членские взносы'!$M183:Q183)</f>
        <v>15000</v>
      </c>
      <c r="R182" s="85" t="n">
        <f aca="false">SUM('план на 2016'!$L183:R183)-SUM('членские взносы'!$M183:R183)</f>
        <v>15800</v>
      </c>
      <c r="S182" s="85" t="n">
        <f aca="false">SUM('план на 2016'!$L183:S183)-SUM('членские взносы'!$M183:S183)</f>
        <v>16600</v>
      </c>
      <c r="T182" s="85" t="n">
        <f aca="false">SUM('план на 2016'!$L183:T183)-SUM('членские взносы'!$M183:T183)</f>
        <v>17400</v>
      </c>
      <c r="U182" s="85" t="n">
        <f aca="false">SUM('план на 2016'!$L183:U183)-SUM('членские взносы'!$M183:U183)</f>
        <v>18200</v>
      </c>
      <c r="V182" s="85" t="n">
        <f aca="false">SUM('план на 2016'!$L183:V183)-SUM('членские взносы'!$M183:V183)</f>
        <v>19000</v>
      </c>
      <c r="W182" s="85" t="n">
        <f aca="false">SUM('план на 2016'!$L183:W183)-SUM('членские взносы'!$M183:W183)</f>
        <v>19800</v>
      </c>
      <c r="X182" s="85" t="n">
        <f aca="false">SUM('план на 2016'!$L183:X183)-SUM('членские взносы'!$M183:X183)</f>
        <v>20600</v>
      </c>
      <c r="Y182" s="59" t="n">
        <f aca="false">X182</f>
        <v>20600</v>
      </c>
    </row>
    <row collapsed="false" customFormat="false" customHeight="false" hidden="false" ht="15" outlineLevel="0" r="183">
      <c r="A183" s="19" t="n">
        <f aca="false">VLOOKUP(B183,справочник!$B$2:$E$322,4,0)</f>
        <v>209</v>
      </c>
      <c r="B183" s="0" t="e">
        <f aca="false">CONCATENATE(C183;D183)</f>
        <v>#VALUE!</v>
      </c>
      <c r="C183" s="24" t="n">
        <v>219</v>
      </c>
      <c r="D183" s="29" t="s">
        <v>118</v>
      </c>
      <c r="E183" s="24"/>
      <c r="F183" s="30" t="n">
        <v>41248</v>
      </c>
      <c r="G183" s="30" t="n">
        <v>41334</v>
      </c>
      <c r="H183" s="31" t="n">
        <v>20</v>
      </c>
      <c r="I183" s="24" t="n">
        <f aca="false">H183*1000</f>
        <v>20000</v>
      </c>
      <c r="J183" s="31"/>
      <c r="K183" s="31"/>
      <c r="L183" s="59" t="n">
        <f aca="false">I183-J183-K183</f>
        <v>20000</v>
      </c>
      <c r="M183" s="85" t="n">
        <f aca="false">SUM('план на 2016'!$L184:M184)-SUM('членские взносы'!$M184:M184)</f>
        <v>20800</v>
      </c>
      <c r="N183" s="85" t="n">
        <f aca="false">SUM('план на 2016'!$L184:N184)-SUM('членские взносы'!$M184:N184)</f>
        <v>21600</v>
      </c>
      <c r="O183" s="85" t="n">
        <f aca="false">SUM('план на 2016'!$L184:O184)-SUM('членские взносы'!$M184:O184)</f>
        <v>22400</v>
      </c>
      <c r="P183" s="85" t="n">
        <f aca="false">SUM('план на 2016'!$L184:P184)-SUM('членские взносы'!$M184:P184)</f>
        <v>23200</v>
      </c>
      <c r="Q183" s="85" t="n">
        <f aca="false">SUM('план на 2016'!$L184:Q184)-SUM('членские взносы'!$M184:Q184)</f>
        <v>22000</v>
      </c>
      <c r="R183" s="85" t="n">
        <f aca="false">SUM('план на 2016'!$L184:R184)-SUM('членские взносы'!$M184:R184)</f>
        <v>19800</v>
      </c>
      <c r="S183" s="85" t="n">
        <f aca="false">SUM('план на 2016'!$L184:S184)-SUM('членские взносы'!$M184:S184)</f>
        <v>20600</v>
      </c>
      <c r="T183" s="85" t="n">
        <f aca="false">SUM('план на 2016'!$L184:T184)-SUM('членские взносы'!$M184:T184)</f>
        <v>18400</v>
      </c>
      <c r="U183" s="85" t="n">
        <f aca="false">SUM('план на 2016'!$L184:U184)-SUM('членские взносы'!$M184:U184)</f>
        <v>19200</v>
      </c>
      <c r="V183" s="85" t="n">
        <f aca="false">SUM('план на 2016'!$L184:V184)-SUM('членские взносы'!$M184:V184)</f>
        <v>17000</v>
      </c>
      <c r="W183" s="85" t="n">
        <f aca="false">SUM('план на 2016'!$L184:W184)-SUM('членские взносы'!$M184:W184)</f>
        <v>15800</v>
      </c>
      <c r="X183" s="85" t="n">
        <f aca="false">SUM('план на 2016'!$L184:X184)-SUM('членские взносы'!$M184:X184)</f>
        <v>16600</v>
      </c>
      <c r="Y183" s="59" t="n">
        <f aca="false">X183</f>
        <v>16600</v>
      </c>
    </row>
    <row collapsed="false" customFormat="false" customHeight="false" hidden="false" ht="15" outlineLevel="0" r="184">
      <c r="A184" s="19" t="n">
        <f aca="false">VLOOKUP(B184,справочник!$B$2:$E$322,4,0)</f>
        <v>257</v>
      </c>
      <c r="B184" s="0" t="e">
        <f aca="false">CONCATENATE(C184;D184)</f>
        <v>#VALUE!</v>
      </c>
      <c r="C184" s="24" t="n">
        <v>270</v>
      </c>
      <c r="D184" s="29" t="s">
        <v>69</v>
      </c>
      <c r="E184" s="24" t="s">
        <v>543</v>
      </c>
      <c r="F184" s="30" t="n">
        <v>41526</v>
      </c>
      <c r="G184" s="30" t="n">
        <v>41548</v>
      </c>
      <c r="H184" s="31" t="n">
        <f aca="false">INT(($H$326-G184)/30)</f>
        <v>27</v>
      </c>
      <c r="I184" s="24" t="n">
        <f aca="false">H184*1000</f>
        <v>27000</v>
      </c>
      <c r="J184" s="31" t="n">
        <v>1000</v>
      </c>
      <c r="K184" s="31"/>
      <c r="L184" s="59" t="n">
        <f aca="false">I184-J184-K184</f>
        <v>26000</v>
      </c>
      <c r="M184" s="85" t="n">
        <f aca="false">SUM('план на 2016'!$L185:M185)-SUM('членские взносы'!$M185:M185)</f>
        <v>26800</v>
      </c>
      <c r="N184" s="85" t="n">
        <f aca="false">SUM('план на 2016'!$L185:N185)-SUM('членские взносы'!$M185:N185)</f>
        <v>27600</v>
      </c>
      <c r="O184" s="85" t="n">
        <f aca="false">SUM('план на 2016'!$L185:O185)-SUM('членские взносы'!$M185:O185)</f>
        <v>28400</v>
      </c>
      <c r="P184" s="85" t="n">
        <f aca="false">SUM('план на 2016'!$L185:P185)-SUM('членские взносы'!$M185:P185)</f>
        <v>29200</v>
      </c>
      <c r="Q184" s="85" t="n">
        <f aca="false">SUM('план на 2016'!$L185:Q185)-SUM('членские взносы'!$M185:Q185)</f>
        <v>30000</v>
      </c>
      <c r="R184" s="85" t="n">
        <f aca="false">SUM('план на 2016'!$L185:R185)-SUM('членские взносы'!$M185:R185)</f>
        <v>30800</v>
      </c>
      <c r="S184" s="85" t="n">
        <f aca="false">SUM('план на 2016'!$L185:S185)-SUM('членские взносы'!$M185:S185)</f>
        <v>31600</v>
      </c>
      <c r="T184" s="85" t="n">
        <f aca="false">SUM('план на 2016'!$L185:T185)-SUM('членские взносы'!$M185:T185)</f>
        <v>32400</v>
      </c>
      <c r="U184" s="85" t="n">
        <f aca="false">SUM('план на 2016'!$L185:U185)-SUM('членские взносы'!$M185:U185)</f>
        <v>33200</v>
      </c>
      <c r="V184" s="85" t="n">
        <f aca="false">SUM('план на 2016'!$L185:V185)-SUM('членские взносы'!$M185:V185)</f>
        <v>34000</v>
      </c>
      <c r="W184" s="85" t="n">
        <f aca="false">SUM('план на 2016'!$L185:W185)-SUM('членские взносы'!$M185:W185)</f>
        <v>34800</v>
      </c>
      <c r="X184" s="85" t="n">
        <f aca="false">SUM('план на 2016'!$L185:X185)-SUM('членские взносы'!$M185:X185)</f>
        <v>35600</v>
      </c>
      <c r="Y184" s="59" t="n">
        <f aca="false">X184</f>
        <v>35600</v>
      </c>
    </row>
    <row collapsed="false" customFormat="false" customHeight="false" hidden="false" ht="15" outlineLevel="0" r="185">
      <c r="A185" s="19" t="n">
        <f aca="false">VLOOKUP(B185,справочник!$B$2:$E$322,4,0)</f>
        <v>212</v>
      </c>
      <c r="B185" s="0" t="e">
        <f aca="false">CONCATENATE(C185;D185)</f>
        <v>#VALUE!</v>
      </c>
      <c r="C185" s="24" t="n">
        <v>221</v>
      </c>
      <c r="D185" s="29" t="s">
        <v>209</v>
      </c>
      <c r="E185" s="24" t="s">
        <v>544</v>
      </c>
      <c r="F185" s="30" t="n">
        <v>41552</v>
      </c>
      <c r="G185" s="30" t="n">
        <v>41579</v>
      </c>
      <c r="H185" s="31" t="n">
        <f aca="false">INT(($H$326-G185)/30)</f>
        <v>26</v>
      </c>
      <c r="I185" s="24" t="n">
        <f aca="false">H185*1000</f>
        <v>26000</v>
      </c>
      <c r="J185" s="31" t="n">
        <v>23000</v>
      </c>
      <c r="K185" s="31"/>
      <c r="L185" s="59" t="n">
        <f aca="false">I185-J185-K185</f>
        <v>3000</v>
      </c>
      <c r="M185" s="85" t="n">
        <f aca="false">SUM('план на 2016'!$L186:M186)-SUM('членские взносы'!$M186:M186)</f>
        <v>3200</v>
      </c>
      <c r="N185" s="85" t="n">
        <f aca="false">SUM('план на 2016'!$L186:N186)-SUM('членские взносы'!$M186:N186)</f>
        <v>4000</v>
      </c>
      <c r="O185" s="85" t="n">
        <f aca="false">SUM('план на 2016'!$L186:O186)-SUM('членские взносы'!$M186:O186)</f>
        <v>3200</v>
      </c>
      <c r="P185" s="85" t="n">
        <f aca="false">SUM('план на 2016'!$L186:P186)-SUM('членские взносы'!$M186:P186)</f>
        <v>3200</v>
      </c>
      <c r="Q185" s="85" t="n">
        <f aca="false">SUM('план на 2016'!$L186:Q186)-SUM('членские взносы'!$M186:Q186)</f>
        <v>4000</v>
      </c>
      <c r="R185" s="85" t="n">
        <f aca="false">SUM('план на 2016'!$L186:R186)-SUM('членские взносы'!$M186:R186)</f>
        <v>4800</v>
      </c>
      <c r="S185" s="85" t="n">
        <f aca="false">SUM('план на 2016'!$L186:S186)-SUM('членские взносы'!$M186:S186)</f>
        <v>4800</v>
      </c>
      <c r="T185" s="85" t="n">
        <f aca="false">SUM('план на 2016'!$L186:T186)-SUM('членские взносы'!$M186:T186)</f>
        <v>4800</v>
      </c>
      <c r="U185" s="85" t="n">
        <f aca="false">SUM('план на 2016'!$L186:U186)-SUM('членские взносы'!$M186:U186)</f>
        <v>5600</v>
      </c>
      <c r="V185" s="85" t="n">
        <f aca="false">SUM('план на 2016'!$L186:V186)-SUM('членские взносы'!$M186:V186)</f>
        <v>4800</v>
      </c>
      <c r="W185" s="85" t="n">
        <f aca="false">SUM('план на 2016'!$L186:W186)-SUM('членские взносы'!$M186:W186)</f>
        <v>5600</v>
      </c>
      <c r="X185" s="85" t="n">
        <f aca="false">SUM('план на 2016'!$L186:X186)-SUM('членские взносы'!$M186:X186)</f>
        <v>4800</v>
      </c>
      <c r="Y185" s="59" t="n">
        <f aca="false">X185</f>
        <v>4800</v>
      </c>
    </row>
    <row collapsed="false" customFormat="false" customHeight="false" hidden="false" ht="15" outlineLevel="0" r="186">
      <c r="A186" s="19" t="n">
        <f aca="false">VLOOKUP(B186,справочник!$B$2:$E$322,4,0)</f>
        <v>320</v>
      </c>
      <c r="B186" s="0" t="e">
        <f aca="false">CONCATENATE(C186;D186)</f>
        <v>#VALUE!</v>
      </c>
      <c r="C186" s="24"/>
      <c r="D186" s="29" t="s">
        <v>324</v>
      </c>
      <c r="E186" s="24"/>
      <c r="F186" s="30"/>
      <c r="G186" s="30"/>
      <c r="H186" s="31"/>
      <c r="I186" s="24"/>
      <c r="J186" s="31"/>
      <c r="K186" s="31"/>
      <c r="L186" s="59"/>
      <c r="M186" s="85" t="n">
        <f aca="false">SUM('план на 2016'!$L187:M187)-SUM('членские взносы'!$M187:M187)</f>
        <v>800</v>
      </c>
      <c r="N186" s="85" t="n">
        <f aca="false">SUM('план на 2016'!$L187:N187)-SUM('членские взносы'!$M187:N187)</f>
        <v>1600</v>
      </c>
      <c r="O186" s="85" t="n">
        <f aca="false">SUM('план на 2016'!$L187:O187)-SUM('членские взносы'!$M187:O187)</f>
        <v>2400</v>
      </c>
      <c r="P186" s="85" t="n">
        <f aca="false">SUM('план на 2016'!$L187:P187)-SUM('членские взносы'!$M187:P187)</f>
        <v>0</v>
      </c>
      <c r="Q186" s="85" t="n">
        <f aca="false">SUM('план на 2016'!$L187:Q187)-SUM('членские взносы'!$M187:Q187)</f>
        <v>800</v>
      </c>
      <c r="R186" s="85" t="n">
        <f aca="false">SUM('план на 2016'!$L187:R187)-SUM('членские взносы'!$M187:R187)</f>
        <v>1600</v>
      </c>
      <c r="S186" s="85" t="n">
        <f aca="false">SUM('план на 2016'!$L187:S187)-SUM('членские взносы'!$M187:S187)</f>
        <v>2400</v>
      </c>
      <c r="T186" s="85" t="n">
        <f aca="false">SUM('план на 2016'!$L187:T187)-SUM('членские взносы'!$M187:T187)</f>
        <v>3200</v>
      </c>
      <c r="U186" s="85" t="n">
        <f aca="false">SUM('план на 2016'!$L187:U187)-SUM('членские взносы'!$M187:U187)</f>
        <v>4000</v>
      </c>
      <c r="V186" s="85" t="n">
        <f aca="false">SUM('план на 2016'!$L187:V187)-SUM('членские взносы'!$M187:V187)</f>
        <v>4800</v>
      </c>
      <c r="W186" s="85" t="n">
        <f aca="false">SUM('план на 2016'!$L187:W187)-SUM('членские взносы'!$M187:W187)</f>
        <v>-800</v>
      </c>
      <c r="X186" s="85" t="n">
        <f aca="false">SUM('план на 2016'!$L187:X187)-SUM('членские взносы'!$M187:X187)</f>
        <v>0</v>
      </c>
      <c r="Y186" s="59" t="n">
        <f aca="false">X186</f>
        <v>0</v>
      </c>
    </row>
    <row collapsed="false" customFormat="false" customHeight="false" hidden="false" ht="25.5" outlineLevel="0" r="187">
      <c r="A187" s="19" t="n">
        <f aca="false">VLOOKUP(B187,справочник!$B$2:$E$322,4,0)</f>
        <v>186</v>
      </c>
      <c r="B187" s="0" t="e">
        <f aca="false">CONCATENATE(C187;D187)</f>
        <v>#VALUE!</v>
      </c>
      <c r="C187" s="24" t="n">
        <v>194</v>
      </c>
      <c r="D187" s="29" t="s">
        <v>228</v>
      </c>
      <c r="E187" s="24" t="s">
        <v>545</v>
      </c>
      <c r="F187" s="30" t="n">
        <v>41872</v>
      </c>
      <c r="G187" s="30" t="n">
        <v>41883</v>
      </c>
      <c r="H187" s="31" t="n">
        <f aca="false">INT(($H$326-G187)/30)</f>
        <v>16</v>
      </c>
      <c r="I187" s="24" t="n">
        <f aca="false">H187*1000</f>
        <v>16000</v>
      </c>
      <c r="J187" s="31" t="n">
        <v>12000</v>
      </c>
      <c r="K187" s="31"/>
      <c r="L187" s="59" t="n">
        <f aca="false">I187-J187-K187</f>
        <v>4000</v>
      </c>
      <c r="M187" s="85" t="n">
        <f aca="false">SUM('план на 2016'!$L188:M188)-SUM('членские взносы'!$M188:M188)</f>
        <v>4800</v>
      </c>
      <c r="N187" s="85" t="n">
        <f aca="false">SUM('план на 2016'!$L188:N188)-SUM('членские взносы'!$M188:N188)</f>
        <v>5600</v>
      </c>
      <c r="O187" s="85" t="n">
        <f aca="false">SUM('план на 2016'!$L188:O188)-SUM('членские взносы'!$M188:O188)</f>
        <v>6400</v>
      </c>
      <c r="P187" s="85" t="n">
        <f aca="false">SUM('план на 2016'!$L188:P188)-SUM('членские взносы'!$M188:P188)</f>
        <v>2200</v>
      </c>
      <c r="Q187" s="85" t="n">
        <f aca="false">SUM('план на 2016'!$L188:Q188)-SUM('членские взносы'!$M188:Q188)</f>
        <v>3000</v>
      </c>
      <c r="R187" s="85" t="n">
        <f aca="false">SUM('план на 2016'!$L188:R188)-SUM('членские взносы'!$M188:R188)</f>
        <v>3800</v>
      </c>
      <c r="S187" s="85" t="n">
        <f aca="false">SUM('план на 2016'!$L188:S188)-SUM('членские взносы'!$M188:S188)</f>
        <v>4600</v>
      </c>
      <c r="T187" s="85" t="n">
        <f aca="false">SUM('план на 2016'!$L188:T188)-SUM('членские взносы'!$M188:T188)</f>
        <v>5400</v>
      </c>
      <c r="U187" s="85" t="n">
        <f aca="false">SUM('план на 2016'!$L188:U188)-SUM('членские взносы'!$M188:U188)</f>
        <v>6200</v>
      </c>
      <c r="V187" s="85" t="n">
        <f aca="false">SUM('план на 2016'!$L188:V188)-SUM('членские взносы'!$M188:V188)</f>
        <v>7000</v>
      </c>
      <c r="W187" s="85" t="n">
        <f aca="false">SUM('план на 2016'!$L188:W188)-SUM('членские взносы'!$M188:W188)</f>
        <v>7800</v>
      </c>
      <c r="X187" s="85" t="n">
        <f aca="false">SUM('план на 2016'!$L188:X188)-SUM('членские взносы'!$M188:X188)</f>
        <v>8600</v>
      </c>
      <c r="Y187" s="59" t="n">
        <f aca="false">X187</f>
        <v>8600</v>
      </c>
    </row>
    <row collapsed="false" customFormat="false" customHeight="false" hidden="false" ht="15" outlineLevel="0" r="188">
      <c r="A188" s="19" t="n">
        <f aca="false">VLOOKUP(B188,справочник!$B$2:$E$322,4,0)</f>
        <v>187</v>
      </c>
      <c r="B188" s="0" t="e">
        <f aca="false">CONCATENATE(C188;D188)</f>
        <v>#VALUE!</v>
      </c>
      <c r="C188" s="24" t="n">
        <v>195</v>
      </c>
      <c r="D188" s="29" t="s">
        <v>83</v>
      </c>
      <c r="E188" s="24" t="s">
        <v>546</v>
      </c>
      <c r="F188" s="30" t="n">
        <v>41542</v>
      </c>
      <c r="G188" s="30" t="n">
        <v>41548</v>
      </c>
      <c r="H188" s="31" t="n">
        <f aca="false">INT(($H$326-G188)/30)</f>
        <v>27</v>
      </c>
      <c r="I188" s="24" t="n">
        <f aca="false">H188*1000</f>
        <v>27000</v>
      </c>
      <c r="J188" s="31"/>
      <c r="K188" s="31"/>
      <c r="L188" s="59" t="n">
        <f aca="false">I188-J188-K188</f>
        <v>27000</v>
      </c>
      <c r="M188" s="85" t="n">
        <f aca="false">SUM('план на 2016'!$L189:M189)-SUM('членские взносы'!$M189:M189)</f>
        <v>27800</v>
      </c>
      <c r="N188" s="85" t="n">
        <f aca="false">SUM('план на 2016'!$L189:N189)-SUM('членские взносы'!$M189:N189)</f>
        <v>28600</v>
      </c>
      <c r="O188" s="85" t="n">
        <f aca="false">SUM('план на 2016'!$L189:O189)-SUM('членские взносы'!$M189:O189)</f>
        <v>29400</v>
      </c>
      <c r="P188" s="85" t="n">
        <f aca="false">SUM('план на 2016'!$L189:P189)-SUM('членские взносы'!$M189:P189)</f>
        <v>25200</v>
      </c>
      <c r="Q188" s="85" t="n">
        <f aca="false">SUM('план на 2016'!$L189:Q189)-SUM('членские взносы'!$M189:Q189)</f>
        <v>26000</v>
      </c>
      <c r="R188" s="85" t="n">
        <f aca="false">SUM('план на 2016'!$L189:R189)-SUM('членские взносы'!$M189:R189)</f>
        <v>26800</v>
      </c>
      <c r="S188" s="85" t="n">
        <f aca="false">SUM('план на 2016'!$L189:S189)-SUM('членские взносы'!$M189:S189)</f>
        <v>27600</v>
      </c>
      <c r="T188" s="85" t="n">
        <f aca="false">SUM('план на 2016'!$L189:T189)-SUM('членские взносы'!$M189:T189)</f>
        <v>23400</v>
      </c>
      <c r="U188" s="85" t="n">
        <f aca="false">SUM('план на 2016'!$L189:U189)-SUM('членские взносы'!$M189:U189)</f>
        <v>24200</v>
      </c>
      <c r="V188" s="85" t="n">
        <f aca="false">SUM('план на 2016'!$L189:V189)-SUM('членские взносы'!$M189:V189)</f>
        <v>25000</v>
      </c>
      <c r="W188" s="85" t="n">
        <f aca="false">SUM('план на 2016'!$L189:W189)-SUM('членские взносы'!$M189:W189)</f>
        <v>25800</v>
      </c>
      <c r="X188" s="85" t="n">
        <f aca="false">SUM('план на 2016'!$L189:X189)-SUM('членские взносы'!$M189:X189)</f>
        <v>26600</v>
      </c>
      <c r="Y188" s="59" t="n">
        <f aca="false">X188</f>
        <v>26600</v>
      </c>
    </row>
    <row collapsed="false" customFormat="false" customHeight="false" hidden="false" ht="15" outlineLevel="0" r="189">
      <c r="A189" s="19" t="n">
        <f aca="false">VLOOKUP(B189,справочник!$B$2:$E$322,4,0)</f>
        <v>211</v>
      </c>
      <c r="B189" s="0" t="e">
        <f aca="false">CONCATENATE(C189;D189)</f>
        <v>#VALUE!</v>
      </c>
      <c r="C189" s="24" t="n">
        <v>220</v>
      </c>
      <c r="D189" s="29" t="s">
        <v>236</v>
      </c>
      <c r="E189" s="24" t="s">
        <v>547</v>
      </c>
      <c r="F189" s="30" t="n">
        <v>41417</v>
      </c>
      <c r="G189" s="30" t="n">
        <v>41426</v>
      </c>
      <c r="H189" s="31" t="n">
        <f aca="false">INT(($H$326-G189)/30)</f>
        <v>31</v>
      </c>
      <c r="I189" s="24" t="n">
        <f aca="false">H189*1000</f>
        <v>31000</v>
      </c>
      <c r="J189" s="31" t="n">
        <v>26000</v>
      </c>
      <c r="K189" s="31" t="n">
        <v>7000</v>
      </c>
      <c r="L189" s="59" t="n">
        <f aca="false">I189-J189-K189</f>
        <v>-2000</v>
      </c>
      <c r="M189" s="85" t="n">
        <f aca="false">SUM('план на 2016'!$L190:M190)-SUM('членские взносы'!$M190:M190)</f>
        <v>-1200</v>
      </c>
      <c r="N189" s="85" t="n">
        <f aca="false">SUM('план на 2016'!$L190:N190)-SUM('членские взносы'!$M190:N190)</f>
        <v>-400</v>
      </c>
      <c r="O189" s="85" t="n">
        <f aca="false">SUM('план на 2016'!$L190:O190)-SUM('членские взносы'!$M190:O190)</f>
        <v>400</v>
      </c>
      <c r="P189" s="85" t="n">
        <f aca="false">SUM('план на 2016'!$L190:P190)-SUM('членские взносы'!$M190:P190)</f>
        <v>1200</v>
      </c>
      <c r="Q189" s="85" t="n">
        <f aca="false">SUM('план на 2016'!$L190:Q190)-SUM('членские взносы'!$M190:Q190)</f>
        <v>2000</v>
      </c>
      <c r="R189" s="85" t="n">
        <f aca="false">SUM('план на 2016'!$L190:R190)-SUM('членские взносы'!$M190:R190)</f>
        <v>2800</v>
      </c>
      <c r="S189" s="85" t="n">
        <f aca="false">SUM('план на 2016'!$L190:S190)-SUM('членские взносы'!$M190:S190)</f>
        <v>3600</v>
      </c>
      <c r="T189" s="85" t="n">
        <f aca="false">SUM('план на 2016'!$L190:T190)-SUM('членские взносы'!$M190:T190)</f>
        <v>4400</v>
      </c>
      <c r="U189" s="85" t="n">
        <f aca="false">SUM('план на 2016'!$L190:U190)-SUM('членские взносы'!$M190:U190)</f>
        <v>5200</v>
      </c>
      <c r="V189" s="85" t="n">
        <f aca="false">SUM('план на 2016'!$L190:V190)-SUM('членские взносы'!$M190:V190)</f>
        <v>-3600</v>
      </c>
      <c r="W189" s="85" t="n">
        <f aca="false">SUM('план на 2016'!$L190:W190)-SUM('членские взносы'!$M190:W190)</f>
        <v>-2800</v>
      </c>
      <c r="X189" s="85" t="n">
        <f aca="false">SUM('план на 2016'!$L190:X190)-SUM('членские взносы'!$M190:X190)</f>
        <v>-2000</v>
      </c>
      <c r="Y189" s="59" t="n">
        <f aca="false">X189</f>
        <v>-2000</v>
      </c>
    </row>
    <row collapsed="false" customFormat="false" customHeight="true" hidden="false" ht="25.5" outlineLevel="0" r="190">
      <c r="A190" s="19" t="n">
        <f aca="false">VLOOKUP(B190,справочник!$B$2:$E$322,4,0)</f>
        <v>242</v>
      </c>
      <c r="B190" s="0" t="e">
        <f aca="false">CONCATENATE(C190;D190)</f>
        <v>#VALUE!</v>
      </c>
      <c r="C190" s="24" t="n">
        <v>253</v>
      </c>
      <c r="D190" s="29" t="s">
        <v>63</v>
      </c>
      <c r="E190" s="24" t="s">
        <v>548</v>
      </c>
      <c r="F190" s="30" t="n">
        <v>41352</v>
      </c>
      <c r="G190" s="30" t="n">
        <v>41365</v>
      </c>
      <c r="H190" s="31" t="n">
        <f aca="false">INT(($H$326-G190)/30)</f>
        <v>33</v>
      </c>
      <c r="I190" s="24" t="n">
        <f aca="false">H190*1000</f>
        <v>33000</v>
      </c>
      <c r="J190" s="31" t="n">
        <v>4000</v>
      </c>
      <c r="K190" s="31"/>
      <c r="L190" s="59" t="n">
        <f aca="false">I190-J190-K190</f>
        <v>29000</v>
      </c>
      <c r="M190" s="85" t="n">
        <f aca="false">SUM('план на 2016'!$L191:M191)-SUM('членские взносы'!$M191:M191)</f>
        <v>29800</v>
      </c>
      <c r="N190" s="85" t="n">
        <f aca="false">SUM('план на 2016'!$L191:N191)-SUM('членские взносы'!$M191:N191)</f>
        <v>30600</v>
      </c>
      <c r="O190" s="85" t="n">
        <f aca="false">SUM('план на 2016'!$L191:O191)-SUM('членские взносы'!$M191:O191)</f>
        <v>31400</v>
      </c>
      <c r="P190" s="85" t="n">
        <f aca="false">SUM('план на 2016'!$L191:P191)-SUM('членские взносы'!$M191:P191)</f>
        <v>32200</v>
      </c>
      <c r="Q190" s="85" t="n">
        <f aca="false">SUM('план на 2016'!$L191:Q191)-SUM('членские взносы'!$M191:Q191)</f>
        <v>33000</v>
      </c>
      <c r="R190" s="85" t="n">
        <f aca="false">SUM('план на 2016'!$L191:R191)-SUM('членские взносы'!$M191:R191)</f>
        <v>33800</v>
      </c>
      <c r="S190" s="85" t="n">
        <f aca="false">SUM('план на 2016'!$L191:S191)-SUM('членские взносы'!$M191:S191)</f>
        <v>34600</v>
      </c>
      <c r="T190" s="85" t="n">
        <f aca="false">SUM('план на 2016'!$L191:T191)-SUM('членские взносы'!$M191:T191)</f>
        <v>35400</v>
      </c>
      <c r="U190" s="85" t="n">
        <f aca="false">SUM('план на 2016'!$L191:U191)-SUM('членские взносы'!$M191:U191)</f>
        <v>36200</v>
      </c>
      <c r="V190" s="85" t="n">
        <f aca="false">SUM('план на 2016'!$L191:V191)-SUM('членские взносы'!$M191:V191)</f>
        <v>37000</v>
      </c>
      <c r="W190" s="85" t="n">
        <f aca="false">SUM('план на 2016'!$L191:W191)-SUM('членские взносы'!$M191:W191)</f>
        <v>37800</v>
      </c>
      <c r="X190" s="85" t="n">
        <f aca="false">SUM('план на 2016'!$L191:X191)-SUM('членские взносы'!$M191:X191)</f>
        <v>38600</v>
      </c>
      <c r="Y190" s="59" t="n">
        <f aca="false">X190</f>
        <v>38600</v>
      </c>
    </row>
    <row collapsed="false" customFormat="false" customHeight="false" hidden="false" ht="15" outlineLevel="0" r="191">
      <c r="A191" s="19" t="n">
        <f aca="false">VLOOKUP(B191,справочник!$B$2:$E$322,4,0)</f>
        <v>218</v>
      </c>
      <c r="B191" s="0" t="e">
        <f aca="false">CONCATENATE(C191;D191)</f>
        <v>#VALUE!</v>
      </c>
      <c r="C191" s="44" t="n">
        <v>227</v>
      </c>
      <c r="D191" s="29" t="s">
        <v>164</v>
      </c>
      <c r="E191" s="24" t="s">
        <v>549</v>
      </c>
      <c r="F191" s="30" t="n">
        <v>40793</v>
      </c>
      <c r="G191" s="30" t="n">
        <v>40787</v>
      </c>
      <c r="H191" s="31" t="n">
        <f aca="false">INT(($H$326-G191)/30)</f>
        <v>52</v>
      </c>
      <c r="I191" s="24" t="n">
        <f aca="false">H191*1000</f>
        <v>52000</v>
      </c>
      <c r="J191" s="31" t="n">
        <v>33000</v>
      </c>
      <c r="K191" s="31" t="n">
        <v>5000</v>
      </c>
      <c r="L191" s="59" t="n">
        <f aca="false">I191-J191-K191</f>
        <v>14000</v>
      </c>
      <c r="M191" s="85" t="n">
        <f aca="false">SUM('план на 2016'!$L192:M192)-SUM('членские взносы'!$M192:M192)</f>
        <v>14800</v>
      </c>
      <c r="N191" s="85" t="n">
        <f aca="false">SUM('план на 2016'!$L192:N192)-SUM('членские взносы'!$M192:N192)</f>
        <v>15600</v>
      </c>
      <c r="O191" s="85" t="n">
        <f aca="false">SUM('план на 2016'!$L192:O192)-SUM('членские взносы'!$M192:O192)</f>
        <v>15400</v>
      </c>
      <c r="P191" s="85" t="n">
        <f aca="false">SUM('план на 2016'!$L192:P192)-SUM('членские взносы'!$M192:P192)</f>
        <v>16200</v>
      </c>
      <c r="Q191" s="85" t="n">
        <f aca="false">SUM('план на 2016'!$L192:Q192)-SUM('членские взносы'!$M192:Q192)</f>
        <v>17000</v>
      </c>
      <c r="R191" s="85" t="n">
        <f aca="false">SUM('план на 2016'!$L192:R192)-SUM('членские взносы'!$M192:R192)</f>
        <v>12800</v>
      </c>
      <c r="S191" s="85" t="n">
        <f aca="false">SUM('план на 2016'!$L192:S192)-SUM('членские взносы'!$M192:S192)</f>
        <v>1600</v>
      </c>
      <c r="T191" s="85" t="n">
        <f aca="false">SUM('план на 2016'!$L192:T192)-SUM('членские взносы'!$M192:T192)</f>
        <v>2400</v>
      </c>
      <c r="U191" s="85" t="n">
        <f aca="false">SUM('план на 2016'!$L192:U192)-SUM('членские взносы'!$M192:U192)</f>
        <v>0</v>
      </c>
      <c r="V191" s="85" t="n">
        <f aca="false">SUM('план на 2016'!$L192:V192)-SUM('членские взносы'!$M192:V192)</f>
        <v>800</v>
      </c>
      <c r="W191" s="85" t="n">
        <f aca="false">SUM('план на 2016'!$L192:W192)-SUM('членские взносы'!$M192:W192)</f>
        <v>1600</v>
      </c>
      <c r="X191" s="85" t="n">
        <f aca="false">SUM('план на 2016'!$L192:X192)-SUM('членские взносы'!$M192:X192)</f>
        <v>0</v>
      </c>
      <c r="Y191" s="59" t="n">
        <f aca="false">X191</f>
        <v>0</v>
      </c>
    </row>
    <row collapsed="false" customFormat="false" customHeight="false" hidden="false" ht="15" outlineLevel="0" r="192">
      <c r="A192" s="19" t="n">
        <f aca="false">VLOOKUP(B192,справочник!$B$2:$E$322,4,0)</f>
        <v>120</v>
      </c>
      <c r="B192" s="0" t="e">
        <f aca="false">CONCATENATE(C192;D192)</f>
        <v>#VALUE!</v>
      </c>
      <c r="C192" s="24" t="n">
        <v>125</v>
      </c>
      <c r="D192" s="29" t="s">
        <v>284</v>
      </c>
      <c r="E192" s="24" t="s">
        <v>550</v>
      </c>
      <c r="F192" s="30" t="n">
        <v>41417</v>
      </c>
      <c r="G192" s="30" t="n">
        <v>41426</v>
      </c>
      <c r="H192" s="31" t="n">
        <f aca="false">INT(($H$326-G192)/30)</f>
        <v>31</v>
      </c>
      <c r="I192" s="24" t="n">
        <f aca="false">H192*1000</f>
        <v>31000</v>
      </c>
      <c r="J192" s="31" t="n">
        <v>21000</v>
      </c>
      <c r="K192" s="31"/>
      <c r="L192" s="59" t="n">
        <f aca="false">I192-J192-K192</f>
        <v>10000</v>
      </c>
      <c r="M192" s="85" t="n">
        <f aca="false">SUM('план на 2016'!$L193:M193)-SUM('членские взносы'!$M193:M193)</f>
        <v>5800</v>
      </c>
      <c r="N192" s="85" t="n">
        <f aca="false">SUM('план на 2016'!$L193:N193)-SUM('членские взносы'!$M193:N193)</f>
        <v>0</v>
      </c>
      <c r="O192" s="85" t="n">
        <f aca="false">SUM('план на 2016'!$L193:O193)-SUM('членские взносы'!$M193:O193)</f>
        <v>-1200</v>
      </c>
      <c r="P192" s="85" t="n">
        <f aca="false">SUM('план на 2016'!$L193:P193)-SUM('членские взносы'!$M193:P193)</f>
        <v>-400</v>
      </c>
      <c r="Q192" s="85" t="n">
        <f aca="false">SUM('план на 2016'!$L193:Q193)-SUM('членские взносы'!$M193:Q193)</f>
        <v>400</v>
      </c>
      <c r="R192" s="85" t="n">
        <f aca="false">SUM('план на 2016'!$L193:R193)-SUM('членские взносы'!$M193:R193)</f>
        <v>0</v>
      </c>
      <c r="S192" s="85" t="n">
        <f aca="false">SUM('план на 2016'!$L193:S193)-SUM('членские взносы'!$M193:S193)</f>
        <v>800</v>
      </c>
      <c r="T192" s="85" t="n">
        <f aca="false">SUM('план на 2016'!$L193:T193)-SUM('членские взносы'!$M193:T193)</f>
        <v>1600</v>
      </c>
      <c r="U192" s="85" t="n">
        <f aca="false">SUM('план на 2016'!$L193:U193)-SUM('членские взносы'!$M193:U193)</f>
        <v>2400</v>
      </c>
      <c r="V192" s="85" t="n">
        <f aca="false">SUM('план на 2016'!$L193:V193)-SUM('членские взносы'!$M193:V193)</f>
        <v>0</v>
      </c>
      <c r="W192" s="85" t="n">
        <f aca="false">SUM('план на 2016'!$L193:W193)-SUM('членские взносы'!$M193:W193)</f>
        <v>800</v>
      </c>
      <c r="X192" s="85" t="n">
        <f aca="false">SUM('план на 2016'!$L193:X193)-SUM('членские взносы'!$M193:X193)</f>
        <v>0</v>
      </c>
      <c r="Y192" s="59" t="n">
        <f aca="false">X192</f>
        <v>0</v>
      </c>
    </row>
    <row collapsed="false" customFormat="false" customHeight="false" hidden="false" ht="15" outlineLevel="0" r="193">
      <c r="A193" s="19" t="n">
        <f aca="false">VLOOKUP(B193,справочник!$B$2:$E$322,4,0)</f>
        <v>287</v>
      </c>
      <c r="B193" s="0" t="e">
        <f aca="false">CONCATENATE(C193;D193)</f>
        <v>#VALUE!</v>
      </c>
      <c r="C193" s="24" t="n">
        <v>299</v>
      </c>
      <c r="D193" s="29" t="s">
        <v>193</v>
      </c>
      <c r="E193" s="24" t="s">
        <v>551</v>
      </c>
      <c r="F193" s="30" t="n">
        <v>41897</v>
      </c>
      <c r="G193" s="30" t="n">
        <v>41913</v>
      </c>
      <c r="H193" s="31" t="n">
        <f aca="false">INT(($H$326-G193)/30)</f>
        <v>15</v>
      </c>
      <c r="I193" s="24" t="n">
        <f aca="false">H193*1000</f>
        <v>15000</v>
      </c>
      <c r="J193" s="31" t="n">
        <v>13000</v>
      </c>
      <c r="K193" s="31"/>
      <c r="L193" s="59" t="n">
        <f aca="false">I193-J193-K193</f>
        <v>2000</v>
      </c>
      <c r="M193" s="85" t="n">
        <f aca="false">SUM('план на 2016'!$L194:M194)-SUM('членские взносы'!$M194:M194)</f>
        <v>2800</v>
      </c>
      <c r="N193" s="85" t="n">
        <f aca="false">SUM('план на 2016'!$L194:N194)-SUM('членские взносы'!$M194:N194)</f>
        <v>3600</v>
      </c>
      <c r="O193" s="85" t="n">
        <f aca="false">SUM('план на 2016'!$L194:O194)-SUM('членские взносы'!$M194:O194)</f>
        <v>4400</v>
      </c>
      <c r="P193" s="85" t="n">
        <f aca="false">SUM('план на 2016'!$L194:P194)-SUM('членские взносы'!$M194:P194)</f>
        <v>5200</v>
      </c>
      <c r="Q193" s="85" t="n">
        <f aca="false">SUM('план на 2016'!$L194:Q194)-SUM('членские взносы'!$M194:Q194)</f>
        <v>6000</v>
      </c>
      <c r="R193" s="85" t="n">
        <f aca="false">SUM('план на 2016'!$L194:R194)-SUM('членские взносы'!$M194:R194)</f>
        <v>6800</v>
      </c>
      <c r="S193" s="85" t="n">
        <f aca="false">SUM('план на 2016'!$L194:S194)-SUM('членские взносы'!$M194:S194)</f>
        <v>2400</v>
      </c>
      <c r="T193" s="85" t="n">
        <f aca="false">SUM('план на 2016'!$L194:T194)-SUM('членские взносы'!$M194:T194)</f>
        <v>3200</v>
      </c>
      <c r="U193" s="85" t="n">
        <f aca="false">SUM('план на 2016'!$L194:U194)-SUM('членские взносы'!$M194:U194)</f>
        <v>4000</v>
      </c>
      <c r="V193" s="85" t="n">
        <f aca="false">SUM('план на 2016'!$L194:V194)-SUM('членские взносы'!$M194:V194)</f>
        <v>4800</v>
      </c>
      <c r="W193" s="85" t="n">
        <f aca="false">SUM('план на 2016'!$L194:W194)-SUM('членские взносы'!$M194:W194)</f>
        <v>5600</v>
      </c>
      <c r="X193" s="85" t="n">
        <f aca="false">SUM('план на 2016'!$L194:X194)-SUM('членские взносы'!$M194:X194)</f>
        <v>800</v>
      </c>
      <c r="Y193" s="59" t="n">
        <f aca="false">X193</f>
        <v>800</v>
      </c>
    </row>
    <row collapsed="false" customFormat="false" customHeight="false" hidden="false" ht="15" outlineLevel="0" r="194">
      <c r="A194" s="19" t="n">
        <f aca="false">VLOOKUP(B194,справочник!$B$2:$E$322,4,0)</f>
        <v>170</v>
      </c>
      <c r="B194" s="0" t="e">
        <f aca="false">CONCATENATE(C194;D194)</f>
        <v>#VALUE!</v>
      </c>
      <c r="C194" s="24" t="n">
        <v>178</v>
      </c>
      <c r="D194" s="29" t="s">
        <v>312</v>
      </c>
      <c r="E194" s="36" t="s">
        <v>552</v>
      </c>
      <c r="F194" s="34" t="n">
        <v>41414</v>
      </c>
      <c r="G194" s="34" t="n">
        <v>41456</v>
      </c>
      <c r="H194" s="35" t="n">
        <f aca="false">INT(($H$326-G194)/30)</f>
        <v>30</v>
      </c>
      <c r="I194" s="36" t="n">
        <f aca="false">H194*1000</f>
        <v>30000</v>
      </c>
      <c r="J194" s="35" t="n">
        <v>29000</v>
      </c>
      <c r="K194" s="35" t="n">
        <v>1000</v>
      </c>
      <c r="L194" s="66" t="n">
        <f aca="false">I194-J194-K194</f>
        <v>0</v>
      </c>
      <c r="M194" s="85" t="n">
        <f aca="false">SUM('план на 2016'!$L195:M195)-SUM('членские взносы'!$M195:M195)</f>
        <v>-2400</v>
      </c>
      <c r="N194" s="85" t="n">
        <f aca="false">SUM('план на 2016'!$L195:N195)-SUM('членские взносы'!$M195:N195)</f>
        <v>-2400</v>
      </c>
      <c r="O194" s="85" t="n">
        <f aca="false">SUM('план на 2016'!$L195:O195)-SUM('членские взносы'!$M195:O195)</f>
        <v>-4800</v>
      </c>
      <c r="P194" s="85" t="n">
        <f aca="false">SUM('план на 2016'!$L195:P195)-SUM('членские взносы'!$M195:P195)</f>
        <v>-4800</v>
      </c>
      <c r="Q194" s="85" t="n">
        <f aca="false">SUM('план на 2016'!$L195:Q195)-SUM('членские взносы'!$M195:Q195)</f>
        <v>-4800</v>
      </c>
      <c r="R194" s="85" t="n">
        <f aca="false">SUM('план на 2016'!$L195:R195)-SUM('членские взносы'!$M195:R195)</f>
        <v>-7200</v>
      </c>
      <c r="S194" s="85" t="n">
        <f aca="false">SUM('план на 2016'!$L195:S195)-SUM('членские взносы'!$M195:S195)</f>
        <v>-7200</v>
      </c>
      <c r="T194" s="85" t="n">
        <f aca="false">SUM('план на 2016'!$L195:T195)-SUM('членские взносы'!$M195:T195)</f>
        <v>-7200</v>
      </c>
      <c r="U194" s="85" t="n">
        <f aca="false">SUM('план на 2016'!$L195:U195)-SUM('членские взносы'!$M195:U195)</f>
        <v>-7200</v>
      </c>
      <c r="V194" s="85" t="n">
        <f aca="false">SUM('план на 2016'!$L195:V195)-SUM('членские взносы'!$M195:V195)</f>
        <v>-9600</v>
      </c>
      <c r="W194" s="85" t="n">
        <f aca="false">SUM('план на 2016'!$L195:W195)-SUM('членские взносы'!$M195:W195)</f>
        <v>-9600</v>
      </c>
      <c r="X194" s="85" t="n">
        <f aca="false">SUM('план на 2016'!$L195:X195)-SUM('членские взносы'!$M195:X195)</f>
        <v>-12000</v>
      </c>
      <c r="Y194" s="59" t="n">
        <f aca="false">X194</f>
        <v>-12000</v>
      </c>
    </row>
    <row collapsed="false" customFormat="false" customHeight="false" hidden="false" ht="15" outlineLevel="0" r="195">
      <c r="A195" s="19" t="n">
        <f aca="false">VLOOKUP(B195,справочник!$B$2:$E$322,4,0)</f>
        <v>170</v>
      </c>
      <c r="B195" s="0" t="e">
        <f aca="false">CONCATENATE(C195;D195)</f>
        <v>#VALUE!</v>
      </c>
      <c r="C195" s="24" t="n">
        <v>179</v>
      </c>
      <c r="D195" s="29" t="s">
        <v>312</v>
      </c>
      <c r="E195" s="36" t="s">
        <v>553</v>
      </c>
      <c r="F195" s="34" t="n">
        <v>41414</v>
      </c>
      <c r="G195" s="34" t="n">
        <v>41456</v>
      </c>
      <c r="H195" s="35" t="n">
        <f aca="false">INT(($H$326-G195)/30)</f>
        <v>30</v>
      </c>
      <c r="I195" s="36" t="n">
        <f aca="false">H195*1000</f>
        <v>30000</v>
      </c>
      <c r="J195" s="35" t="n">
        <v>29000</v>
      </c>
      <c r="K195" s="35" t="n">
        <v>1000</v>
      </c>
      <c r="L195" s="66" t="n">
        <f aca="false">I195-J195-K195</f>
        <v>0</v>
      </c>
      <c r="M195" s="85" t="n">
        <f aca="false">SUM('план на 2016'!$L196:M196)-SUM('членские взносы'!$M196:M196)</f>
        <v>800</v>
      </c>
      <c r="N195" s="85" t="n">
        <f aca="false">SUM('план на 2016'!$L196:N196)-SUM('членские взносы'!$M196:N196)</f>
        <v>1600</v>
      </c>
      <c r="O195" s="85" t="n">
        <f aca="false">SUM('план на 2016'!$L196:O196)-SUM('членские взносы'!$M196:O196)</f>
        <v>2400</v>
      </c>
      <c r="P195" s="85" t="n">
        <f aca="false">SUM('план на 2016'!$L196:P196)-SUM('членские взносы'!$M196:P196)</f>
        <v>3200</v>
      </c>
      <c r="Q195" s="85" t="n">
        <f aca="false">SUM('план на 2016'!$L196:Q196)-SUM('членские взносы'!$M196:Q196)</f>
        <v>4000</v>
      </c>
      <c r="R195" s="85" t="n">
        <f aca="false">SUM('план на 2016'!$L196:R196)-SUM('членские взносы'!$M196:R196)</f>
        <v>4800</v>
      </c>
      <c r="S195" s="85" t="n">
        <f aca="false">SUM('план на 2016'!$L196:S196)-SUM('членские взносы'!$M196:S196)</f>
        <v>5600</v>
      </c>
      <c r="T195" s="85" t="n">
        <f aca="false">SUM('план на 2016'!$L196:T196)-SUM('членские взносы'!$M196:T196)</f>
        <v>6400</v>
      </c>
      <c r="U195" s="85" t="n">
        <f aca="false">SUM('план на 2016'!$L196:U196)-SUM('членские взносы'!$M196:U196)</f>
        <v>7200</v>
      </c>
      <c r="V195" s="85" t="n">
        <f aca="false">SUM('план на 2016'!$L196:V196)-SUM('членские взносы'!$M196:V196)</f>
        <v>8000</v>
      </c>
      <c r="W195" s="85" t="n">
        <f aca="false">SUM('план на 2016'!$L196:W196)-SUM('членские взносы'!$M196:W196)</f>
        <v>8800</v>
      </c>
      <c r="X195" s="85" t="n">
        <f aca="false">SUM('план на 2016'!$L196:X196)-SUM('членские взносы'!$M196:X196)</f>
        <v>9600</v>
      </c>
      <c r="Y195" s="59" t="n">
        <f aca="false">X195</f>
        <v>9600</v>
      </c>
    </row>
    <row collapsed="false" customFormat="false" customHeight="false" hidden="false" ht="15" outlineLevel="0" r="196">
      <c r="A196" s="19" t="n">
        <f aca="false">VLOOKUP(B196,справочник!$B$2:$E$322,4,0)</f>
        <v>290</v>
      </c>
      <c r="B196" s="0" t="e">
        <f aca="false">CONCATENATE(C196;D196)</f>
        <v>#VALUE!</v>
      </c>
      <c r="C196" s="24" t="n">
        <v>303</v>
      </c>
      <c r="D196" s="29" t="s">
        <v>293</v>
      </c>
      <c r="E196" s="24" t="s">
        <v>554</v>
      </c>
      <c r="F196" s="30" t="n">
        <v>40959</v>
      </c>
      <c r="G196" s="30" t="n">
        <v>40940</v>
      </c>
      <c r="H196" s="31" t="n">
        <f aca="false">INT(($H$326-G196)/30)</f>
        <v>47</v>
      </c>
      <c r="I196" s="24" t="n">
        <f aca="false">H196*1000</f>
        <v>47000</v>
      </c>
      <c r="J196" s="31" t="n">
        <v>42000</v>
      </c>
      <c r="K196" s="31" t="n">
        <v>5000</v>
      </c>
      <c r="L196" s="59" t="n">
        <f aca="false">I196-J196-K196</f>
        <v>0</v>
      </c>
      <c r="M196" s="85" t="n">
        <f aca="false">SUM('план на 2016'!$L197:M197)-SUM('членские взносы'!$M197:M197)</f>
        <v>800</v>
      </c>
      <c r="N196" s="85" t="n">
        <f aca="false">SUM('план на 2016'!$L197:N197)-SUM('членские взносы'!$M197:N197)</f>
        <v>1600</v>
      </c>
      <c r="O196" s="85" t="n">
        <f aca="false">SUM('план на 2016'!$L197:O197)-SUM('членские взносы'!$M197:O197)</f>
        <v>2400</v>
      </c>
      <c r="P196" s="85" t="n">
        <f aca="false">SUM('план на 2016'!$L197:P197)-SUM('членские взносы'!$M197:P197)</f>
        <v>3200</v>
      </c>
      <c r="Q196" s="85" t="n">
        <f aca="false">SUM('план на 2016'!$L197:Q197)-SUM('членские взносы'!$M197:Q197)</f>
        <v>-1000</v>
      </c>
      <c r="R196" s="85" t="n">
        <f aca="false">SUM('план на 2016'!$L197:R197)-SUM('членские взносы'!$M197:R197)</f>
        <v>-200</v>
      </c>
      <c r="S196" s="85" t="n">
        <f aca="false">SUM('план на 2016'!$L197:S197)-SUM('членские взносы'!$M197:S197)</f>
        <v>600</v>
      </c>
      <c r="T196" s="85" t="n">
        <f aca="false">SUM('план на 2016'!$L197:T197)-SUM('членские взносы'!$M197:T197)</f>
        <v>1400</v>
      </c>
      <c r="U196" s="85" t="n">
        <f aca="false">SUM('план на 2016'!$L197:U197)-SUM('членские взносы'!$M197:U197)</f>
        <v>-2800</v>
      </c>
      <c r="V196" s="85" t="n">
        <f aca="false">SUM('план на 2016'!$L197:V197)-SUM('членские взносы'!$M197:V197)</f>
        <v>-2000</v>
      </c>
      <c r="W196" s="85" t="n">
        <f aca="false">SUM('план на 2016'!$L197:W197)-SUM('членские взносы'!$M197:W197)</f>
        <v>-1200</v>
      </c>
      <c r="X196" s="85" t="n">
        <f aca="false">SUM('план на 2016'!$L197:X197)-SUM('членские взносы'!$M197:X197)</f>
        <v>-400</v>
      </c>
      <c r="Y196" s="59" t="n">
        <f aca="false">X196</f>
        <v>-400</v>
      </c>
    </row>
    <row collapsed="false" customFormat="false" customHeight="false" hidden="false" ht="15" outlineLevel="0" r="197">
      <c r="A197" s="19" t="n">
        <f aca="false">VLOOKUP(B197,справочник!$B$2:$E$322,4,0)</f>
        <v>81</v>
      </c>
      <c r="B197" s="0" t="e">
        <f aca="false">CONCATENATE(C197;D197)</f>
        <v>#VALUE!</v>
      </c>
      <c r="C197" s="24" t="n">
        <v>86</v>
      </c>
      <c r="D197" s="29" t="s">
        <v>42</v>
      </c>
      <c r="E197" s="24" t="s">
        <v>555</v>
      </c>
      <c r="F197" s="30" t="n">
        <v>40949</v>
      </c>
      <c r="G197" s="30" t="n">
        <v>40940</v>
      </c>
      <c r="H197" s="31" t="n">
        <f aca="false">INT(($H$326-G197)/30)</f>
        <v>47</v>
      </c>
      <c r="I197" s="24" t="n">
        <f aca="false">H197*1000</f>
        <v>47000</v>
      </c>
      <c r="J197" s="31" t="n">
        <v>44000</v>
      </c>
      <c r="K197" s="31" t="n">
        <v>3000</v>
      </c>
      <c r="L197" s="59" t="n">
        <f aca="false">I197-J197-K197</f>
        <v>0</v>
      </c>
      <c r="M197" s="85" t="n">
        <f aca="false">SUM('план на 2016'!$L198:M198)-SUM('членские взносы'!$M198:M198)</f>
        <v>800</v>
      </c>
      <c r="N197" s="85" t="n">
        <f aca="false">SUM('план на 2016'!$L198:N198)-SUM('членские взносы'!$M198:N198)</f>
        <v>1600</v>
      </c>
      <c r="O197" s="85" t="n">
        <f aca="false">SUM('план на 2016'!$L198:O198)-SUM('членские взносы'!$M198:O198)</f>
        <v>-800</v>
      </c>
      <c r="P197" s="85" t="n">
        <f aca="false">SUM('план на 2016'!$L198:P198)-SUM('членские взносы'!$M198:P198)</f>
        <v>0</v>
      </c>
      <c r="Q197" s="85" t="n">
        <f aca="false">SUM('план на 2016'!$L198:Q198)-SUM('членские взносы'!$M198:Q198)</f>
        <v>800</v>
      </c>
      <c r="R197" s="85" t="n">
        <f aca="false">SUM('план на 2016'!$L198:R198)-SUM('членские взносы'!$M198:R198)</f>
        <v>1600</v>
      </c>
      <c r="S197" s="85" t="n">
        <f aca="false">SUM('план на 2016'!$L198:S198)-SUM('членские взносы'!$M198:S198)</f>
        <v>2400</v>
      </c>
      <c r="T197" s="85" t="n">
        <f aca="false">SUM('план на 2016'!$L198:T198)-SUM('членские взносы'!$M198:T198)</f>
        <v>0</v>
      </c>
      <c r="U197" s="85" t="n">
        <f aca="false">SUM('план на 2016'!$L198:U198)-SUM('членские взносы'!$M198:U198)</f>
        <v>800</v>
      </c>
      <c r="V197" s="85" t="n">
        <f aca="false">SUM('план на 2016'!$L198:V198)-SUM('членские взносы'!$M198:V198)</f>
        <v>1600</v>
      </c>
      <c r="W197" s="85" t="n">
        <f aca="false">SUM('план на 2016'!$L198:W198)-SUM('членские взносы'!$M198:W198)</f>
        <v>2400</v>
      </c>
      <c r="X197" s="85" t="n">
        <f aca="false">SUM('план на 2016'!$L198:X198)-SUM('членские взносы'!$M198:X198)</f>
        <v>0</v>
      </c>
      <c r="Y197" s="59" t="n">
        <f aca="false">X197</f>
        <v>0</v>
      </c>
    </row>
    <row collapsed="false" customFormat="false" customHeight="false" hidden="false" ht="15" outlineLevel="0" r="198">
      <c r="A198" s="19" t="n">
        <f aca="false">VLOOKUP(B198,справочник!$B$2:$E$322,4,0)</f>
        <v>31</v>
      </c>
      <c r="B198" s="0" t="e">
        <f aca="false">CONCATENATE(C198;D198)</f>
        <v>#VALUE!</v>
      </c>
      <c r="C198" s="24" t="n">
        <v>31</v>
      </c>
      <c r="D198" s="29" t="s">
        <v>291</v>
      </c>
      <c r="E198" s="24" t="s">
        <v>556</v>
      </c>
      <c r="F198" s="30" t="n">
        <v>40786</v>
      </c>
      <c r="G198" s="30" t="n">
        <v>40787</v>
      </c>
      <c r="H198" s="31" t="n">
        <f aca="false">INT(($H$326-G198)/30)</f>
        <v>52</v>
      </c>
      <c r="I198" s="24" t="n">
        <f aca="false">H198*1000</f>
        <v>52000</v>
      </c>
      <c r="J198" s="31" t="n">
        <f aca="false">10000+42000</f>
        <v>52000</v>
      </c>
      <c r="K198" s="31"/>
      <c r="L198" s="59" t="n">
        <f aca="false">I198-J198-K198</f>
        <v>0</v>
      </c>
      <c r="M198" s="85" t="n">
        <f aca="false">SUM('план на 2016'!$L199:M199)-SUM('членские взносы'!$M199:M199)</f>
        <v>800</v>
      </c>
      <c r="N198" s="85" t="n">
        <f aca="false">SUM('план на 2016'!$L199:N199)-SUM('членские взносы'!$M199:N199)</f>
        <v>1600</v>
      </c>
      <c r="O198" s="85" t="n">
        <f aca="false">SUM('план на 2016'!$L199:O199)-SUM('членские взносы'!$M199:O199)</f>
        <v>2400</v>
      </c>
      <c r="P198" s="85" t="n">
        <f aca="false">SUM('план на 2016'!$L199:P199)-SUM('членские взносы'!$M199:P199)</f>
        <v>800</v>
      </c>
      <c r="Q198" s="85" t="n">
        <f aca="false">SUM('план на 2016'!$L199:Q199)-SUM('членские взносы'!$M199:Q199)</f>
        <v>-800</v>
      </c>
      <c r="R198" s="85" t="n">
        <f aca="false">SUM('план на 2016'!$L199:R199)-SUM('членские взносы'!$M199:R199)</f>
        <v>0</v>
      </c>
      <c r="S198" s="85" t="n">
        <f aca="false">SUM('план на 2016'!$L199:S199)-SUM('членские взносы'!$M199:S199)</f>
        <v>800</v>
      </c>
      <c r="T198" s="85" t="n">
        <f aca="false">SUM('план на 2016'!$L199:T199)-SUM('членские взносы'!$M199:T199)</f>
        <v>-3200</v>
      </c>
      <c r="U198" s="85" t="n">
        <f aca="false">SUM('план на 2016'!$L199:U199)-SUM('членские взносы'!$M199:U199)</f>
        <v>-2400</v>
      </c>
      <c r="V198" s="85" t="n">
        <f aca="false">SUM('план на 2016'!$L199:V199)-SUM('членские взносы'!$M199:V199)</f>
        <v>-1600</v>
      </c>
      <c r="W198" s="85" t="n">
        <f aca="false">SUM('план на 2016'!$L199:W199)-SUM('членские взносы'!$M199:W199)</f>
        <v>-800</v>
      </c>
      <c r="X198" s="85" t="n">
        <f aca="false">SUM('план на 2016'!$L199:X199)-SUM('членские взносы'!$M199:X199)</f>
        <v>0</v>
      </c>
      <c r="Y198" s="59" t="n">
        <f aca="false">X198</f>
        <v>0</v>
      </c>
    </row>
    <row collapsed="false" customFormat="false" customHeight="false" hidden="false" ht="15" outlineLevel="0" r="199">
      <c r="A199" s="19" t="n">
        <f aca="false">VLOOKUP(B199,справочник!$B$2:$E$322,4,0)</f>
        <v>104</v>
      </c>
      <c r="B199" s="0" t="e">
        <f aca="false">CONCATENATE(C199;D199)</f>
        <v>#VALUE!</v>
      </c>
      <c r="C199" s="24" t="n">
        <v>109</v>
      </c>
      <c r="D199" s="29" t="s">
        <v>187</v>
      </c>
      <c r="E199" s="24" t="s">
        <v>557</v>
      </c>
      <c r="F199" s="30" t="n">
        <v>40893</v>
      </c>
      <c r="G199" s="30" t="n">
        <v>40878</v>
      </c>
      <c r="H199" s="31" t="n">
        <f aca="false">INT(($H$326-G199)/30)</f>
        <v>49</v>
      </c>
      <c r="I199" s="24" t="n">
        <f aca="false">H199*1000</f>
        <v>49000</v>
      </c>
      <c r="J199" s="31" t="n">
        <f aca="false">1000+45000</f>
        <v>46000</v>
      </c>
      <c r="K199" s="31"/>
      <c r="L199" s="59" t="n">
        <f aca="false">I199-J199-K199</f>
        <v>3000</v>
      </c>
      <c r="M199" s="85" t="n">
        <f aca="false">SUM('план на 2016'!$L200:M200)-SUM('членские взносы'!$M200:M200)</f>
        <v>3800</v>
      </c>
      <c r="N199" s="85" t="n">
        <f aca="false">SUM('план на 2016'!$L200:N200)-SUM('членские взносы'!$M200:N200)</f>
        <v>4600</v>
      </c>
      <c r="O199" s="85" t="n">
        <f aca="false">SUM('план на 2016'!$L200:O200)-SUM('членские взносы'!$M200:O200)</f>
        <v>5400</v>
      </c>
      <c r="P199" s="85" t="n">
        <f aca="false">SUM('план на 2016'!$L200:P200)-SUM('членские взносы'!$M200:P200)</f>
        <v>6200</v>
      </c>
      <c r="Q199" s="85" t="n">
        <f aca="false">SUM('план на 2016'!$L200:Q200)-SUM('членские взносы'!$M200:Q200)</f>
        <v>7000</v>
      </c>
      <c r="R199" s="85" t="n">
        <f aca="false">SUM('план на 2016'!$L200:R200)-SUM('членские взносы'!$M200:R200)</f>
        <v>7800</v>
      </c>
      <c r="S199" s="85" t="n">
        <f aca="false">SUM('план на 2016'!$L200:S200)-SUM('членские взносы'!$M200:S200)</f>
        <v>8600</v>
      </c>
      <c r="T199" s="85" t="n">
        <f aca="false">SUM('план на 2016'!$L200:T200)-SUM('членские взносы'!$M200:T200)</f>
        <v>9400</v>
      </c>
      <c r="U199" s="85" t="n">
        <f aca="false">SUM('план на 2016'!$L200:U200)-SUM('членские взносы'!$M200:U200)</f>
        <v>10200</v>
      </c>
      <c r="V199" s="85" t="n">
        <f aca="false">SUM('план на 2016'!$L200:V200)-SUM('членские взносы'!$M200:V200)</f>
        <v>11000</v>
      </c>
      <c r="W199" s="85" t="n">
        <f aca="false">SUM('план на 2016'!$L200:W200)-SUM('членские взносы'!$M200:W200)</f>
        <v>11800</v>
      </c>
      <c r="X199" s="85" t="n">
        <f aca="false">SUM('план на 2016'!$L200:X200)-SUM('членские взносы'!$M200:X200)</f>
        <v>12600</v>
      </c>
      <c r="Y199" s="59" t="n">
        <f aca="false">X199</f>
        <v>12600</v>
      </c>
    </row>
    <row collapsed="false" customFormat="false" customHeight="true" hidden="false" ht="25.5" outlineLevel="0" r="200">
      <c r="A200" s="19" t="n">
        <f aca="false">VLOOKUP(B200,справочник!$B$2:$E$322,4,0)</f>
        <v>85</v>
      </c>
      <c r="B200" s="0" t="e">
        <f aca="false">CONCATENATE(C200;D200)</f>
        <v>#VALUE!</v>
      </c>
      <c r="C200" s="24" t="n">
        <v>90</v>
      </c>
      <c r="D200" s="29" t="s">
        <v>287</v>
      </c>
      <c r="E200" s="24" t="s">
        <v>558</v>
      </c>
      <c r="F200" s="30" t="n">
        <v>40695</v>
      </c>
      <c r="G200" s="30" t="n">
        <v>40725</v>
      </c>
      <c r="H200" s="31" t="n">
        <f aca="false">INT(($H$326-G200)/30)</f>
        <v>54</v>
      </c>
      <c r="I200" s="24" t="n">
        <f aca="false">H200*1000</f>
        <v>54000</v>
      </c>
      <c r="J200" s="31" t="n">
        <f aca="false">1000+53000</f>
        <v>54000</v>
      </c>
      <c r="K200" s="31"/>
      <c r="L200" s="59" t="n">
        <f aca="false">I200-J200-K200</f>
        <v>0</v>
      </c>
      <c r="M200" s="85" t="n">
        <f aca="false">SUM('план на 2016'!$L201:M201)-SUM('членские взносы'!$M201:M201)</f>
        <v>800</v>
      </c>
      <c r="N200" s="85" t="n">
        <f aca="false">SUM('план на 2016'!$L201:N201)-SUM('членские взносы'!$M201:N201)</f>
        <v>1600</v>
      </c>
      <c r="O200" s="85" t="n">
        <f aca="false">SUM('план на 2016'!$L201:O201)-SUM('членские взносы'!$M201:O201)</f>
        <v>2400</v>
      </c>
      <c r="P200" s="85" t="n">
        <f aca="false">SUM('план на 2016'!$L201:P201)-SUM('членские взносы'!$M201:P201)</f>
        <v>-1600</v>
      </c>
      <c r="Q200" s="85" t="n">
        <f aca="false">SUM('план на 2016'!$L201:Q201)-SUM('членские взносы'!$M201:Q201)</f>
        <v>-800</v>
      </c>
      <c r="R200" s="85" t="n">
        <f aca="false">SUM('план на 2016'!$L201:R201)-SUM('членские взносы'!$M201:R201)</f>
        <v>0</v>
      </c>
      <c r="S200" s="85" t="n">
        <f aca="false">SUM('план на 2016'!$L201:S201)-SUM('членские взносы'!$M201:S201)</f>
        <v>800</v>
      </c>
      <c r="T200" s="85" t="n">
        <f aca="false">SUM('план на 2016'!$L201:T201)-SUM('членские взносы'!$M201:T201)</f>
        <v>1600</v>
      </c>
      <c r="U200" s="85" t="n">
        <f aca="false">SUM('план на 2016'!$L201:U201)-SUM('членские взносы'!$M201:U201)</f>
        <v>2400</v>
      </c>
      <c r="V200" s="85" t="n">
        <f aca="false">SUM('план на 2016'!$L201:V201)-SUM('членские взносы'!$M201:V201)</f>
        <v>3200</v>
      </c>
      <c r="W200" s="85" t="n">
        <f aca="false">SUM('план на 2016'!$L201:W201)-SUM('членские взносы'!$M201:W201)</f>
        <v>4000</v>
      </c>
      <c r="X200" s="85" t="n">
        <f aca="false">SUM('план на 2016'!$L201:X201)-SUM('членские взносы'!$M201:X201)</f>
        <v>4800</v>
      </c>
      <c r="Y200" s="59" t="n">
        <f aca="false">X200</f>
        <v>4800</v>
      </c>
    </row>
    <row collapsed="false" customFormat="false" customHeight="true" hidden="false" ht="25.5" outlineLevel="0" r="201">
      <c r="A201" s="19" t="n">
        <f aca="false">VLOOKUP(B201,справочник!$B$2:$E$322,4,0)</f>
        <v>300</v>
      </c>
      <c r="B201" s="0" t="e">
        <f aca="false">CONCATENATE(C201;D201)</f>
        <v>#VALUE!</v>
      </c>
      <c r="C201" s="24" t="n">
        <v>315</v>
      </c>
      <c r="D201" s="29" t="s">
        <v>143</v>
      </c>
      <c r="E201" s="24" t="s">
        <v>559</v>
      </c>
      <c r="F201" s="30" t="n">
        <v>41999</v>
      </c>
      <c r="G201" s="30" t="n">
        <v>42005</v>
      </c>
      <c r="H201" s="31" t="n">
        <f aca="false">INT(($H$326-G201)/30)</f>
        <v>12</v>
      </c>
      <c r="I201" s="24" t="n">
        <f aca="false">H201*1000</f>
        <v>12000</v>
      </c>
      <c r="J201" s="31" t="n">
        <v>1000</v>
      </c>
      <c r="K201" s="31"/>
      <c r="L201" s="59" t="n">
        <f aca="false">I201-J201-K201</f>
        <v>11000</v>
      </c>
      <c r="M201" s="85" t="n">
        <f aca="false">SUM('план на 2016'!$L202:M202)-SUM('членские взносы'!$M202:M202)</f>
        <v>11800</v>
      </c>
      <c r="N201" s="85" t="n">
        <f aca="false">SUM('план на 2016'!$L202:N202)-SUM('членские взносы'!$M202:N202)</f>
        <v>12600</v>
      </c>
      <c r="O201" s="85" t="n">
        <f aca="false">SUM('план на 2016'!$L202:O202)-SUM('членские взносы'!$M202:O202)</f>
        <v>13400</v>
      </c>
      <c r="P201" s="85" t="n">
        <f aca="false">SUM('план на 2016'!$L202:P202)-SUM('членские взносы'!$M202:P202)</f>
        <v>14200</v>
      </c>
      <c r="Q201" s="85" t="n">
        <f aca="false">SUM('план на 2016'!$L202:Q202)-SUM('членские взносы'!$M202:Q202)</f>
        <v>15000</v>
      </c>
      <c r="R201" s="85" t="n">
        <f aca="false">SUM('план на 2016'!$L202:R202)-SUM('членские взносы'!$M202:R202)</f>
        <v>15800</v>
      </c>
      <c r="S201" s="85" t="n">
        <f aca="false">SUM('план на 2016'!$L202:S202)-SUM('членские взносы'!$M202:S202)</f>
        <v>16600</v>
      </c>
      <c r="T201" s="85" t="n">
        <f aca="false">SUM('план на 2016'!$L202:T202)-SUM('членские взносы'!$M202:T202)</f>
        <v>17400</v>
      </c>
      <c r="U201" s="85" t="n">
        <f aca="false">SUM('план на 2016'!$L202:U202)-SUM('членские взносы'!$M202:U202)</f>
        <v>18200</v>
      </c>
      <c r="V201" s="85" t="n">
        <f aca="false">SUM('план на 2016'!$L202:V202)-SUM('членские взносы'!$M202:V202)</f>
        <v>19000</v>
      </c>
      <c r="W201" s="85" t="n">
        <f aca="false">SUM('план на 2016'!$L202:W202)-SUM('членские взносы'!$M202:W202)</f>
        <v>19800</v>
      </c>
      <c r="X201" s="85" t="n">
        <f aca="false">SUM('план на 2016'!$L202:X202)-SUM('членские взносы'!$M202:X202)</f>
        <v>20600</v>
      </c>
      <c r="Y201" s="59" t="n">
        <f aca="false">X201</f>
        <v>20600</v>
      </c>
    </row>
    <row collapsed="false" customFormat="false" customHeight="false" hidden="false" ht="25.5" outlineLevel="0" r="202">
      <c r="A202" s="19" t="n">
        <f aca="false">VLOOKUP(B202,справочник!$B$2:$E$322,4,0)</f>
        <v>47</v>
      </c>
      <c r="B202" s="0" t="e">
        <f aca="false">CONCATENATE(C202;D202)</f>
        <v>#VALUE!</v>
      </c>
      <c r="C202" s="24" t="n">
        <v>47</v>
      </c>
      <c r="D202" s="29" t="s">
        <v>81</v>
      </c>
      <c r="E202" s="24" t="s">
        <v>560</v>
      </c>
      <c r="F202" s="30" t="n">
        <v>41375</v>
      </c>
      <c r="G202" s="30" t="n">
        <v>41395</v>
      </c>
      <c r="H202" s="31" t="n">
        <f aca="false">INT(($H$326-G202)/30)</f>
        <v>32</v>
      </c>
      <c r="I202" s="24" t="n">
        <f aca="false">H202*1000</f>
        <v>32000</v>
      </c>
      <c r="J202" s="31" t="n">
        <v>9000</v>
      </c>
      <c r="K202" s="31"/>
      <c r="L202" s="59" t="n">
        <f aca="false">I202-J202-K202</f>
        <v>23000</v>
      </c>
      <c r="M202" s="85" t="n">
        <f aca="false">SUM('план на 2016'!$L203:M203)-SUM('членские взносы'!$M203:M203)</f>
        <v>23800</v>
      </c>
      <c r="N202" s="85" t="n">
        <f aca="false">SUM('план на 2016'!$L203:N203)-SUM('членские взносы'!$M203:N203)</f>
        <v>24600</v>
      </c>
      <c r="O202" s="85" t="n">
        <f aca="false">SUM('план на 2016'!$L203:O203)-SUM('членские взносы'!$M203:O203)</f>
        <v>25400</v>
      </c>
      <c r="P202" s="85" t="n">
        <f aca="false">SUM('план на 2016'!$L203:P203)-SUM('членские взносы'!$M203:P203)</f>
        <v>26200</v>
      </c>
      <c r="Q202" s="85" t="n">
        <f aca="false">SUM('план на 2016'!$L203:Q203)-SUM('членские взносы'!$M203:Q203)</f>
        <v>27000</v>
      </c>
      <c r="R202" s="85" t="n">
        <f aca="false">SUM('план на 2016'!$L203:R203)-SUM('членские взносы'!$M203:R203)</f>
        <v>27800</v>
      </c>
      <c r="S202" s="85" t="n">
        <f aca="false">SUM('план на 2016'!$L203:S203)-SUM('членские взносы'!$M203:S203)</f>
        <v>28600</v>
      </c>
      <c r="T202" s="85" t="n">
        <f aca="false">SUM('план на 2016'!$L203:T203)-SUM('членские взносы'!$M203:T203)</f>
        <v>29400</v>
      </c>
      <c r="U202" s="85" t="n">
        <f aca="false">SUM('план на 2016'!$L203:U203)-SUM('членские взносы'!$M203:U203)</f>
        <v>30200</v>
      </c>
      <c r="V202" s="85" t="n">
        <f aca="false">SUM('план на 2016'!$L203:V203)-SUM('членские взносы'!$M203:V203)</f>
        <v>31000</v>
      </c>
      <c r="W202" s="85" t="n">
        <f aca="false">SUM('план на 2016'!$L203:W203)-SUM('членские взносы'!$M203:W203)</f>
        <v>31800</v>
      </c>
      <c r="X202" s="85" t="n">
        <f aca="false">SUM('план на 2016'!$L203:X203)-SUM('членские взносы'!$M203:X203)</f>
        <v>32600</v>
      </c>
      <c r="Y202" s="59" t="n">
        <f aca="false">X202</f>
        <v>32600</v>
      </c>
    </row>
    <row collapsed="false" customFormat="false" customHeight="false" hidden="false" ht="15" outlineLevel="0" r="203">
      <c r="A203" s="19" t="n">
        <f aca="false">VLOOKUP(B203,справочник!$B$2:$E$322,4,0)</f>
        <v>282</v>
      </c>
      <c r="B203" s="0" t="e">
        <f aca="false">CONCATENATE(C203;D203)</f>
        <v>#VALUE!</v>
      </c>
      <c r="C203" s="24" t="n">
        <v>294</v>
      </c>
      <c r="D203" s="29" t="s">
        <v>181</v>
      </c>
      <c r="E203" s="40" t="s">
        <v>531</v>
      </c>
      <c r="F203" s="41" t="n">
        <v>41716</v>
      </c>
      <c r="G203" s="41" t="n">
        <v>41730</v>
      </c>
      <c r="H203" s="31" t="n">
        <f aca="false">INT(($H$326-G203)/30)</f>
        <v>21</v>
      </c>
      <c r="I203" s="24" t="n">
        <f aca="false">H203*1000</f>
        <v>21000</v>
      </c>
      <c r="J203" s="31" t="n">
        <v>18000</v>
      </c>
      <c r="K203" s="31"/>
      <c r="L203" s="59" t="n">
        <f aca="false">I203-J203-K203</f>
        <v>3000</v>
      </c>
      <c r="M203" s="85" t="n">
        <f aca="false">SUM('план на 2016'!$L204:M204)-SUM('членские взносы'!$M204:M204)</f>
        <v>3800</v>
      </c>
      <c r="N203" s="85" t="n">
        <f aca="false">SUM('план на 2016'!$L204:N204)-SUM('членские взносы'!$M204:N204)</f>
        <v>4600</v>
      </c>
      <c r="O203" s="85" t="n">
        <f aca="false">SUM('план на 2016'!$L204:O204)-SUM('членские взносы'!$M204:O204)</f>
        <v>5400</v>
      </c>
      <c r="P203" s="85" t="n">
        <f aca="false">SUM('план на 2016'!$L204:P204)-SUM('членские взносы'!$M204:P204)</f>
        <v>6200</v>
      </c>
      <c r="Q203" s="85" t="n">
        <f aca="false">SUM('план на 2016'!$L204:Q204)-SUM('членские взносы'!$M204:Q204)</f>
        <v>7000</v>
      </c>
      <c r="R203" s="85" t="n">
        <f aca="false">SUM('план на 2016'!$L204:R204)-SUM('членские взносы'!$M204:R204)</f>
        <v>7800</v>
      </c>
      <c r="S203" s="85" t="n">
        <f aca="false">SUM('план на 2016'!$L204:S204)-SUM('членские взносы'!$M204:S204)</f>
        <v>8600</v>
      </c>
      <c r="T203" s="85" t="n">
        <f aca="false">SUM('план на 2016'!$L204:T204)-SUM('членские взносы'!$M204:T204)</f>
        <v>9400</v>
      </c>
      <c r="U203" s="85" t="n">
        <f aca="false">SUM('план на 2016'!$L204:U204)-SUM('членские взносы'!$M204:U204)</f>
        <v>10200</v>
      </c>
      <c r="V203" s="85" t="n">
        <f aca="false">SUM('план на 2016'!$L204:V204)-SUM('членские взносы'!$M204:V204)</f>
        <v>11000</v>
      </c>
      <c r="W203" s="85" t="n">
        <f aca="false">SUM('план на 2016'!$L204:W204)-SUM('членские взносы'!$M204:W204)</f>
        <v>11800</v>
      </c>
      <c r="X203" s="85" t="n">
        <f aca="false">SUM('план на 2016'!$L204:X204)-SUM('членские взносы'!$M204:X204)</f>
        <v>12600</v>
      </c>
      <c r="Y203" s="59" t="n">
        <f aca="false">X203</f>
        <v>12600</v>
      </c>
    </row>
    <row collapsed="false" customFormat="false" customHeight="true" hidden="false" ht="25.5" outlineLevel="0" r="204">
      <c r="A204" s="19" t="n">
        <f aca="false">VLOOKUP(B204,справочник!$B$2:$E$322,4,0)</f>
        <v>204</v>
      </c>
      <c r="B204" s="0" t="e">
        <f aca="false">CONCATENATE(C204;D204)</f>
        <v>#VALUE!</v>
      </c>
      <c r="C204" s="24" t="n">
        <v>214</v>
      </c>
      <c r="D204" s="29" t="s">
        <v>211</v>
      </c>
      <c r="E204" s="24" t="s">
        <v>561</v>
      </c>
      <c r="F204" s="24"/>
      <c r="G204" s="24"/>
      <c r="H204" s="31"/>
      <c r="I204" s="24" t="n">
        <f aca="false">H204*1000</f>
        <v>0</v>
      </c>
      <c r="J204" s="31"/>
      <c r="K204" s="31"/>
      <c r="L204" s="59" t="n">
        <f aca="false">I204-J204-K204</f>
        <v>0</v>
      </c>
      <c r="M204" s="85" t="n">
        <f aca="false">SUM('план на 2016'!$L205:M205)-SUM('членские взносы'!$M205:M205)</f>
        <v>800</v>
      </c>
      <c r="N204" s="85" t="n">
        <f aca="false">SUM('план на 2016'!$L205:N205)-SUM('членские взносы'!$M205:N205)</f>
        <v>1600</v>
      </c>
      <c r="O204" s="85" t="n">
        <f aca="false">SUM('план на 2016'!$L205:O205)-SUM('членские взносы'!$M205:O205)</f>
        <v>2400</v>
      </c>
      <c r="P204" s="85" t="n">
        <f aca="false">SUM('план на 2016'!$L205:P205)-SUM('членские взносы'!$M205:P205)</f>
        <v>3200</v>
      </c>
      <c r="Q204" s="85" t="n">
        <f aca="false">SUM('план на 2016'!$L205:Q205)-SUM('членские взносы'!$M205:Q205)</f>
        <v>4000</v>
      </c>
      <c r="R204" s="85" t="n">
        <f aca="false">SUM('план на 2016'!$L205:R205)-SUM('членские взносы'!$M205:R205)</f>
        <v>4800</v>
      </c>
      <c r="S204" s="85" t="n">
        <f aca="false">SUM('план на 2016'!$L205:S205)-SUM('членские взносы'!$M205:S205)</f>
        <v>5600</v>
      </c>
      <c r="T204" s="85" t="n">
        <f aca="false">SUM('план на 2016'!$L205:T205)-SUM('членские взносы'!$M205:T205)</f>
        <v>6400</v>
      </c>
      <c r="U204" s="85" t="n">
        <f aca="false">SUM('план на 2016'!$L205:U205)-SUM('членские взносы'!$M205:U205)</f>
        <v>7200</v>
      </c>
      <c r="V204" s="85" t="n">
        <f aca="false">SUM('план на 2016'!$L205:V205)-SUM('членские взносы'!$M205:V205)</f>
        <v>8000</v>
      </c>
      <c r="W204" s="85" t="n">
        <f aca="false">SUM('план на 2016'!$L205:W205)-SUM('членские взносы'!$M205:W205)</f>
        <v>8800</v>
      </c>
      <c r="X204" s="85" t="n">
        <f aca="false">SUM('план на 2016'!$L205:X205)-SUM('членские взносы'!$M205:X205)</f>
        <v>9600</v>
      </c>
      <c r="Y204" s="59" t="n">
        <f aca="false">X204</f>
        <v>9600</v>
      </c>
    </row>
    <row collapsed="false" customFormat="false" customHeight="false" hidden="false" ht="15" outlineLevel="0" r="205">
      <c r="A205" s="19" t="n">
        <f aca="false">VLOOKUP(B205,справочник!$B$2:$E$322,4,0)</f>
        <v>291</v>
      </c>
      <c r="B205" s="0" t="e">
        <f aca="false">CONCATENATE(C205;D205)</f>
        <v>#VALUE!</v>
      </c>
      <c r="C205" s="24" t="n">
        <v>304</v>
      </c>
      <c r="D205" s="29" t="s">
        <v>207</v>
      </c>
      <c r="E205" s="24" t="s">
        <v>562</v>
      </c>
      <c r="F205" s="24"/>
      <c r="G205" s="24"/>
      <c r="H205" s="31"/>
      <c r="I205" s="24" t="n">
        <f aca="false">H205*1000</f>
        <v>0</v>
      </c>
      <c r="J205" s="31"/>
      <c r="K205" s="31"/>
      <c r="L205" s="59" t="n">
        <f aca="false">I205-J205-K205</f>
        <v>0</v>
      </c>
      <c r="M205" s="85" t="n">
        <f aca="false">SUM('план на 2016'!$L206:M206)-SUM('членские взносы'!$M206:M206)</f>
        <v>800</v>
      </c>
      <c r="N205" s="85" t="n">
        <f aca="false">SUM('план на 2016'!$L206:N206)-SUM('членские взносы'!$M206:N206)</f>
        <v>1600</v>
      </c>
      <c r="O205" s="85" t="n">
        <f aca="false">SUM('план на 2016'!$L206:O206)-SUM('членские взносы'!$M206:O206)</f>
        <v>2400</v>
      </c>
      <c r="P205" s="85" t="n">
        <f aca="false">SUM('план на 2016'!$L206:P206)-SUM('членские взносы'!$M206:P206)</f>
        <v>3200</v>
      </c>
      <c r="Q205" s="85" t="n">
        <f aca="false">SUM('план на 2016'!$L206:Q206)-SUM('членские взносы'!$M206:Q206)</f>
        <v>4000</v>
      </c>
      <c r="R205" s="85" t="n">
        <f aca="false">SUM('план на 2016'!$L206:R206)-SUM('членские взносы'!$M206:R206)</f>
        <v>4800</v>
      </c>
      <c r="S205" s="85" t="n">
        <f aca="false">SUM('план на 2016'!$L206:S206)-SUM('членские взносы'!$M206:S206)</f>
        <v>5600</v>
      </c>
      <c r="T205" s="85" t="n">
        <f aca="false">SUM('план на 2016'!$L206:T206)-SUM('членские взносы'!$M206:T206)</f>
        <v>6400</v>
      </c>
      <c r="U205" s="85" t="n">
        <f aca="false">SUM('план на 2016'!$L206:U206)-SUM('членские взносы'!$M206:U206)</f>
        <v>7200</v>
      </c>
      <c r="V205" s="85" t="n">
        <f aca="false">SUM('план на 2016'!$L206:V206)-SUM('членские взносы'!$M206:V206)</f>
        <v>8000</v>
      </c>
      <c r="W205" s="85" t="n">
        <f aca="false">SUM('план на 2016'!$L206:W206)-SUM('членские взносы'!$M206:W206)</f>
        <v>8800</v>
      </c>
      <c r="X205" s="85" t="n">
        <f aca="false">SUM('план на 2016'!$L206:X206)-SUM('членские взносы'!$M206:X206)</f>
        <v>9600</v>
      </c>
      <c r="Y205" s="59" t="n">
        <f aca="false">X205</f>
        <v>9600</v>
      </c>
    </row>
    <row collapsed="false" customFormat="false" customHeight="false" hidden="false" ht="15" outlineLevel="0" r="206">
      <c r="A206" s="19" t="n">
        <f aca="false">VLOOKUP(B206,справочник!$B$2:$E$322,4,0)</f>
        <v>89</v>
      </c>
      <c r="B206" s="0" t="e">
        <f aca="false">CONCATENATE(C206;D206)</f>
        <v>#VALUE!</v>
      </c>
      <c r="C206" s="24" t="n">
        <v>94</v>
      </c>
      <c r="D206" s="29" t="s">
        <v>87</v>
      </c>
      <c r="E206" s="24" t="s">
        <v>563</v>
      </c>
      <c r="F206" s="30" t="n">
        <v>41106</v>
      </c>
      <c r="G206" s="30" t="n">
        <v>41091</v>
      </c>
      <c r="H206" s="31" t="n">
        <f aca="false">INT(($H$326-G206)/30)</f>
        <v>42</v>
      </c>
      <c r="I206" s="24" t="n">
        <f aca="false">H206*1000</f>
        <v>42000</v>
      </c>
      <c r="J206" s="31" t="n">
        <f aca="false">21000</f>
        <v>21000</v>
      </c>
      <c r="K206" s="31"/>
      <c r="L206" s="59" t="n">
        <f aca="false">I206-J206-K206</f>
        <v>21000</v>
      </c>
      <c r="M206" s="85" t="n">
        <f aca="false">SUM('план на 2016'!$L207:M207)-SUM('членские взносы'!$M207:M207)</f>
        <v>21800</v>
      </c>
      <c r="N206" s="85" t="n">
        <f aca="false">SUM('план на 2016'!$L207:N207)-SUM('членские взносы'!$M207:N207)</f>
        <v>22600</v>
      </c>
      <c r="O206" s="85" t="n">
        <f aca="false">SUM('план на 2016'!$L207:O207)-SUM('членские взносы'!$M207:O207)</f>
        <v>23400</v>
      </c>
      <c r="P206" s="85" t="n">
        <f aca="false">SUM('план на 2016'!$L207:P207)-SUM('членские взносы'!$M207:P207)</f>
        <v>24200</v>
      </c>
      <c r="Q206" s="85" t="n">
        <f aca="false">SUM('план на 2016'!$L207:Q207)-SUM('членские взносы'!$M207:Q207)</f>
        <v>25000</v>
      </c>
      <c r="R206" s="85" t="n">
        <f aca="false">SUM('план на 2016'!$L207:R207)-SUM('членские взносы'!$M207:R207)</f>
        <v>25800</v>
      </c>
      <c r="S206" s="85" t="n">
        <f aca="false">SUM('план на 2016'!$L207:S207)-SUM('членские взносы'!$M207:S207)</f>
        <v>26600</v>
      </c>
      <c r="T206" s="85" t="n">
        <f aca="false">SUM('план на 2016'!$L207:T207)-SUM('членские взносы'!$M207:T207)</f>
        <v>27400</v>
      </c>
      <c r="U206" s="85" t="n">
        <f aca="false">SUM('план на 2016'!$L207:U207)-SUM('членские взносы'!$M207:U207)</f>
        <v>28200</v>
      </c>
      <c r="V206" s="85" t="n">
        <f aca="false">SUM('план на 2016'!$L207:V207)-SUM('членские взносы'!$M207:V207)</f>
        <v>29000</v>
      </c>
      <c r="W206" s="85" t="n">
        <f aca="false">SUM('план на 2016'!$L207:W207)-SUM('членские взносы'!$M207:W207)</f>
        <v>29800</v>
      </c>
      <c r="X206" s="85" t="n">
        <f aca="false">SUM('план на 2016'!$L207:X207)-SUM('членские взносы'!$M207:X207)</f>
        <v>30600</v>
      </c>
      <c r="Y206" s="59" t="n">
        <f aca="false">X206</f>
        <v>30600</v>
      </c>
    </row>
    <row collapsed="false" customFormat="false" customHeight="false" hidden="false" ht="15" outlineLevel="0" r="207">
      <c r="A207" s="19" t="n">
        <f aca="false">VLOOKUP(B207,справочник!$B$2:$E$322,4,0)</f>
        <v>26</v>
      </c>
      <c r="B207" s="0" t="e">
        <f aca="false">CONCATENATE(C207;D207)</f>
        <v>#VALUE!</v>
      </c>
      <c r="C207" s="24" t="n">
        <v>26</v>
      </c>
      <c r="D207" s="29" t="s">
        <v>29</v>
      </c>
      <c r="E207" s="24" t="s">
        <v>564</v>
      </c>
      <c r="F207" s="30" t="n">
        <v>40788</v>
      </c>
      <c r="G207" s="30" t="n">
        <v>40787</v>
      </c>
      <c r="H207" s="31" t="n">
        <f aca="false">INT(($H$326-G207)/30)</f>
        <v>52</v>
      </c>
      <c r="I207" s="24" t="n">
        <f aca="false">H207*1000</f>
        <v>52000</v>
      </c>
      <c r="J207" s="31"/>
      <c r="K207" s="31"/>
      <c r="L207" s="59" t="n">
        <f aca="false">I207-J207-K207</f>
        <v>52000</v>
      </c>
      <c r="M207" s="85" t="n">
        <f aca="false">SUM('план на 2016'!$L208:M208)-SUM('членские взносы'!$M208:M208)</f>
        <v>52800</v>
      </c>
      <c r="N207" s="85" t="n">
        <f aca="false">SUM('план на 2016'!$L208:N208)-SUM('членские взносы'!$M208:N208)</f>
        <v>53600</v>
      </c>
      <c r="O207" s="85" t="n">
        <f aca="false">SUM('план на 2016'!$L208:O208)-SUM('членские взносы'!$M208:O208)</f>
        <v>54400</v>
      </c>
      <c r="P207" s="85" t="n">
        <f aca="false">SUM('план на 2016'!$L208:P208)-SUM('членские взносы'!$M208:P208)</f>
        <v>55200</v>
      </c>
      <c r="Q207" s="85" t="n">
        <f aca="false">SUM('план на 2016'!$L208:Q208)-SUM('членские взносы'!$M208:Q208)</f>
        <v>56000</v>
      </c>
      <c r="R207" s="85" t="n">
        <f aca="false">SUM('план на 2016'!$L208:R208)-SUM('членские взносы'!$M208:R208)</f>
        <v>56800</v>
      </c>
      <c r="S207" s="85" t="n">
        <f aca="false">SUM('план на 2016'!$L208:S208)-SUM('членские взносы'!$M208:S208)</f>
        <v>57600</v>
      </c>
      <c r="T207" s="85" t="n">
        <f aca="false">SUM('план на 2016'!$L208:T208)-SUM('членские взносы'!$M208:T208)</f>
        <v>58400</v>
      </c>
      <c r="U207" s="85" t="n">
        <f aca="false">SUM('план на 2016'!$L208:U208)-SUM('членские взносы'!$M208:U208)</f>
        <v>59200</v>
      </c>
      <c r="V207" s="85" t="n">
        <f aca="false">SUM('план на 2016'!$L208:V208)-SUM('членские взносы'!$M208:V208)</f>
        <v>60000</v>
      </c>
      <c r="W207" s="85" t="n">
        <f aca="false">SUM('план на 2016'!$L208:W208)-SUM('членские взносы'!$M208:W208)</f>
        <v>60800</v>
      </c>
      <c r="X207" s="85" t="n">
        <f aca="false">SUM('план на 2016'!$L208:X208)-SUM('членские взносы'!$M208:X208)</f>
        <v>61600</v>
      </c>
      <c r="Y207" s="59" t="n">
        <f aca="false">X207</f>
        <v>61600</v>
      </c>
    </row>
    <row collapsed="false" customFormat="false" customHeight="false" hidden="false" ht="15" outlineLevel="0" r="208">
      <c r="A208" s="19" t="n">
        <f aca="false">VLOOKUP(B208,справочник!$B$2:$E$322,4,0)</f>
        <v>71</v>
      </c>
      <c r="B208" s="0" t="e">
        <f aca="false">CONCATENATE(C208;D208)</f>
        <v>#VALUE!</v>
      </c>
      <c r="C208" s="24" t="n">
        <v>77</v>
      </c>
      <c r="D208" s="29" t="s">
        <v>139</v>
      </c>
      <c r="E208" s="24" t="s">
        <v>565</v>
      </c>
      <c r="F208" s="30" t="n">
        <v>40788</v>
      </c>
      <c r="G208" s="30" t="n">
        <v>40787</v>
      </c>
      <c r="H208" s="31" t="n">
        <f aca="false">INT(($H$326-G208)/30)</f>
        <v>52</v>
      </c>
      <c r="I208" s="24" t="n">
        <f aca="false">H208*1000</f>
        <v>52000</v>
      </c>
      <c r="J208" s="31" t="n">
        <f aca="false">36000+4000</f>
        <v>40000</v>
      </c>
      <c r="K208" s="31"/>
      <c r="L208" s="59" t="n">
        <f aca="false">I208-J208-K208</f>
        <v>12000</v>
      </c>
      <c r="M208" s="85" t="n">
        <f aca="false">SUM('план на 2016'!$L209:M209)-SUM('членские взносы'!$M209:M209)</f>
        <v>12800</v>
      </c>
      <c r="N208" s="85" t="n">
        <f aca="false">SUM('план на 2016'!$L209:N209)-SUM('членские взносы'!$M209:N209)</f>
        <v>13600</v>
      </c>
      <c r="O208" s="85" t="n">
        <f aca="false">SUM('план на 2016'!$L209:O209)-SUM('членские взносы'!$M209:O209)</f>
        <v>14400</v>
      </c>
      <c r="P208" s="85" t="n">
        <f aca="false">SUM('план на 2016'!$L209:P209)-SUM('членские взносы'!$M209:P209)</f>
        <v>15200</v>
      </c>
      <c r="Q208" s="85" t="n">
        <f aca="false">SUM('план на 2016'!$L209:Q209)-SUM('членские взносы'!$M209:Q209)</f>
        <v>16000</v>
      </c>
      <c r="R208" s="85" t="n">
        <f aca="false">SUM('план на 2016'!$L209:R209)-SUM('членские взносы'!$M209:R209)</f>
        <v>16800</v>
      </c>
      <c r="S208" s="85" t="n">
        <f aca="false">SUM('план на 2016'!$L209:S209)-SUM('членские взносы'!$M209:S209)</f>
        <v>17600</v>
      </c>
      <c r="T208" s="85" t="n">
        <f aca="false">SUM('план на 2016'!$L209:T209)-SUM('членские взносы'!$M209:T209)</f>
        <v>18400</v>
      </c>
      <c r="U208" s="85" t="n">
        <f aca="false">SUM('план на 2016'!$L209:U209)-SUM('членские взносы'!$M209:U209)</f>
        <v>19200</v>
      </c>
      <c r="V208" s="85" t="n">
        <f aca="false">SUM('план на 2016'!$L209:V209)-SUM('членские взносы'!$M209:V209)</f>
        <v>20000</v>
      </c>
      <c r="W208" s="85" t="n">
        <f aca="false">SUM('план на 2016'!$L209:W209)-SUM('членские взносы'!$M209:W209)</f>
        <v>20800</v>
      </c>
      <c r="X208" s="85" t="n">
        <f aca="false">SUM('план на 2016'!$L209:X209)-SUM('членские взносы'!$M209:X209)</f>
        <v>21600</v>
      </c>
      <c r="Y208" s="59" t="n">
        <f aca="false">X208</f>
        <v>21600</v>
      </c>
    </row>
    <row collapsed="false" customFormat="false" customHeight="true" hidden="false" ht="25.5" outlineLevel="0" r="209">
      <c r="A209" s="19" t="n">
        <f aca="false">VLOOKUP(B209,справочник!$B$2:$E$322,4,0)</f>
        <v>6</v>
      </c>
      <c r="B209" s="0" t="e">
        <f aca="false">CONCATENATE(C209;D209)</f>
        <v>#VALUE!</v>
      </c>
      <c r="C209" s="24" t="n">
        <v>6</v>
      </c>
      <c r="D209" s="29" t="s">
        <v>156</v>
      </c>
      <c r="E209" s="24" t="s">
        <v>566</v>
      </c>
      <c r="F209" s="30" t="n">
        <v>41939</v>
      </c>
      <c r="G209" s="30" t="n">
        <v>41944</v>
      </c>
      <c r="H209" s="31" t="n">
        <f aca="false">INT(($H$326-G209)/30)</f>
        <v>14</v>
      </c>
      <c r="I209" s="24" t="n">
        <f aca="false">H209*1000</f>
        <v>14000</v>
      </c>
      <c r="J209" s="31"/>
      <c r="K209" s="31"/>
      <c r="L209" s="59" t="n">
        <f aca="false">I209-J209-K209</f>
        <v>14000</v>
      </c>
      <c r="M209" s="85" t="n">
        <f aca="false">SUM('план на 2016'!$L210:M210)-SUM('членские взносы'!$M210:M210)</f>
        <v>14800</v>
      </c>
      <c r="N209" s="85" t="n">
        <f aca="false">SUM('план на 2016'!$L210:N210)-SUM('членские взносы'!$M210:N210)</f>
        <v>15600</v>
      </c>
      <c r="O209" s="85" t="n">
        <f aca="false">SUM('план на 2016'!$L210:O210)-SUM('членские взносы'!$M210:O210)</f>
        <v>16400</v>
      </c>
      <c r="P209" s="85" t="n">
        <f aca="false">SUM('план на 2016'!$L210:P210)-SUM('членские взносы'!$M210:P210)</f>
        <v>17200</v>
      </c>
      <c r="Q209" s="85" t="n">
        <f aca="false">SUM('план на 2016'!$L210:Q210)-SUM('членские взносы'!$M210:Q210)</f>
        <v>14000</v>
      </c>
      <c r="R209" s="85" t="n">
        <f aca="false">SUM('план на 2016'!$L210:R210)-SUM('членские взносы'!$M210:R210)</f>
        <v>14800</v>
      </c>
      <c r="S209" s="85" t="n">
        <f aca="false">SUM('план на 2016'!$L210:S210)-SUM('членские взносы'!$M210:S210)</f>
        <v>15600</v>
      </c>
      <c r="T209" s="85" t="n">
        <f aca="false">SUM('план на 2016'!$L210:T210)-SUM('членские взносы'!$M210:T210)</f>
        <v>16400</v>
      </c>
      <c r="U209" s="85" t="n">
        <f aca="false">SUM('план на 2016'!$L210:U210)-SUM('членские взносы'!$M210:U210)</f>
        <v>17200</v>
      </c>
      <c r="V209" s="85" t="n">
        <f aca="false">SUM('план на 2016'!$L210:V210)-SUM('членские взносы'!$M210:V210)</f>
        <v>18000</v>
      </c>
      <c r="W209" s="85" t="n">
        <f aca="false">SUM('план на 2016'!$L210:W210)-SUM('членские взносы'!$M210:W210)</f>
        <v>18800</v>
      </c>
      <c r="X209" s="85" t="n">
        <f aca="false">SUM('план на 2016'!$L210:X210)-SUM('членские взносы'!$M210:X210)</f>
        <v>1600</v>
      </c>
      <c r="Y209" s="59" t="n">
        <f aca="false">X209</f>
        <v>1600</v>
      </c>
    </row>
    <row collapsed="false" customFormat="false" customHeight="true" hidden="false" ht="25.5" outlineLevel="0" r="210">
      <c r="A210" s="19" t="n">
        <f aca="false">VLOOKUP(B210,справочник!$B$2:$E$322,4,0)</f>
        <v>80</v>
      </c>
      <c r="B210" s="0" t="e">
        <f aca="false">CONCATENATE(C210;D210)</f>
        <v>#VALUE!</v>
      </c>
      <c r="C210" s="24" t="n">
        <v>85</v>
      </c>
      <c r="D210" s="29" t="s">
        <v>271</v>
      </c>
      <c r="E210" s="24" t="s">
        <v>567</v>
      </c>
      <c r="F210" s="30" t="n">
        <v>40995</v>
      </c>
      <c r="G210" s="30" t="n">
        <v>41000</v>
      </c>
      <c r="H210" s="31" t="n">
        <f aca="false">INT(($H$326-G210)/30)</f>
        <v>45</v>
      </c>
      <c r="I210" s="24" t="n">
        <f aca="false">H210*1000</f>
        <v>45000</v>
      </c>
      <c r="J210" s="31" t="n">
        <v>45000</v>
      </c>
      <c r="K210" s="31"/>
      <c r="L210" s="59" t="n">
        <f aca="false">I210-J210-K210</f>
        <v>0</v>
      </c>
      <c r="M210" s="85" t="n">
        <f aca="false">SUM('план на 2016'!$L211:M211)-SUM('членские взносы'!$M211:M211)</f>
        <v>800</v>
      </c>
      <c r="N210" s="85" t="n">
        <f aca="false">SUM('план на 2016'!$L211:N211)-SUM('членские взносы'!$M211:N211)</f>
        <v>1600</v>
      </c>
      <c r="O210" s="85" t="n">
        <f aca="false">SUM('план на 2016'!$L211:O211)-SUM('членские взносы'!$M211:O211)</f>
        <v>2400</v>
      </c>
      <c r="P210" s="85" t="n">
        <f aca="false">SUM('план на 2016'!$L211:P211)-SUM('членские взносы'!$M211:P211)</f>
        <v>3200</v>
      </c>
      <c r="Q210" s="85" t="n">
        <f aca="false">SUM('план на 2016'!$L211:Q211)-SUM('членские взносы'!$M211:Q211)</f>
        <v>4000</v>
      </c>
      <c r="R210" s="85" t="n">
        <f aca="false">SUM('план на 2016'!$L211:R211)-SUM('членские взносы'!$M211:R211)</f>
        <v>800</v>
      </c>
      <c r="S210" s="85" t="n">
        <f aca="false">SUM('план на 2016'!$L211:S211)-SUM('членские взносы'!$M211:S211)</f>
        <v>-400</v>
      </c>
      <c r="T210" s="85" t="n">
        <f aca="false">SUM('план на 2016'!$L211:T211)-SUM('членские взносы'!$M211:T211)</f>
        <v>-1600</v>
      </c>
      <c r="U210" s="85" t="n">
        <f aca="false">SUM('план на 2016'!$L211:U211)-SUM('членские взносы'!$M211:U211)</f>
        <v>-800</v>
      </c>
      <c r="V210" s="85" t="n">
        <f aca="false">SUM('план на 2016'!$L211:V211)-SUM('членские взносы'!$M211:V211)</f>
        <v>0</v>
      </c>
      <c r="W210" s="85" t="n">
        <f aca="false">SUM('план на 2016'!$L211:W211)-SUM('членские взносы'!$M211:W211)</f>
        <v>800</v>
      </c>
      <c r="X210" s="85" t="n">
        <f aca="false">SUM('план на 2016'!$L211:X211)-SUM('членские взносы'!$M211:X211)</f>
        <v>1600</v>
      </c>
      <c r="Y210" s="59" t="n">
        <f aca="false">X210</f>
        <v>1600</v>
      </c>
    </row>
    <row collapsed="false" customFormat="false" customHeight="true" hidden="false" ht="38.25" outlineLevel="0" r="211">
      <c r="A211" s="19" t="n">
        <f aca="false">VLOOKUP(B211,справочник!$B$2:$E$322,4,0)</f>
        <v>201</v>
      </c>
      <c r="B211" s="0" t="e">
        <f aca="false">CONCATENATE(C211;D211)</f>
        <v>#VALUE!</v>
      </c>
      <c r="C211" s="24" t="n">
        <v>209</v>
      </c>
      <c r="D211" s="29" t="s">
        <v>203</v>
      </c>
      <c r="E211" s="24" t="s">
        <v>568</v>
      </c>
      <c r="F211" s="30" t="n">
        <v>40974</v>
      </c>
      <c r="G211" s="30" t="n">
        <v>40969</v>
      </c>
      <c r="H211" s="31" t="n">
        <f aca="false">INT(($H$326-G211)/30)</f>
        <v>46</v>
      </c>
      <c r="I211" s="24" t="n">
        <f aca="false">H211*1000</f>
        <v>46000</v>
      </c>
      <c r="J211" s="31" t="n">
        <v>38000</v>
      </c>
      <c r="K211" s="31"/>
      <c r="L211" s="59" t="n">
        <f aca="false">I211-J211-K211</f>
        <v>8000</v>
      </c>
      <c r="M211" s="85" t="n">
        <f aca="false">SUM('план на 2016'!$L212:M212)-SUM('членские взносы'!$M212:M212)</f>
        <v>4800</v>
      </c>
      <c r="N211" s="85" t="n">
        <f aca="false">SUM('план на 2016'!$L212:N212)-SUM('членские взносы'!$M212:N212)</f>
        <v>5600</v>
      </c>
      <c r="O211" s="85" t="n">
        <f aca="false">SUM('план на 2016'!$L212:O212)-SUM('членские взносы'!$M212:O212)</f>
        <v>6400</v>
      </c>
      <c r="P211" s="85" t="n">
        <f aca="false">SUM('план на 2016'!$L212:P212)-SUM('членские взносы'!$M212:P212)</f>
        <v>7200</v>
      </c>
      <c r="Q211" s="85" t="n">
        <f aca="false">SUM('план на 2016'!$L212:Q212)-SUM('членские взносы'!$M212:Q212)</f>
        <v>4800</v>
      </c>
      <c r="R211" s="85" t="n">
        <f aca="false">SUM('план на 2016'!$L212:R212)-SUM('членские взносы'!$M212:R212)</f>
        <v>5600</v>
      </c>
      <c r="S211" s="85" t="n">
        <f aca="false">SUM('план на 2016'!$L212:S212)-SUM('членские взносы'!$M212:S212)</f>
        <v>5600</v>
      </c>
      <c r="T211" s="85" t="n">
        <f aca="false">SUM('план на 2016'!$L212:T212)-SUM('членские взносы'!$M212:T212)</f>
        <v>4800</v>
      </c>
      <c r="U211" s="85" t="n">
        <f aca="false">SUM('план на 2016'!$L212:U212)-SUM('членские взносы'!$M212:U212)</f>
        <v>5600</v>
      </c>
      <c r="V211" s="85" t="n">
        <f aca="false">SUM('план на 2016'!$L212:V212)-SUM('членские взносы'!$M212:V212)</f>
        <v>6400</v>
      </c>
      <c r="W211" s="85" t="n">
        <f aca="false">SUM('план на 2016'!$L212:W212)-SUM('членские взносы'!$M212:W212)</f>
        <v>7200</v>
      </c>
      <c r="X211" s="85" t="n">
        <f aca="false">SUM('план на 2016'!$L212:X212)-SUM('членские взносы'!$M212:X212)</f>
        <v>4000</v>
      </c>
      <c r="Y211" s="59" t="n">
        <f aca="false">X211</f>
        <v>4000</v>
      </c>
    </row>
    <row collapsed="false" customFormat="false" customHeight="false" hidden="false" ht="15" outlineLevel="0" r="212">
      <c r="A212" s="19" t="n">
        <f aca="false">VLOOKUP(B212,справочник!$B$2:$E$322,4,0)</f>
        <v>147</v>
      </c>
      <c r="B212" s="0" t="e">
        <f aca="false">CONCATENATE(C212;D212)</f>
        <v>#VALUE!</v>
      </c>
      <c r="C212" s="24" t="n">
        <v>155</v>
      </c>
      <c r="D212" s="29" t="s">
        <v>119</v>
      </c>
      <c r="E212" s="24" t="s">
        <v>569</v>
      </c>
      <c r="F212" s="30" t="n">
        <v>40952</v>
      </c>
      <c r="G212" s="30" t="n">
        <v>40940</v>
      </c>
      <c r="H212" s="31" t="n">
        <f aca="false">INT(($H$326-G212)/30)</f>
        <v>47</v>
      </c>
      <c r="I212" s="24" t="n">
        <f aca="false">H212*1000</f>
        <v>47000</v>
      </c>
      <c r="J212" s="31" t="n">
        <v>32000</v>
      </c>
      <c r="K212" s="31"/>
      <c r="L212" s="59" t="n">
        <f aca="false">I212-J212-K212</f>
        <v>15000</v>
      </c>
      <c r="M212" s="85" t="n">
        <f aca="false">SUM('план на 2016'!$L213:M213)-SUM('членские взносы'!$M213:M213)</f>
        <v>15800</v>
      </c>
      <c r="N212" s="85" t="n">
        <f aca="false">SUM('план на 2016'!$L213:N213)-SUM('членские взносы'!$M213:N213)</f>
        <v>16600</v>
      </c>
      <c r="O212" s="85" t="n">
        <f aca="false">SUM('план на 2016'!$L213:O213)-SUM('членские взносы'!$M213:O213)</f>
        <v>17400</v>
      </c>
      <c r="P212" s="85" t="n">
        <f aca="false">SUM('план на 2016'!$L213:P213)-SUM('членские взносы'!$M213:P213)</f>
        <v>18200</v>
      </c>
      <c r="Q212" s="85" t="n">
        <f aca="false">SUM('план на 2016'!$L213:Q213)-SUM('членские взносы'!$M213:Q213)</f>
        <v>19000</v>
      </c>
      <c r="R212" s="85" t="n">
        <f aca="false">SUM('план на 2016'!$L213:R213)-SUM('членские взносы'!$M213:R213)</f>
        <v>19800</v>
      </c>
      <c r="S212" s="85" t="n">
        <f aca="false">SUM('план на 2016'!$L213:S213)-SUM('членские взносы'!$M213:S213)</f>
        <v>19600</v>
      </c>
      <c r="T212" s="85" t="n">
        <f aca="false">SUM('план на 2016'!$L213:T213)-SUM('членские взносы'!$M213:T213)</f>
        <v>19400</v>
      </c>
      <c r="U212" s="85" t="n">
        <f aca="false">SUM('план на 2016'!$L213:U213)-SUM('членские взносы'!$M213:U213)</f>
        <v>19200</v>
      </c>
      <c r="V212" s="85" t="n">
        <f aca="false">SUM('план на 2016'!$L213:V213)-SUM('членские взносы'!$M213:V213)</f>
        <v>20000</v>
      </c>
      <c r="W212" s="85" t="n">
        <f aca="false">SUM('план на 2016'!$L213:W213)-SUM('членские взносы'!$M213:W213)</f>
        <v>20800</v>
      </c>
      <c r="X212" s="85" t="n">
        <f aca="false">SUM('план на 2016'!$L213:X213)-SUM('членские взносы'!$M213:X213)</f>
        <v>20600</v>
      </c>
      <c r="Y212" s="59" t="n">
        <f aca="false">X212</f>
        <v>20600</v>
      </c>
    </row>
    <row collapsed="false" customFormat="false" customHeight="false" hidden="false" ht="15" outlineLevel="0" r="213">
      <c r="A213" s="19" t="e">
        <f aca="false">VLOOKUP(B213,справочник!$B$2:$E$322,4,0)</f>
        <v>#VALUE!</v>
      </c>
      <c r="B213" s="0" t="e">
        <f aca="false">CONCATENATE(C213;D213)</f>
        <v>#VALUE!</v>
      </c>
      <c r="C213" s="24" t="s">
        <v>570</v>
      </c>
      <c r="D213" s="53" t="s">
        <v>644</v>
      </c>
      <c r="E213" s="24" t="s">
        <v>571</v>
      </c>
      <c r="F213" s="30" t="n">
        <v>40923</v>
      </c>
      <c r="G213" s="30" t="n">
        <v>40909</v>
      </c>
      <c r="H213" s="31" t="n">
        <v>7</v>
      </c>
      <c r="I213" s="24" t="n">
        <f aca="false">H213*1000</f>
        <v>7000</v>
      </c>
      <c r="J213" s="31" t="n">
        <v>7000</v>
      </c>
      <c r="K213" s="31"/>
      <c r="L213" s="59" t="n">
        <f aca="false">I213-J213-K213</f>
        <v>0</v>
      </c>
      <c r="M213" s="85" t="e">
        <f aca="false">SUM('план на 2016'!$L214:M214)-SUM('членские взносы'!#ref!:'членские взносы'!#ref!)</f>
        <v>#VALUE!</v>
      </c>
      <c r="N213" s="85" t="e">
        <f aca="false">SUM('план на 2016'!$L214:N214)-SUM('членские взносы'!#ref!:'членские взносы'!#ref!)</f>
        <v>#VALUE!</v>
      </c>
      <c r="O213" s="85" t="e">
        <f aca="false">SUM('план на 2016'!$L214:O214)-SUM('членские взносы'!#ref!:'членские взносы'!#ref!)</f>
        <v>#VALUE!</v>
      </c>
      <c r="P213" s="85" t="e">
        <f aca="false">SUM('план на 2016'!$L214:P214)-SUM('членские взносы'!#ref!:'членские взносы'!#ref!)</f>
        <v>#VALUE!</v>
      </c>
      <c r="Q213" s="85" t="e">
        <f aca="false">SUM('план на 2016'!$L214:Q214)-SUM('членские взносы'!#ref!:'членские взносы'!#ref!)</f>
        <v>#VALUE!</v>
      </c>
      <c r="R213" s="85" t="e">
        <f aca="false">SUM('план на 2016'!$L214:R214)-SUM('членские взносы'!#ref!:'членские взносы'!#ref!)</f>
        <v>#VALUE!</v>
      </c>
      <c r="S213" s="85" t="e">
        <f aca="false">SUM('план на 2016'!$L214:S214)-SUM('членские взносы'!#ref!:'членские взносы'!#ref!)</f>
        <v>#VALUE!</v>
      </c>
      <c r="T213" s="85" t="e">
        <f aca="false">SUM('план на 2016'!$L214:T214)-SUM('членские взносы'!#ref!:'членские взносы'!#ref!)</f>
        <v>#VALUE!</v>
      </c>
      <c r="U213" s="85" t="e">
        <f aca="false">SUM('план на 2016'!$L214:U214)-SUM('членские взносы'!#ref!:'членские взносы'!#ref!)</f>
        <v>#VALUE!</v>
      </c>
      <c r="V213" s="85" t="e">
        <f aca="false">SUM('план на 2016'!$L214:V214)-SUM('членские взносы'!#ref!:'членские взносы'!#ref!)</f>
        <v>#VALUE!</v>
      </c>
      <c r="W213" s="85" t="e">
        <f aca="false">SUM('план на 2016'!$L214:W214)-SUM('членские взносы'!#ref!:'членские взносы'!#ref!)</f>
        <v>#VALUE!</v>
      </c>
      <c r="X213" s="85" t="e">
        <f aca="false">SUM('план на 2016'!$L214:X214)-SUM('членские взносы'!#ref!:'членские взносы'!#ref!)</f>
        <v>#VALUE!</v>
      </c>
      <c r="Y213" s="59" t="e">
        <f aca="false">X213</f>
        <v>#VALUE!</v>
      </c>
    </row>
    <row collapsed="false" customFormat="false" customHeight="false" hidden="false" ht="15" outlineLevel="0" r="214">
      <c r="A214" s="19" t="n">
        <f aca="false">VLOOKUP(B214,справочник!$B$2:$E$322,4,0)</f>
        <v>33</v>
      </c>
      <c r="B214" s="0" t="e">
        <f aca="false">CONCATENATE(C214;D214)</f>
        <v>#VALUE!</v>
      </c>
      <c r="C214" s="24" t="n">
        <v>33</v>
      </c>
      <c r="D214" s="29" t="s">
        <v>250</v>
      </c>
      <c r="E214" s="24" t="s">
        <v>572</v>
      </c>
      <c r="F214" s="30" t="n">
        <v>40791</v>
      </c>
      <c r="G214" s="30" t="n">
        <v>40787</v>
      </c>
      <c r="H214" s="31" t="n">
        <f aca="false">INT(($H$326-G214)/30)</f>
        <v>52</v>
      </c>
      <c r="I214" s="24" t="n">
        <f aca="false">H214*1000</f>
        <v>52000</v>
      </c>
      <c r="J214" s="31" t="n">
        <f aca="false">1000+44000</f>
        <v>45000</v>
      </c>
      <c r="K214" s="31"/>
      <c r="L214" s="59" t="n">
        <f aca="false">I214-J214-K214</f>
        <v>7000</v>
      </c>
      <c r="M214" s="85" t="n">
        <f aca="false">SUM('план на 2016'!$L215:M215)-SUM('членские взносы'!$M214:M214)</f>
        <v>7800</v>
      </c>
      <c r="N214" s="85" t="n">
        <f aca="false">SUM('план на 2016'!$L215:N215)-SUM('членские взносы'!$M214:N214)</f>
        <v>8600</v>
      </c>
      <c r="O214" s="85" t="n">
        <f aca="false">SUM('план на 2016'!$L215:O215)-SUM('членские взносы'!$M214:O214)</f>
        <v>9400</v>
      </c>
      <c r="P214" s="85" t="n">
        <f aca="false">SUM('план на 2016'!$L215:P215)-SUM('членские взносы'!$M214:P214)</f>
        <v>10200</v>
      </c>
      <c r="Q214" s="85" t="n">
        <f aca="false">SUM('план на 2016'!$L215:Q215)-SUM('членские взносы'!$M214:Q214)</f>
        <v>950</v>
      </c>
      <c r="R214" s="85" t="n">
        <f aca="false">SUM('план на 2016'!$L215:R215)-SUM('членские взносы'!$M214:R214)</f>
        <v>1750</v>
      </c>
      <c r="S214" s="85" t="n">
        <f aca="false">SUM('план на 2016'!$L215:S215)-SUM('членские взносы'!$M214:S214)</f>
        <v>2550</v>
      </c>
      <c r="T214" s="85" t="n">
        <f aca="false">SUM('план на 2016'!$L215:T215)-SUM('членские взносы'!$M214:T214)</f>
        <v>3350</v>
      </c>
      <c r="U214" s="85" t="n">
        <f aca="false">SUM('план на 2016'!$L215:U215)-SUM('членские взносы'!$M214:U214)</f>
        <v>4150</v>
      </c>
      <c r="V214" s="85" t="n">
        <f aca="false">SUM('план на 2016'!$L215:V215)-SUM('членские взносы'!$M214:V214)</f>
        <v>4950</v>
      </c>
      <c r="W214" s="85" t="n">
        <f aca="false">SUM('план на 2016'!$L215:W215)-SUM('членские взносы'!$M214:W214)</f>
        <v>5750</v>
      </c>
      <c r="X214" s="85" t="n">
        <f aca="false">SUM('план на 2016'!$L215:X215)-SUM('членские взносы'!$M214:X214)</f>
        <v>6550</v>
      </c>
      <c r="Y214" s="59" t="n">
        <f aca="false">X214</f>
        <v>6550</v>
      </c>
    </row>
    <row collapsed="false" customFormat="false" customHeight="false" hidden="false" ht="15" outlineLevel="0" r="215">
      <c r="A215" s="19" t="n">
        <f aca="false">VLOOKUP(B215,справочник!$B$2:$E$322,4,0)</f>
        <v>169</v>
      </c>
      <c r="B215" s="0" t="e">
        <f aca="false">CONCATENATE(C215;D215)</f>
        <v>#VALUE!</v>
      </c>
      <c r="C215" s="24" t="n">
        <v>177</v>
      </c>
      <c r="D215" s="29" t="s">
        <v>255</v>
      </c>
      <c r="E215" s="24" t="s">
        <v>573</v>
      </c>
      <c r="F215" s="30" t="n">
        <v>41598</v>
      </c>
      <c r="G215" s="30" t="n">
        <v>41609</v>
      </c>
      <c r="H215" s="31" t="n">
        <f aca="false">INT(($H$326-G215)/30)</f>
        <v>25</v>
      </c>
      <c r="I215" s="24" t="n">
        <f aca="false">H215*1000</f>
        <v>25000</v>
      </c>
      <c r="J215" s="31" t="n">
        <v>21000</v>
      </c>
      <c r="K215" s="31"/>
      <c r="L215" s="59" t="n">
        <f aca="false">I215-J215-K215</f>
        <v>4000</v>
      </c>
      <c r="M215" s="85" t="n">
        <f aca="false">SUM('план на 2016'!$L216:M216)-SUM('членские взносы'!$M215:M215)</f>
        <v>4800</v>
      </c>
      <c r="N215" s="85" t="n">
        <f aca="false">SUM('план на 2016'!$L216:N216)-SUM('членские взносы'!$M215:N215)</f>
        <v>5600</v>
      </c>
      <c r="O215" s="85" t="n">
        <f aca="false">SUM('план на 2016'!$L216:O216)-SUM('членские взносы'!$M215:O215)</f>
        <v>1000</v>
      </c>
      <c r="P215" s="85" t="n">
        <f aca="false">SUM('план на 2016'!$L216:P216)-SUM('членские взносы'!$M215:P215)</f>
        <v>1800</v>
      </c>
      <c r="Q215" s="85" t="n">
        <f aca="false">SUM('план на 2016'!$L216:Q216)-SUM('членские взносы'!$M215:Q215)</f>
        <v>200</v>
      </c>
      <c r="R215" s="85" t="n">
        <f aca="false">SUM('план на 2016'!$L216:R216)-SUM('членские взносы'!$M215:R215)</f>
        <v>1000</v>
      </c>
      <c r="S215" s="85" t="n">
        <f aca="false">SUM('план на 2016'!$L216:S216)-SUM('членские взносы'!$M215:S215)</f>
        <v>1800</v>
      </c>
      <c r="T215" s="85" t="n">
        <f aca="false">SUM('план на 2016'!$L216:T216)-SUM('членские взносы'!$M215:T215)</f>
        <v>2600</v>
      </c>
      <c r="U215" s="85" t="n">
        <f aca="false">SUM('план на 2016'!$L216:U216)-SUM('членские взносы'!$M215:U215)</f>
        <v>3400</v>
      </c>
      <c r="V215" s="85" t="n">
        <f aca="false">SUM('план на 2016'!$L216:V216)-SUM('членские взносы'!$M215:V215)</f>
        <v>1800</v>
      </c>
      <c r="W215" s="85" t="n">
        <f aca="false">SUM('план на 2016'!$L216:W216)-SUM('членские взносы'!$M215:W215)</f>
        <v>200</v>
      </c>
      <c r="X215" s="85" t="n">
        <f aca="false">SUM('план на 2016'!$L216:X216)-SUM('членские взносы'!$M215:X215)</f>
        <v>1000</v>
      </c>
      <c r="Y215" s="59" t="n">
        <f aca="false">X215</f>
        <v>1000</v>
      </c>
    </row>
    <row collapsed="false" customFormat="false" customHeight="false" hidden="false" ht="15" outlineLevel="0" r="216">
      <c r="A216" s="19" t="n">
        <f aca="false">VLOOKUP(B216,справочник!$B$2:$E$322,4,0)</f>
        <v>185</v>
      </c>
      <c r="B216" s="0" t="e">
        <f aca="false">CONCATENATE(C216;D216)</f>
        <v>#VALUE!</v>
      </c>
      <c r="C216" s="24" t="n">
        <v>193</v>
      </c>
      <c r="D216" s="29" t="s">
        <v>124</v>
      </c>
      <c r="E216" s="24" t="s">
        <v>574</v>
      </c>
      <c r="F216" s="30" t="n">
        <v>41506</v>
      </c>
      <c r="G216" s="30" t="n">
        <v>41518</v>
      </c>
      <c r="H216" s="31" t="n">
        <f aca="false">INT(($H$326-G216)/30)</f>
        <v>28</v>
      </c>
      <c r="I216" s="24" t="n">
        <f aca="false">H216*1000</f>
        <v>28000</v>
      </c>
      <c r="J216" s="31" t="n">
        <v>14000</v>
      </c>
      <c r="K216" s="31"/>
      <c r="L216" s="59" t="n">
        <f aca="false">I216-J216-K216</f>
        <v>14000</v>
      </c>
      <c r="M216" s="85" t="n">
        <f aca="false">SUM('план на 2016'!$L217:M217)-SUM('членские взносы'!$M216:M216)</f>
        <v>14800</v>
      </c>
      <c r="N216" s="85" t="n">
        <f aca="false">SUM('план на 2016'!$L217:N217)-SUM('членские взносы'!$M216:N216)</f>
        <v>15600</v>
      </c>
      <c r="O216" s="85" t="n">
        <f aca="false">SUM('план на 2016'!$L217:O217)-SUM('членские взносы'!$M216:O216)</f>
        <v>16400</v>
      </c>
      <c r="P216" s="85" t="n">
        <f aca="false">SUM('план на 2016'!$L217:P217)-SUM('членские взносы'!$M216:P216)</f>
        <v>17200</v>
      </c>
      <c r="Q216" s="85" t="n">
        <f aca="false">SUM('план на 2016'!$L217:Q217)-SUM('членские взносы'!$M216:Q216)</f>
        <v>18000</v>
      </c>
      <c r="R216" s="85" t="n">
        <f aca="false">SUM('план на 2016'!$L217:R217)-SUM('членские взносы'!$M216:R216)</f>
        <v>18800</v>
      </c>
      <c r="S216" s="85" t="n">
        <f aca="false">SUM('план на 2016'!$L217:S217)-SUM('членские взносы'!$M216:S216)</f>
        <v>19600</v>
      </c>
      <c r="T216" s="85" t="n">
        <f aca="false">SUM('план на 2016'!$L217:T217)-SUM('членские взносы'!$M216:T216)</f>
        <v>20400</v>
      </c>
      <c r="U216" s="85" t="n">
        <f aca="false">SUM('план на 2016'!$L217:U217)-SUM('членские взносы'!$M216:U216)</f>
        <v>21200</v>
      </c>
      <c r="V216" s="85" t="n">
        <f aca="false">SUM('план на 2016'!$L217:V217)-SUM('членские взносы'!$M216:V216)</f>
        <v>22000</v>
      </c>
      <c r="W216" s="85" t="n">
        <f aca="false">SUM('план на 2016'!$L217:W217)-SUM('членские взносы'!$M216:W216)</f>
        <v>22800</v>
      </c>
      <c r="X216" s="85" t="n">
        <f aca="false">SUM('план на 2016'!$L217:X217)-SUM('членские взносы'!$M216:X216)</f>
        <v>23600</v>
      </c>
      <c r="Y216" s="59" t="n">
        <f aca="false">X216</f>
        <v>23600</v>
      </c>
    </row>
    <row collapsed="false" customFormat="false" customHeight="false" hidden="false" ht="15" outlineLevel="0" r="217">
      <c r="A217" s="19" t="n">
        <f aca="false">VLOOKUP(B217,справочник!$B$2:$E$322,4,0)</f>
        <v>176</v>
      </c>
      <c r="B217" s="0" t="e">
        <f aca="false">CONCATENATE(C217;D217)</f>
        <v>#VALUE!</v>
      </c>
      <c r="C217" s="24" t="n">
        <v>184</v>
      </c>
      <c r="D217" s="29" t="s">
        <v>190</v>
      </c>
      <c r="E217" s="24" t="s">
        <v>575</v>
      </c>
      <c r="F217" s="30" t="n">
        <v>41734</v>
      </c>
      <c r="G217" s="30" t="n">
        <v>41760</v>
      </c>
      <c r="H217" s="31" t="n">
        <f aca="false">INT(($H$326-G217)/30)</f>
        <v>20</v>
      </c>
      <c r="I217" s="24" t="n">
        <f aca="false">H217*1000</f>
        <v>20000</v>
      </c>
      <c r="J217" s="31" t="n">
        <v>3000</v>
      </c>
      <c r="K217" s="31"/>
      <c r="L217" s="59" t="n">
        <f aca="false">I217-J217-K217</f>
        <v>17000</v>
      </c>
      <c r="M217" s="85" t="n">
        <f aca="false">SUM('план на 2016'!$L218:M218)-SUM('членские взносы'!$M217:M217)</f>
        <v>12800</v>
      </c>
      <c r="N217" s="85" t="n">
        <f aca="false">SUM('план на 2016'!$L218:N218)-SUM('членские взносы'!$M217:N217)</f>
        <v>10600</v>
      </c>
      <c r="O217" s="85" t="n">
        <f aca="false">SUM('план на 2016'!$L218:O218)-SUM('членские взносы'!$M217:O217)</f>
        <v>11400</v>
      </c>
      <c r="P217" s="85" t="n">
        <f aca="false">SUM('план на 2016'!$L218:P218)-SUM('членские взносы'!$M217:P217)</f>
        <v>12200</v>
      </c>
      <c r="Q217" s="85" t="n">
        <f aca="false">SUM('план на 2016'!$L218:Q218)-SUM('членские взносы'!$M217:Q217)</f>
        <v>10000</v>
      </c>
      <c r="R217" s="85" t="n">
        <f aca="false">SUM('план на 2016'!$L218:R218)-SUM('членские взносы'!$M217:R217)</f>
        <v>7300</v>
      </c>
      <c r="S217" s="85" t="n">
        <f aca="false">SUM('план на 2016'!$L218:S218)-SUM('членские взносы'!$M217:S217)</f>
        <v>8100</v>
      </c>
      <c r="T217" s="85" t="n">
        <f aca="false">SUM('план на 2016'!$L218:T218)-SUM('членские взносы'!$M217:T217)</f>
        <v>8900</v>
      </c>
      <c r="U217" s="85" t="n">
        <f aca="false">SUM('план на 2016'!$L218:U218)-SUM('членские взносы'!$M217:U217)</f>
        <v>9700</v>
      </c>
      <c r="V217" s="85" t="n">
        <f aca="false">SUM('план на 2016'!$L218:V218)-SUM('членские взносы'!$M217:V217)</f>
        <v>10500</v>
      </c>
      <c r="W217" s="85" t="n">
        <f aca="false">SUM('план на 2016'!$L218:W218)-SUM('членские взносы'!$M217:W217)</f>
        <v>11300</v>
      </c>
      <c r="X217" s="85" t="n">
        <f aca="false">SUM('план на 2016'!$L218:X218)-SUM('членские взносы'!$M217:X217)</f>
        <v>12100</v>
      </c>
      <c r="Y217" s="59" t="n">
        <f aca="false">X217</f>
        <v>12100</v>
      </c>
    </row>
    <row collapsed="false" customFormat="false" customHeight="false" hidden="false" ht="15" outlineLevel="0" r="218">
      <c r="A218" s="19" t="n">
        <f aca="false">VLOOKUP(B218,справочник!$B$2:$E$322,4,0)</f>
        <v>307</v>
      </c>
      <c r="B218" s="0" t="e">
        <f aca="false">CONCATENATE(C218;D218)</f>
        <v>#VALUE!</v>
      </c>
      <c r="C218" s="24" t="n">
        <v>322</v>
      </c>
      <c r="D218" s="29" t="s">
        <v>169</v>
      </c>
      <c r="E218" s="24" t="s">
        <v>576</v>
      </c>
      <c r="F218" s="30" t="n">
        <v>41114</v>
      </c>
      <c r="G218" s="30" t="n">
        <v>41122</v>
      </c>
      <c r="H218" s="31" t="n">
        <f aca="false">INT(($H$326-G218)/30)</f>
        <v>41</v>
      </c>
      <c r="I218" s="24" t="n">
        <f aca="false">H218*1000</f>
        <v>41000</v>
      </c>
      <c r="J218" s="31" t="n">
        <v>27000</v>
      </c>
      <c r="K218" s="31"/>
      <c r="L218" s="59" t="n">
        <f aca="false">I218-J218-K218</f>
        <v>14000</v>
      </c>
      <c r="M218" s="85" t="n">
        <f aca="false">SUM('план на 2016'!$L219:M219)-SUM('членские взносы'!$M218:M218)</f>
        <v>14800</v>
      </c>
      <c r="N218" s="85" t="n">
        <f aca="false">SUM('план на 2016'!$L219:N219)-SUM('членские взносы'!$M218:N218)</f>
        <v>15600</v>
      </c>
      <c r="O218" s="85" t="n">
        <f aca="false">SUM('план на 2016'!$L219:O219)-SUM('членские взносы'!$M218:O218)</f>
        <v>16400</v>
      </c>
      <c r="P218" s="85" t="n">
        <f aca="false">SUM('план на 2016'!$L219:P219)-SUM('членские взносы'!$M218:P218)</f>
        <v>17200</v>
      </c>
      <c r="Q218" s="85" t="n">
        <f aca="false">SUM('план на 2016'!$L219:Q219)-SUM('членские взносы'!$M218:Q218)</f>
        <v>10000</v>
      </c>
      <c r="R218" s="85" t="n">
        <f aca="false">SUM('план на 2016'!$L219:R219)-SUM('членские взносы'!$M218:R218)</f>
        <v>10800</v>
      </c>
      <c r="S218" s="85" t="n">
        <f aca="false">SUM('план на 2016'!$L219:S219)-SUM('членские взносы'!$M218:S218)</f>
        <v>11600</v>
      </c>
      <c r="T218" s="85" t="n">
        <f aca="false">SUM('план на 2016'!$L219:T219)-SUM('членские взносы'!$M218:T218)</f>
        <v>12400</v>
      </c>
      <c r="U218" s="85" t="n">
        <f aca="false">SUM('план на 2016'!$L219:U219)-SUM('членские взносы'!$M218:U218)</f>
        <v>13200</v>
      </c>
      <c r="V218" s="85" t="n">
        <f aca="false">SUM('план на 2016'!$L219:V219)-SUM('членские взносы'!$M218:V218)</f>
        <v>14000</v>
      </c>
      <c r="W218" s="85" t="n">
        <f aca="false">SUM('план на 2016'!$L219:W219)-SUM('членские взносы'!$M218:W218)</f>
        <v>14800</v>
      </c>
      <c r="X218" s="85" t="n">
        <f aca="false">SUM('план на 2016'!$L219:X219)-SUM('членские взносы'!$M218:X218)</f>
        <v>15600</v>
      </c>
      <c r="Y218" s="59" t="n">
        <f aca="false">X218</f>
        <v>15600</v>
      </c>
    </row>
    <row collapsed="false" customFormat="false" customHeight="false" hidden="false" ht="15" outlineLevel="0" r="219">
      <c r="A219" s="19" t="n">
        <f aca="false">VLOOKUP(B219,справочник!$B$2:$E$322,4,0)</f>
        <v>177</v>
      </c>
      <c r="B219" s="0" t="e">
        <f aca="false">CONCATENATE(C219;D219)</f>
        <v>#VALUE!</v>
      </c>
      <c r="C219" s="24" t="n">
        <v>185</v>
      </c>
      <c r="D219" s="29" t="s">
        <v>184</v>
      </c>
      <c r="E219" s="24" t="s">
        <v>577</v>
      </c>
      <c r="F219" s="30" t="n">
        <v>41898</v>
      </c>
      <c r="G219" s="30" t="n">
        <v>41913</v>
      </c>
      <c r="H219" s="31" t="n">
        <f aca="false">INT(($H$326-G219)/30)</f>
        <v>15</v>
      </c>
      <c r="I219" s="24" t="n">
        <f aca="false">H219*1000</f>
        <v>15000</v>
      </c>
      <c r="J219" s="31" t="n">
        <v>12000</v>
      </c>
      <c r="K219" s="31"/>
      <c r="L219" s="59" t="n">
        <f aca="false">I219-J219-K219</f>
        <v>3000</v>
      </c>
      <c r="M219" s="85" t="n">
        <f aca="false">SUM('план на 2016'!$L220:M220)-SUM('членские взносы'!$M219:M219)</f>
        <v>3800</v>
      </c>
      <c r="N219" s="85" t="n">
        <f aca="false">SUM('план на 2016'!$L220:N220)-SUM('членские взносы'!$M219:N219)</f>
        <v>4600</v>
      </c>
      <c r="O219" s="85" t="n">
        <f aca="false">SUM('план на 2016'!$L220:O220)-SUM('членские взносы'!$M219:O219)</f>
        <v>5400</v>
      </c>
      <c r="P219" s="85" t="n">
        <f aca="false">SUM('план на 2016'!$L220:P220)-SUM('членские взносы'!$M219:P219)</f>
        <v>6200</v>
      </c>
      <c r="Q219" s="85" t="n">
        <f aca="false">SUM('план на 2016'!$L220:Q220)-SUM('членские взносы'!$M219:Q219)</f>
        <v>7000</v>
      </c>
      <c r="R219" s="85" t="n">
        <f aca="false">SUM('план на 2016'!$L220:R220)-SUM('членские взносы'!$M219:R219)</f>
        <v>7800</v>
      </c>
      <c r="S219" s="85" t="n">
        <f aca="false">SUM('план на 2016'!$L220:S220)-SUM('членские взносы'!$M219:S219)</f>
        <v>8600</v>
      </c>
      <c r="T219" s="85" t="n">
        <f aca="false">SUM('план на 2016'!$L220:T220)-SUM('членские взносы'!$M219:T219)</f>
        <v>9400</v>
      </c>
      <c r="U219" s="85" t="n">
        <f aca="false">SUM('план на 2016'!$L220:U220)-SUM('членские взносы'!$M219:U219)</f>
        <v>10200</v>
      </c>
      <c r="V219" s="85" t="n">
        <f aca="false">SUM('план на 2016'!$L220:V220)-SUM('членские взносы'!$M219:V219)</f>
        <v>11000</v>
      </c>
      <c r="W219" s="85" t="n">
        <f aca="false">SUM('план на 2016'!$L220:W220)-SUM('членские взносы'!$M219:W219)</f>
        <v>6800</v>
      </c>
      <c r="X219" s="85" t="n">
        <f aca="false">SUM('план на 2016'!$L220:X220)-SUM('членские взносы'!$M219:X219)</f>
        <v>7600</v>
      </c>
      <c r="Y219" s="59" t="n">
        <f aca="false">X219</f>
        <v>7600</v>
      </c>
    </row>
    <row collapsed="false" customFormat="false" customHeight="false" hidden="false" ht="15" outlineLevel="0" r="220">
      <c r="A220" s="19" t="n">
        <f aca="false">VLOOKUP(B220,справочник!$B$2:$E$322,4,0)</f>
        <v>160</v>
      </c>
      <c r="B220" s="0" t="e">
        <f aca="false">CONCATENATE(C220;D220)</f>
        <v>#VALUE!</v>
      </c>
      <c r="C220" s="24" t="n">
        <v>168</v>
      </c>
      <c r="D220" s="29" t="s">
        <v>86</v>
      </c>
      <c r="E220" s="24" t="s">
        <v>578</v>
      </c>
      <c r="F220" s="30" t="n">
        <v>41079</v>
      </c>
      <c r="G220" s="30" t="n">
        <v>41091</v>
      </c>
      <c r="H220" s="31" t="n">
        <f aca="false">INT(($H$326-G220)/30)</f>
        <v>42</v>
      </c>
      <c r="I220" s="24" t="n">
        <f aca="false">H220*1000</f>
        <v>42000</v>
      </c>
      <c r="J220" s="31" t="n">
        <v>21000</v>
      </c>
      <c r="K220" s="31"/>
      <c r="L220" s="59" t="n">
        <f aca="false">I220-J220-K220</f>
        <v>21000</v>
      </c>
      <c r="M220" s="85" t="n">
        <f aca="false">SUM('план на 2016'!$L221:M221)-SUM('членские взносы'!$M220:M220)</f>
        <v>21800</v>
      </c>
      <c r="N220" s="85" t="n">
        <f aca="false">SUM('план на 2016'!$L221:N221)-SUM('членские взносы'!$M220:N220)</f>
        <v>22600</v>
      </c>
      <c r="O220" s="85" t="n">
        <f aca="false">SUM('план на 2016'!$L221:O221)-SUM('членские взносы'!$M220:O220)</f>
        <v>23400</v>
      </c>
      <c r="P220" s="85" t="n">
        <f aca="false">SUM('план на 2016'!$L221:P221)-SUM('членские взносы'!$M220:P220)</f>
        <v>24200</v>
      </c>
      <c r="Q220" s="85" t="n">
        <f aca="false">SUM('план на 2016'!$L221:Q221)-SUM('членские взносы'!$M220:Q220)</f>
        <v>25000</v>
      </c>
      <c r="R220" s="85" t="n">
        <f aca="false">SUM('план на 2016'!$L221:R221)-SUM('членские взносы'!$M220:R220)</f>
        <v>25800</v>
      </c>
      <c r="S220" s="85" t="n">
        <f aca="false">SUM('план на 2016'!$L221:S221)-SUM('членские взносы'!$M220:S220)</f>
        <v>26600</v>
      </c>
      <c r="T220" s="85" t="n">
        <f aca="false">SUM('план на 2016'!$L221:T221)-SUM('членские взносы'!$M220:T220)</f>
        <v>27400</v>
      </c>
      <c r="U220" s="85" t="n">
        <f aca="false">SUM('план на 2016'!$L221:U221)-SUM('членские взносы'!$M220:U220)</f>
        <v>28200</v>
      </c>
      <c r="V220" s="85" t="n">
        <f aca="false">SUM('план на 2016'!$L221:V221)-SUM('членские взносы'!$M220:V220)</f>
        <v>24200</v>
      </c>
      <c r="W220" s="85" t="n">
        <f aca="false">SUM('план на 2016'!$L221:W221)-SUM('членские взносы'!$M220:W220)</f>
        <v>25000</v>
      </c>
      <c r="X220" s="85" t="n">
        <f aca="false">SUM('план на 2016'!$L221:X221)-SUM('членские взносы'!$M220:X220)</f>
        <v>21000</v>
      </c>
      <c r="Y220" s="59" t="n">
        <f aca="false">X220</f>
        <v>21000</v>
      </c>
    </row>
    <row collapsed="false" customFormat="false" customHeight="true" hidden="false" ht="25.5" outlineLevel="0" r="221">
      <c r="A221" s="19" t="n">
        <f aca="false">VLOOKUP(B221,справочник!$B$2:$E$322,4,0)</f>
        <v>53</v>
      </c>
      <c r="B221" s="0" t="e">
        <f aca="false">CONCATENATE(C221;D221)</f>
        <v>#VALUE!</v>
      </c>
      <c r="C221" s="24" t="n">
        <v>55</v>
      </c>
      <c r="D221" s="29" t="s">
        <v>217</v>
      </c>
      <c r="E221" s="24" t="s">
        <v>579</v>
      </c>
      <c r="F221" s="30" t="n">
        <v>41995</v>
      </c>
      <c r="G221" s="30" t="n">
        <v>42005</v>
      </c>
      <c r="H221" s="31" t="n">
        <f aca="false">INT(($H$326-G221)/30)</f>
        <v>12</v>
      </c>
      <c r="I221" s="24" t="n">
        <f aca="false">H221*1000</f>
        <v>12000</v>
      </c>
      <c r="J221" s="31" t="n">
        <v>12000</v>
      </c>
      <c r="K221" s="31"/>
      <c r="L221" s="59" t="n">
        <f aca="false">I221-J221-K221</f>
        <v>0</v>
      </c>
      <c r="M221" s="85" t="n">
        <f aca="false">SUM('план на 2016'!$L222:M222)-SUM('членские взносы'!$M221:M221)</f>
        <v>800</v>
      </c>
      <c r="N221" s="85" t="n">
        <f aca="false">SUM('план на 2016'!$L222:N222)-SUM('членские взносы'!$M221:N221)</f>
        <v>1600</v>
      </c>
      <c r="O221" s="85" t="n">
        <f aca="false">SUM('план на 2016'!$L222:O222)-SUM('членские взносы'!$M221:O221)</f>
        <v>2400</v>
      </c>
      <c r="P221" s="85" t="n">
        <f aca="false">SUM('план на 2016'!$L222:P222)-SUM('членские взносы'!$M221:P221)</f>
        <v>3200</v>
      </c>
      <c r="Q221" s="85" t="n">
        <f aca="false">SUM('план на 2016'!$L222:Q222)-SUM('членские взносы'!$M221:Q221)</f>
        <v>4000</v>
      </c>
      <c r="R221" s="85" t="n">
        <f aca="false">SUM('план на 2016'!$L222:R222)-SUM('членские взносы'!$M221:R221)</f>
        <v>4800</v>
      </c>
      <c r="S221" s="85" t="n">
        <f aca="false">SUM('план на 2016'!$L222:S222)-SUM('членские взносы'!$M221:S221)</f>
        <v>5600</v>
      </c>
      <c r="T221" s="85" t="n">
        <f aca="false">SUM('план на 2016'!$L222:T222)-SUM('членские взносы'!$M221:T221)</f>
        <v>6400</v>
      </c>
      <c r="U221" s="85" t="n">
        <f aca="false">SUM('план на 2016'!$L222:U222)-SUM('членские взносы'!$M221:U221)</f>
        <v>7200</v>
      </c>
      <c r="V221" s="85" t="n">
        <f aca="false">SUM('план на 2016'!$L222:V222)-SUM('членские взносы'!$M221:V221)</f>
        <v>8000</v>
      </c>
      <c r="W221" s="85" t="n">
        <f aca="false">SUM('план на 2016'!$L222:W222)-SUM('членские взносы'!$M221:W221)</f>
        <v>8800</v>
      </c>
      <c r="X221" s="85" t="n">
        <f aca="false">SUM('план на 2016'!$L222:X222)-SUM('членские взносы'!$M221:X221)</f>
        <v>9600</v>
      </c>
      <c r="Y221" s="59" t="n">
        <f aca="false">X221</f>
        <v>9600</v>
      </c>
    </row>
    <row collapsed="false" customFormat="false" customHeight="false" hidden="false" ht="15" outlineLevel="0" r="222">
      <c r="A222" s="19" t="n">
        <f aca="false">VLOOKUP(B222,справочник!$B$2:$E$322,4,0)</f>
        <v>102</v>
      </c>
      <c r="B222" s="0" t="e">
        <f aca="false">CONCATENATE(C222;D222)</f>
        <v>#VALUE!</v>
      </c>
      <c r="C222" s="24" t="n">
        <v>107</v>
      </c>
      <c r="D222" s="29" t="s">
        <v>268</v>
      </c>
      <c r="E222" s="24" t="s">
        <v>580</v>
      </c>
      <c r="F222" s="30" t="n">
        <v>40757</v>
      </c>
      <c r="G222" s="30" t="n">
        <v>40756</v>
      </c>
      <c r="H222" s="31" t="n">
        <f aca="false">INT(($H$326-G222)/30)</f>
        <v>53</v>
      </c>
      <c r="I222" s="24" t="n">
        <f aca="false">H222*1000</f>
        <v>53000</v>
      </c>
      <c r="J222" s="31" t="n">
        <f aca="false">52000+1000</f>
        <v>53000</v>
      </c>
      <c r="K222" s="31"/>
      <c r="L222" s="59" t="n">
        <f aca="false">I222-J222-K222</f>
        <v>0</v>
      </c>
      <c r="M222" s="85" t="n">
        <f aca="false">SUM('план на 2016'!$L223:M223)-SUM('членские взносы'!$M222:M222)</f>
        <v>0</v>
      </c>
      <c r="N222" s="85" t="n">
        <f aca="false">SUM('план на 2016'!$L223:N223)-SUM('членские взносы'!$M222:N222)</f>
        <v>0</v>
      </c>
      <c r="O222" s="85" t="n">
        <f aca="false">SUM('план на 2016'!$L223:O223)-SUM('членские взносы'!$M222:O222)</f>
        <v>0</v>
      </c>
      <c r="P222" s="85" t="n">
        <f aca="false">SUM('план на 2016'!$L223:P223)-SUM('членские взносы'!$M222:P222)</f>
        <v>0</v>
      </c>
      <c r="Q222" s="85" t="n">
        <f aca="false">SUM('план на 2016'!$L223:Q223)-SUM('членские взносы'!$M222:Q222)</f>
        <v>800</v>
      </c>
      <c r="R222" s="85" t="n">
        <f aca="false">SUM('план на 2016'!$L223:R223)-SUM('членские взносы'!$M222:R222)</f>
        <v>800</v>
      </c>
      <c r="S222" s="85" t="n">
        <f aca="false">SUM('план на 2016'!$L223:S223)-SUM('членские взносы'!$M222:S222)</f>
        <v>800</v>
      </c>
      <c r="T222" s="85" t="n">
        <f aca="false">SUM('план на 2016'!$L223:T223)-SUM('членские взносы'!$M222:T222)</f>
        <v>0</v>
      </c>
      <c r="U222" s="85" t="n">
        <f aca="false">SUM('план на 2016'!$L223:U223)-SUM('членские взносы'!$M222:U222)</f>
        <v>0</v>
      </c>
      <c r="V222" s="85" t="n">
        <f aca="false">SUM('план на 2016'!$L223:V223)-SUM('членские взносы'!$M222:V222)</f>
        <v>0</v>
      </c>
      <c r="W222" s="85" t="n">
        <f aca="false">SUM('план на 2016'!$L223:W223)-SUM('членские взносы'!$M222:W222)</f>
        <v>0</v>
      </c>
      <c r="X222" s="85" t="n">
        <f aca="false">SUM('план на 2016'!$L223:X223)-SUM('членские взносы'!$M222:X222)</f>
        <v>0</v>
      </c>
      <c r="Y222" s="59" t="n">
        <f aca="false">X222</f>
        <v>0</v>
      </c>
    </row>
    <row collapsed="false" customFormat="false" customHeight="false" hidden="false" ht="15" outlineLevel="0" r="223">
      <c r="A223" s="19" t="n">
        <f aca="false">VLOOKUP(B223,справочник!$B$2:$E$322,4,0)</f>
        <v>174</v>
      </c>
      <c r="B223" s="0" t="e">
        <f aca="false">CONCATENATE(C223;D223)</f>
        <v>#VALUE!</v>
      </c>
      <c r="C223" s="24" t="n">
        <v>182</v>
      </c>
      <c r="D223" s="29" t="s">
        <v>264</v>
      </c>
      <c r="E223" s="24" t="s">
        <v>581</v>
      </c>
      <c r="F223" s="30" t="n">
        <v>41352</v>
      </c>
      <c r="G223" s="30" t="n">
        <v>41365</v>
      </c>
      <c r="H223" s="31" t="n">
        <f aca="false">INT(($H$326-G223)/30)</f>
        <v>33</v>
      </c>
      <c r="I223" s="24" t="n">
        <f aca="false">H223*1000</f>
        <v>33000</v>
      </c>
      <c r="J223" s="31" t="n">
        <v>33000</v>
      </c>
      <c r="K223" s="31"/>
      <c r="L223" s="59" t="n">
        <f aca="false">I223-J223-K223</f>
        <v>0</v>
      </c>
      <c r="M223" s="85" t="n">
        <f aca="false">SUM('план на 2016'!$L224:M224)-SUM('членские взносы'!$M223:M223)</f>
        <v>-200</v>
      </c>
      <c r="N223" s="85" t="n">
        <f aca="false">SUM('план на 2016'!$L224:N224)-SUM('членские взносы'!$M223:N223)</f>
        <v>600</v>
      </c>
      <c r="O223" s="85" t="n">
        <f aca="false">SUM('план на 2016'!$L224:O224)-SUM('членские взносы'!$M223:O223)</f>
        <v>1400</v>
      </c>
      <c r="P223" s="85" t="n">
        <f aca="false">SUM('план на 2016'!$L224:P224)-SUM('членские взносы'!$M223:P223)</f>
        <v>2200</v>
      </c>
      <c r="Q223" s="85" t="n">
        <f aca="false">SUM('план на 2016'!$L224:Q224)-SUM('членские взносы'!$M223:Q223)</f>
        <v>0</v>
      </c>
      <c r="R223" s="85" t="n">
        <f aca="false">SUM('план на 2016'!$L224:R224)-SUM('членские взносы'!$M223:R223)</f>
        <v>800</v>
      </c>
      <c r="S223" s="85" t="n">
        <f aca="false">SUM('план на 2016'!$L224:S224)-SUM('членские взносы'!$M223:S223)</f>
        <v>0</v>
      </c>
      <c r="T223" s="85" t="n">
        <f aca="false">SUM('план на 2016'!$L224:T224)-SUM('членские взносы'!$M223:T223)</f>
        <v>800</v>
      </c>
      <c r="U223" s="85" t="n">
        <f aca="false">SUM('план на 2016'!$L224:U224)-SUM('членские взносы'!$M223:U223)</f>
        <v>1600</v>
      </c>
      <c r="V223" s="85" t="n">
        <f aca="false">SUM('план на 2016'!$L224:V224)-SUM('членские взносы'!$M223:V223)</f>
        <v>2400</v>
      </c>
      <c r="W223" s="85" t="n">
        <f aca="false">SUM('план на 2016'!$L224:W224)-SUM('членские взносы'!$M223:W223)</f>
        <v>3200</v>
      </c>
      <c r="X223" s="85" t="n">
        <f aca="false">SUM('план на 2016'!$L224:X224)-SUM('членские взносы'!$M223:X223)</f>
        <v>4000</v>
      </c>
      <c r="Y223" s="59" t="n">
        <f aca="false">X223</f>
        <v>4000</v>
      </c>
    </row>
    <row collapsed="false" customFormat="false" customHeight="false" hidden="false" ht="15" outlineLevel="0" r="224">
      <c r="A224" s="19" t="n">
        <f aca="false">VLOOKUP(B224,справочник!$B$2:$E$322,4,0)</f>
        <v>165</v>
      </c>
      <c r="B224" s="0" t="e">
        <f aca="false">CONCATENATE(C224;D224)</f>
        <v>#VALUE!</v>
      </c>
      <c r="C224" s="24" t="n">
        <v>173</v>
      </c>
      <c r="D224" s="29" t="s">
        <v>214</v>
      </c>
      <c r="E224" s="24" t="s">
        <v>582</v>
      </c>
      <c r="F224" s="24"/>
      <c r="G224" s="24"/>
      <c r="H224" s="31" t="n">
        <v>17</v>
      </c>
      <c r="I224" s="24" t="n">
        <f aca="false">H224*1000</f>
        <v>17000</v>
      </c>
      <c r="J224" s="31" t="n">
        <v>17000</v>
      </c>
      <c r="K224" s="31"/>
      <c r="L224" s="59" t="n">
        <f aca="false">I224-J224-K224</f>
        <v>0</v>
      </c>
      <c r="M224" s="85" t="n">
        <f aca="false">SUM('план на 2016'!$L225:M225)-SUM('членские взносы'!$M224:M224)</f>
        <v>800</v>
      </c>
      <c r="N224" s="85" t="n">
        <f aca="false">SUM('план на 2016'!$L225:N225)-SUM('членские взносы'!$M224:N224)</f>
        <v>1600</v>
      </c>
      <c r="O224" s="85" t="n">
        <f aca="false">SUM('план на 2016'!$L225:O225)-SUM('членские взносы'!$M224:O224)</f>
        <v>2400</v>
      </c>
      <c r="P224" s="85" t="n">
        <f aca="false">SUM('план на 2016'!$L225:P225)-SUM('членские взносы'!$M224:P224)</f>
        <v>3200</v>
      </c>
      <c r="Q224" s="85" t="n">
        <f aca="false">SUM('план на 2016'!$L225:Q225)-SUM('членские взносы'!$M224:Q224)</f>
        <v>4000</v>
      </c>
      <c r="R224" s="85" t="n">
        <f aca="false">SUM('план на 2016'!$L225:R225)-SUM('членские взносы'!$M224:R224)</f>
        <v>4800</v>
      </c>
      <c r="S224" s="85" t="n">
        <f aca="false">SUM('план на 2016'!$L225:S225)-SUM('членские взносы'!$M224:S224)</f>
        <v>5600</v>
      </c>
      <c r="T224" s="85" t="n">
        <f aca="false">SUM('план на 2016'!$L225:T225)-SUM('членские взносы'!$M224:T224)</f>
        <v>6400</v>
      </c>
      <c r="U224" s="85" t="n">
        <f aca="false">SUM('план на 2016'!$L225:U225)-SUM('членские взносы'!$M224:U224)</f>
        <v>7200</v>
      </c>
      <c r="V224" s="85" t="n">
        <f aca="false">SUM('план на 2016'!$L225:V225)-SUM('членские взносы'!$M224:V224)</f>
        <v>8000</v>
      </c>
      <c r="W224" s="85" t="n">
        <f aca="false">SUM('план на 2016'!$L225:W225)-SUM('членские взносы'!$M224:W224)</f>
        <v>8800</v>
      </c>
      <c r="X224" s="85" t="n">
        <f aca="false">SUM('план на 2016'!$L225:X225)-SUM('членские взносы'!$M224:X224)</f>
        <v>9600</v>
      </c>
      <c r="Y224" s="59" t="n">
        <f aca="false">X224</f>
        <v>9600</v>
      </c>
    </row>
    <row collapsed="false" customFormat="false" customHeight="false" hidden="false" ht="15" outlineLevel="0" r="225">
      <c r="A225" s="19" t="n">
        <f aca="false">VLOOKUP(B225,справочник!$B$2:$E$322,4,0)</f>
        <v>251</v>
      </c>
      <c r="B225" s="0" t="e">
        <f aca="false">CONCATENATE(C225;D225)</f>
        <v>#VALUE!</v>
      </c>
      <c r="C225" s="24" t="n">
        <v>262</v>
      </c>
      <c r="D225" s="29" t="s">
        <v>93</v>
      </c>
      <c r="E225" s="24" t="s">
        <v>583</v>
      </c>
      <c r="F225" s="30" t="n">
        <v>41751</v>
      </c>
      <c r="G225" s="30" t="n">
        <v>41760</v>
      </c>
      <c r="H225" s="31" t="n">
        <f aca="false">INT(($H$326-G225)/30)</f>
        <v>20</v>
      </c>
      <c r="I225" s="24" t="n">
        <f aca="false">H225*1000</f>
        <v>20000</v>
      </c>
      <c r="J225" s="31"/>
      <c r="K225" s="31"/>
      <c r="L225" s="59" t="n">
        <f aca="false">I225-J225-K225</f>
        <v>20000</v>
      </c>
      <c r="M225" s="85" t="n">
        <f aca="false">SUM('план на 2016'!$L226:M226)-SUM('членские взносы'!$M225:M225)</f>
        <v>20800</v>
      </c>
      <c r="N225" s="85" t="n">
        <f aca="false">SUM('план на 2016'!$L226:N226)-SUM('членские взносы'!$M225:N225)</f>
        <v>21600</v>
      </c>
      <c r="O225" s="85" t="n">
        <f aca="false">SUM('план на 2016'!$L226:O226)-SUM('членские взносы'!$M225:O225)</f>
        <v>22400</v>
      </c>
      <c r="P225" s="85" t="n">
        <f aca="false">SUM('план на 2016'!$L226:P226)-SUM('членские взносы'!$M225:P225)</f>
        <v>23200</v>
      </c>
      <c r="Q225" s="85" t="n">
        <f aca="false">SUM('план на 2016'!$L226:Q226)-SUM('членские взносы'!$M225:Q225)</f>
        <v>24000</v>
      </c>
      <c r="R225" s="85" t="n">
        <f aca="false">SUM('план на 2016'!$L226:R226)-SUM('членские взносы'!$M225:R225)</f>
        <v>24800</v>
      </c>
      <c r="S225" s="85" t="n">
        <f aca="false">SUM('план на 2016'!$L226:S226)-SUM('членские взносы'!$M225:S225)</f>
        <v>25600</v>
      </c>
      <c r="T225" s="85" t="n">
        <f aca="false">SUM('план на 2016'!$L226:T226)-SUM('членские взносы'!$M225:T225)</f>
        <v>26400</v>
      </c>
      <c r="U225" s="85" t="n">
        <f aca="false">SUM('план на 2016'!$L226:U226)-SUM('членские взносы'!$M225:U225)</f>
        <v>27200</v>
      </c>
      <c r="V225" s="85" t="n">
        <f aca="false">SUM('план на 2016'!$L226:V226)-SUM('членские взносы'!$M225:V225)</f>
        <v>28000</v>
      </c>
      <c r="W225" s="85" t="n">
        <f aca="false">SUM('план на 2016'!$L226:W226)-SUM('членские взносы'!$M225:W225)</f>
        <v>28800</v>
      </c>
      <c r="X225" s="85" t="n">
        <f aca="false">SUM('план на 2016'!$L226:X226)-SUM('членские взносы'!$M225:X225)</f>
        <v>29600</v>
      </c>
      <c r="Y225" s="59" t="n">
        <f aca="false">X225</f>
        <v>29600</v>
      </c>
    </row>
    <row collapsed="false" customFormat="false" customHeight="false" hidden="false" ht="15" outlineLevel="0" r="226">
      <c r="A226" s="19" t="n">
        <f aca="false">VLOOKUP(B226,справочник!$B$2:$E$322,4,0)</f>
        <v>315</v>
      </c>
      <c r="B226" s="0" t="e">
        <f aca="false">CONCATENATE(C226;D226)</f>
        <v>#VALUE!</v>
      </c>
      <c r="C226" s="24" t="s">
        <v>584</v>
      </c>
      <c r="D226" s="29" t="s">
        <v>99</v>
      </c>
      <c r="E226" s="24" t="s">
        <v>585</v>
      </c>
      <c r="F226" s="34" t="n">
        <v>40890</v>
      </c>
      <c r="G226" s="34" t="n">
        <v>40878</v>
      </c>
      <c r="H226" s="35" t="n">
        <f aca="false">INT(($H$326-G226)/30)</f>
        <v>49</v>
      </c>
      <c r="I226" s="36" t="n">
        <f aca="false">H226*1000</f>
        <v>49000</v>
      </c>
      <c r="J226" s="35" t="n">
        <f aca="false">28000+2000</f>
        <v>30000</v>
      </c>
      <c r="K226" s="35"/>
      <c r="L226" s="66" t="n">
        <f aca="false">I226-J226-K226</f>
        <v>19000</v>
      </c>
      <c r="M226" s="85" t="n">
        <f aca="false">SUM('план на 2016'!$L227:M227)-SUM('членские взносы'!$M226:M226)</f>
        <v>19800</v>
      </c>
      <c r="N226" s="85" t="n">
        <f aca="false">SUM('план на 2016'!$L227:N227)-SUM('членские взносы'!$M226:N226)</f>
        <v>20600</v>
      </c>
      <c r="O226" s="85" t="n">
        <f aca="false">SUM('план на 2016'!$L227:O227)-SUM('членские взносы'!$M226:O226)</f>
        <v>21400</v>
      </c>
      <c r="P226" s="85" t="n">
        <f aca="false">SUM('план на 2016'!$L227:P227)-SUM('членские взносы'!$M226:P226)</f>
        <v>22200</v>
      </c>
      <c r="Q226" s="85" t="n">
        <f aca="false">SUM('план на 2016'!$L227:Q227)-SUM('членские взносы'!$M226:Q226)</f>
        <v>23000</v>
      </c>
      <c r="R226" s="85" t="n">
        <f aca="false">SUM('план на 2016'!$L227:R227)-SUM('членские взносы'!$M226:R226)</f>
        <v>23800</v>
      </c>
      <c r="S226" s="85" t="n">
        <f aca="false">SUM('план на 2016'!$L227:S227)-SUM('членские взносы'!$M226:S226)</f>
        <v>24600</v>
      </c>
      <c r="T226" s="85" t="n">
        <f aca="false">SUM('план на 2016'!$L227:T227)-SUM('членские взносы'!$M226:T226)</f>
        <v>25400</v>
      </c>
      <c r="U226" s="85" t="n">
        <f aca="false">SUM('план на 2016'!$L227:U227)-SUM('членские взносы'!$M226:U226)</f>
        <v>26200</v>
      </c>
      <c r="V226" s="85" t="n">
        <f aca="false">SUM('план на 2016'!$L227:V227)-SUM('членские взносы'!$M226:V226)</f>
        <v>27000</v>
      </c>
      <c r="W226" s="85" t="n">
        <f aca="false">SUM('план на 2016'!$L227:W227)-SUM('членские взносы'!$M226:W226)</f>
        <v>27800</v>
      </c>
      <c r="X226" s="85" t="n">
        <f aca="false">SUM('план на 2016'!$L227:X227)-SUM('членские взносы'!$M226:X226)</f>
        <v>28600</v>
      </c>
      <c r="Y226" s="59" t="n">
        <f aca="false">X226</f>
        <v>28600</v>
      </c>
    </row>
    <row collapsed="false" customFormat="false" customHeight="true" hidden="false" ht="25.5" outlineLevel="0" r="227">
      <c r="A227" s="19" t="e">
        <f aca="false">VLOOKUP(B227,справочник!$B$2:$E$322,4,0)</f>
        <v>#VALUE!</v>
      </c>
      <c r="B227" s="0" t="e">
        <f aca="false">CONCATENATE(C227;D227)</f>
        <v>#VALUE!</v>
      </c>
      <c r="C227" s="24" t="s">
        <v>586</v>
      </c>
      <c r="D227" s="29" t="s">
        <v>303</v>
      </c>
      <c r="E227" s="36" t="s">
        <v>587</v>
      </c>
      <c r="F227" s="34" t="n">
        <v>40816</v>
      </c>
      <c r="G227" s="34" t="n">
        <v>40817</v>
      </c>
      <c r="H227" s="35" t="n">
        <f aca="false">INT(($H$326-G227)/30)</f>
        <v>51</v>
      </c>
      <c r="I227" s="36" t="n">
        <v>61000</v>
      </c>
      <c r="J227" s="35" t="n">
        <f aca="false">2000+55000</f>
        <v>57000</v>
      </c>
      <c r="K227" s="35" t="n">
        <v>4000</v>
      </c>
      <c r="L227" s="66" t="n">
        <f aca="false">I227-J227-K227</f>
        <v>0</v>
      </c>
      <c r="M227" s="85" t="n">
        <f aca="false">SUM('план на 2016'!$L228:M228)-SUM('членские взносы'!$M227:M227)</f>
        <v>-1200</v>
      </c>
      <c r="N227" s="85" t="n">
        <f aca="false">SUM('план на 2016'!$L228:N228)-SUM('членские взносы'!$M227:N227)</f>
        <v>-400</v>
      </c>
      <c r="O227" s="85" t="n">
        <f aca="false">SUM('план на 2016'!$L228:O228)-SUM('членские взносы'!$M227:O227)</f>
        <v>400</v>
      </c>
      <c r="P227" s="85" t="n">
        <f aca="false">SUM('план на 2016'!$L228:P228)-SUM('членские взносы'!$M227:P227)</f>
        <v>-800</v>
      </c>
      <c r="Q227" s="85" t="n">
        <f aca="false">SUM('план на 2016'!$L228:Q228)-SUM('членские взносы'!$M227:Q227)</f>
        <v>0</v>
      </c>
      <c r="R227" s="85" t="n">
        <f aca="false">SUM('план на 2016'!$L228:R228)-SUM('членские взносы'!$M227:R227)</f>
        <v>-1200</v>
      </c>
      <c r="S227" s="85" t="n">
        <f aca="false">SUM('план на 2016'!$L228:S228)-SUM('членские взносы'!$M227:S227)</f>
        <v>-400</v>
      </c>
      <c r="T227" s="85" t="n">
        <f aca="false">SUM('план на 2016'!$L228:T228)-SUM('членские взносы'!$M227:T227)</f>
        <v>-1600</v>
      </c>
      <c r="U227" s="85" t="n">
        <f aca="false">SUM('план на 2016'!$L228:U228)-SUM('членские взносы'!$M227:U227)</f>
        <v>-800</v>
      </c>
      <c r="V227" s="85" t="n">
        <f aca="false">SUM('план на 2016'!$L228:V228)-SUM('членские взносы'!$M227:V227)</f>
        <v>-2000</v>
      </c>
      <c r="W227" s="85" t="n">
        <f aca="false">SUM('план на 2016'!$L228:W228)-SUM('членские взносы'!$M227:W227)</f>
        <v>-1200</v>
      </c>
      <c r="X227" s="85" t="n">
        <f aca="false">SUM('план на 2016'!$L228:X228)-SUM('членские взносы'!$M227:X227)</f>
        <v>-2400</v>
      </c>
      <c r="Y227" s="59" t="n">
        <f aca="false">X227</f>
        <v>-2400</v>
      </c>
    </row>
    <row collapsed="false" customFormat="false" customHeight="false" hidden="false" ht="15" outlineLevel="0" r="228">
      <c r="A228" s="19" t="e">
        <f aca="false">VLOOKUP(B228,справочник!$B$2:$E$322,4,0)</f>
        <v>#VALUE!</v>
      </c>
      <c r="B228" s="0" t="e">
        <f aca="false">CONCATENATE(C228;D228)</f>
        <v>#VALUE!</v>
      </c>
      <c r="C228" s="24" t="s">
        <v>586</v>
      </c>
      <c r="D228" s="29" t="s">
        <v>303</v>
      </c>
      <c r="E228" s="36" t="s">
        <v>587</v>
      </c>
      <c r="F228" s="34" t="n">
        <v>40816</v>
      </c>
      <c r="G228" s="34" t="n">
        <v>40817</v>
      </c>
      <c r="H228" s="35" t="n">
        <f aca="false">INT(($H$326-G228)/30)</f>
        <v>51</v>
      </c>
      <c r="I228" s="36" t="n">
        <v>61000</v>
      </c>
      <c r="J228" s="35" t="n">
        <v>58000</v>
      </c>
      <c r="K228" s="35" t="n">
        <v>3000</v>
      </c>
      <c r="L228" s="66" t="n">
        <f aca="false">I228-J228-K228</f>
        <v>0</v>
      </c>
      <c r="M228" s="85" t="n">
        <f aca="false">SUM('план на 2016'!$L229:M229)-SUM('членские взносы'!$M228:M228)</f>
        <v>0</v>
      </c>
      <c r="N228" s="85" t="n">
        <f aca="false">SUM('план на 2016'!$L229:N229)-SUM('членские взносы'!$M228:N228)</f>
        <v>0</v>
      </c>
      <c r="O228" s="85" t="n">
        <f aca="false">SUM('план на 2016'!$L229:O229)-SUM('членские взносы'!$M228:O228)</f>
        <v>0</v>
      </c>
      <c r="P228" s="85" t="n">
        <f aca="false">SUM('план на 2016'!$L229:P229)-SUM('членские взносы'!$M228:P228)</f>
        <v>0</v>
      </c>
      <c r="Q228" s="85" t="n">
        <f aca="false">SUM('план на 2016'!$L229:Q229)-SUM('членские взносы'!$M228:Q228)</f>
        <v>0</v>
      </c>
      <c r="R228" s="85" t="n">
        <f aca="false">SUM('план на 2016'!$L229:R229)-SUM('членские взносы'!$M228:R228)</f>
        <v>0</v>
      </c>
      <c r="S228" s="85" t="n">
        <f aca="false">SUM('план на 2016'!$L229:S229)-SUM('членские взносы'!$M228:S228)</f>
        <v>0</v>
      </c>
      <c r="T228" s="85" t="n">
        <f aca="false">SUM('план на 2016'!$L229:T229)-SUM('членские взносы'!$M228:T228)</f>
        <v>0</v>
      </c>
      <c r="U228" s="85" t="n">
        <f aca="false">SUM('план на 2016'!$L229:U229)-SUM('членские взносы'!$M228:U228)</f>
        <v>0</v>
      </c>
      <c r="V228" s="85" t="n">
        <f aca="false">SUM('план на 2016'!$L229:V229)-SUM('членские взносы'!$M228:V228)</f>
        <v>0</v>
      </c>
      <c r="W228" s="85" t="n">
        <f aca="false">SUM('план на 2016'!$L229:W229)-SUM('членские взносы'!$M228:W228)</f>
        <v>0</v>
      </c>
      <c r="X228" s="85" t="n">
        <f aca="false">SUM('план на 2016'!$L229:X229)-SUM('членские взносы'!$M228:X228)</f>
        <v>0</v>
      </c>
      <c r="Y228" s="59" t="n">
        <f aca="false">X228</f>
        <v>0</v>
      </c>
    </row>
    <row collapsed="false" customFormat="false" customHeight="false" hidden="false" ht="25.5" outlineLevel="0" r="229">
      <c r="A229" s="19" t="n">
        <f aca="false">VLOOKUP(B229,справочник!$B$2:$E$322,4,0)</f>
        <v>195</v>
      </c>
      <c r="B229" s="0" t="e">
        <f aca="false">CONCATENATE(C229;D229)</f>
        <v>#VALUE!</v>
      </c>
      <c r="C229" s="24" t="n">
        <v>203</v>
      </c>
      <c r="D229" s="29" t="s">
        <v>97</v>
      </c>
      <c r="E229" s="24" t="s">
        <v>588</v>
      </c>
      <c r="F229" s="30" t="n">
        <v>41599</v>
      </c>
      <c r="G229" s="30" t="n">
        <v>41609</v>
      </c>
      <c r="H229" s="31" t="n">
        <f aca="false">INT(($H$326-G229)/30)</f>
        <v>25</v>
      </c>
      <c r="I229" s="24" t="n">
        <f aca="false">H229*1000</f>
        <v>25000</v>
      </c>
      <c r="J229" s="31" t="n">
        <v>1000</v>
      </c>
      <c r="K229" s="31"/>
      <c r="L229" s="59" t="n">
        <f aca="false">I229-J229-K229</f>
        <v>24000</v>
      </c>
      <c r="M229" s="85" t="n">
        <f aca="false">SUM('план на 2016'!$L230:M230)-SUM('членские взносы'!$M229:M229)</f>
        <v>24800</v>
      </c>
      <c r="N229" s="85" t="n">
        <f aca="false">SUM('план на 2016'!$L230:N230)-SUM('членские взносы'!$M229:N229)</f>
        <v>25600</v>
      </c>
      <c r="O229" s="85" t="n">
        <f aca="false">SUM('план на 2016'!$L230:O230)-SUM('членские взносы'!$M229:O229)</f>
        <v>26400</v>
      </c>
      <c r="P229" s="85" t="n">
        <f aca="false">SUM('план на 2016'!$L230:P230)-SUM('членские взносы'!$M229:P229)</f>
        <v>27200</v>
      </c>
      <c r="Q229" s="85" t="n">
        <f aca="false">SUM('план на 2016'!$L230:Q230)-SUM('членские взносы'!$M229:Q229)</f>
        <v>28000</v>
      </c>
      <c r="R229" s="85" t="n">
        <f aca="false">SUM('план на 2016'!$L230:R230)-SUM('членские взносы'!$M229:R229)</f>
        <v>24800</v>
      </c>
      <c r="S229" s="85" t="n">
        <f aca="false">SUM('план на 2016'!$L230:S230)-SUM('членские взносы'!$M229:S229)</f>
        <v>25600</v>
      </c>
      <c r="T229" s="85" t="n">
        <f aca="false">SUM('план на 2016'!$L230:T230)-SUM('членские взносы'!$M229:T229)</f>
        <v>26400</v>
      </c>
      <c r="U229" s="85" t="n">
        <f aca="false">SUM('план на 2016'!$L230:U230)-SUM('членские взносы'!$M229:U229)</f>
        <v>27200</v>
      </c>
      <c r="V229" s="85" t="n">
        <f aca="false">SUM('план на 2016'!$L230:V230)-SUM('членские взносы'!$M229:V229)</f>
        <v>28000</v>
      </c>
      <c r="W229" s="85" t="n">
        <f aca="false">SUM('план на 2016'!$L230:W230)-SUM('членские взносы'!$M229:W229)</f>
        <v>28800</v>
      </c>
      <c r="X229" s="85" t="n">
        <f aca="false">SUM('план на 2016'!$L230:X230)-SUM('членские взносы'!$M229:X229)</f>
        <v>29600</v>
      </c>
      <c r="Y229" s="59" t="n">
        <f aca="false">X229</f>
        <v>29600</v>
      </c>
    </row>
    <row collapsed="false" customFormat="false" customHeight="false" hidden="false" ht="15" outlineLevel="0" r="230">
      <c r="A230" s="19" t="n">
        <f aca="false">VLOOKUP(B230,справочник!$B$2:$E$322,4,0)</f>
        <v>144</v>
      </c>
      <c r="B230" s="0" t="e">
        <f aca="false">CONCATENATE(C230;D230)</f>
        <v>#VALUE!</v>
      </c>
      <c r="C230" s="24" t="n">
        <v>152</v>
      </c>
      <c r="D230" s="29" t="s">
        <v>23</v>
      </c>
      <c r="E230" s="24" t="s">
        <v>589</v>
      </c>
      <c r="F230" s="34" t="n">
        <v>40788</v>
      </c>
      <c r="G230" s="34" t="n">
        <v>40787</v>
      </c>
      <c r="H230" s="35" t="n">
        <f aca="false">INT(($H$326-G230)/30)</f>
        <v>52</v>
      </c>
      <c r="I230" s="36" t="n">
        <f aca="false">H230*1000</f>
        <v>52000</v>
      </c>
      <c r="J230" s="35" t="n">
        <v>1000</v>
      </c>
      <c r="K230" s="35"/>
      <c r="L230" s="66" t="n">
        <f aca="false">I230-J230-K230</f>
        <v>51000</v>
      </c>
      <c r="M230" s="85" t="n">
        <f aca="false">SUM('план на 2016'!$L231:M231)-SUM('членские взносы'!$M230:M230)</f>
        <v>51000</v>
      </c>
      <c r="N230" s="85" t="n">
        <f aca="false">SUM('план на 2016'!$L231:N231)-SUM('членские взносы'!$M230:N230)</f>
        <v>51000</v>
      </c>
      <c r="O230" s="85" t="n">
        <f aca="false">SUM('план на 2016'!$L231:O231)-SUM('членские взносы'!$M230:O230)</f>
        <v>51000</v>
      </c>
      <c r="P230" s="85" t="n">
        <f aca="false">SUM('план на 2016'!$L231:P231)-SUM('членские взносы'!$M230:P230)</f>
        <v>51000</v>
      </c>
      <c r="Q230" s="85" t="n">
        <f aca="false">SUM('план на 2016'!$L231:Q231)-SUM('членские взносы'!$M230:Q230)</f>
        <v>51000</v>
      </c>
      <c r="R230" s="85" t="n">
        <f aca="false">SUM('план на 2016'!$L231:R231)-SUM('членские взносы'!$M230:R230)</f>
        <v>51000</v>
      </c>
      <c r="S230" s="85" t="n">
        <f aca="false">SUM('план на 2016'!$L231:S231)-SUM('членские взносы'!$M230:S230)</f>
        <v>51000</v>
      </c>
      <c r="T230" s="85" t="n">
        <f aca="false">SUM('план на 2016'!$L231:T231)-SUM('членские взносы'!$M230:T230)</f>
        <v>51000</v>
      </c>
      <c r="U230" s="85" t="n">
        <f aca="false">SUM('план на 2016'!$L231:U231)-SUM('членские взносы'!$M230:U230)</f>
        <v>51000</v>
      </c>
      <c r="V230" s="85" t="n">
        <f aca="false">SUM('план на 2016'!$L231:V231)-SUM('членские взносы'!$M230:V230)</f>
        <v>51000</v>
      </c>
      <c r="W230" s="85" t="n">
        <f aca="false">SUM('план на 2016'!$L231:W231)-SUM('членские взносы'!$M230:W230)</f>
        <v>51000</v>
      </c>
      <c r="X230" s="85" t="n">
        <f aca="false">SUM('план на 2016'!$L231:X231)-SUM('членские взносы'!$M230:X230)</f>
        <v>51000</v>
      </c>
      <c r="Y230" s="59" t="n">
        <f aca="false">X230</f>
        <v>51000</v>
      </c>
    </row>
    <row collapsed="false" customFormat="false" customHeight="false" hidden="false" ht="15" outlineLevel="0" r="231">
      <c r="A231" s="19" t="n">
        <f aca="false">VLOOKUP(B231,справочник!$B$2:$E$322,4,0)</f>
        <v>144</v>
      </c>
      <c r="B231" s="0" t="e">
        <f aca="false">CONCATENATE(C231;D231)</f>
        <v>#VALUE!</v>
      </c>
      <c r="C231" s="24" t="n">
        <v>153</v>
      </c>
      <c r="D231" s="29" t="s">
        <v>23</v>
      </c>
      <c r="E231" s="24"/>
      <c r="F231" s="34" t="n">
        <v>40788</v>
      </c>
      <c r="G231" s="34" t="n">
        <v>40787</v>
      </c>
      <c r="H231" s="35" t="n">
        <f aca="false">INT(($H$326-G231)/30)</f>
        <v>52</v>
      </c>
      <c r="I231" s="36" t="n">
        <f aca="false">H231*1000</f>
        <v>52000</v>
      </c>
      <c r="J231" s="35" t="n">
        <v>1000</v>
      </c>
      <c r="K231" s="35"/>
      <c r="L231" s="66" t="n">
        <f aca="false">I231-J231-K231</f>
        <v>51000</v>
      </c>
      <c r="M231" s="85" t="n">
        <f aca="false">SUM('план на 2016'!$L232:M232)-SUM('членские взносы'!$M231:M231)</f>
        <v>51800</v>
      </c>
      <c r="N231" s="85" t="n">
        <f aca="false">SUM('план на 2016'!$L232:N232)-SUM('членские взносы'!$M231:N231)</f>
        <v>52600</v>
      </c>
      <c r="O231" s="85" t="n">
        <f aca="false">SUM('план на 2016'!$L232:O232)-SUM('членские взносы'!$M231:O231)</f>
        <v>53400</v>
      </c>
      <c r="P231" s="85" t="n">
        <f aca="false">SUM('план на 2016'!$L232:P232)-SUM('членские взносы'!$M231:P231)</f>
        <v>54200</v>
      </c>
      <c r="Q231" s="85" t="n">
        <f aca="false">SUM('план на 2016'!$L232:Q232)-SUM('членские взносы'!$M231:Q231)</f>
        <v>55000</v>
      </c>
      <c r="R231" s="85" t="n">
        <f aca="false">SUM('план на 2016'!$L232:R232)-SUM('членские взносы'!$M231:R231)</f>
        <v>55800</v>
      </c>
      <c r="S231" s="85" t="n">
        <f aca="false">SUM('план на 2016'!$L232:S232)-SUM('членские взносы'!$M231:S231)</f>
        <v>56600</v>
      </c>
      <c r="T231" s="85" t="n">
        <f aca="false">SUM('план на 2016'!$L232:T232)-SUM('членские взносы'!$M231:T231)</f>
        <v>57400</v>
      </c>
      <c r="U231" s="85" t="n">
        <f aca="false">SUM('план на 2016'!$L232:U232)-SUM('членские взносы'!$M231:U231)</f>
        <v>58200</v>
      </c>
      <c r="V231" s="85" t="n">
        <f aca="false">SUM('план на 2016'!$L232:V232)-SUM('членские взносы'!$M231:V231)</f>
        <v>59000</v>
      </c>
      <c r="W231" s="85" t="n">
        <f aca="false">SUM('план на 2016'!$L232:W232)-SUM('членские взносы'!$M231:W231)</f>
        <v>59800</v>
      </c>
      <c r="X231" s="85" t="n">
        <f aca="false">SUM('план на 2016'!$L232:X232)-SUM('членские взносы'!$M231:X231)</f>
        <v>60600</v>
      </c>
      <c r="Y231" s="59" t="n">
        <f aca="false">X231</f>
        <v>60600</v>
      </c>
    </row>
    <row collapsed="false" customFormat="false" customHeight="false" hidden="false" ht="15" outlineLevel="0" r="232">
      <c r="A232" s="19" t="n">
        <f aca="false">VLOOKUP(B232,справочник!$B$2:$E$322,4,0)</f>
        <v>74</v>
      </c>
      <c r="B232" s="0" t="e">
        <f aca="false">CONCATENATE(C232;D232)</f>
        <v>#VALUE!</v>
      </c>
      <c r="C232" s="24" t="n">
        <v>80</v>
      </c>
      <c r="D232" s="29" t="s">
        <v>245</v>
      </c>
      <c r="E232" s="36" t="s">
        <v>590</v>
      </c>
      <c r="F232" s="34" t="n">
        <v>41310</v>
      </c>
      <c r="G232" s="34" t="n">
        <v>41334</v>
      </c>
      <c r="H232" s="35" t="n">
        <f aca="false">INT(($H$326-G232)/30)</f>
        <v>34</v>
      </c>
      <c r="I232" s="36" t="n">
        <f aca="false">H232*1000</f>
        <v>34000</v>
      </c>
      <c r="J232" s="35" t="n">
        <v>31000</v>
      </c>
      <c r="K232" s="35"/>
      <c r="L232" s="66" t="n">
        <f aca="false">I232-J232-K232</f>
        <v>3000</v>
      </c>
      <c r="M232" s="85" t="n">
        <f aca="false">SUM('план на 2016'!$L233:M233)-SUM('членские взносы'!$M232:M232)</f>
        <v>-3000</v>
      </c>
      <c r="N232" s="85" t="n">
        <f aca="false">SUM('план на 2016'!$L233:N233)-SUM('членские взносы'!$M232:N232)</f>
        <v>-3000</v>
      </c>
      <c r="O232" s="85" t="n">
        <f aca="false">SUM('план на 2016'!$L233:O233)-SUM('членские взносы'!$M232:O232)</f>
        <v>-3000</v>
      </c>
      <c r="P232" s="85" t="n">
        <f aca="false">SUM('план на 2016'!$L233:P233)-SUM('членские взносы'!$M232:P232)</f>
        <v>-3000</v>
      </c>
      <c r="Q232" s="85" t="n">
        <f aca="false">SUM('план на 2016'!$L233:Q233)-SUM('членские взносы'!$M232:Q232)</f>
        <v>-5400</v>
      </c>
      <c r="R232" s="85" t="n">
        <f aca="false">SUM('план на 2016'!$L233:R233)-SUM('членские взносы'!$M232:R232)</f>
        <v>-5400</v>
      </c>
      <c r="S232" s="85" t="n">
        <f aca="false">SUM('план на 2016'!$L233:S233)-SUM('членские взносы'!$M232:S232)</f>
        <v>-7800</v>
      </c>
      <c r="T232" s="85" t="n">
        <f aca="false">SUM('план на 2016'!$L233:T233)-SUM('членские взносы'!$M232:T232)</f>
        <v>-7800</v>
      </c>
      <c r="U232" s="85" t="n">
        <f aca="false">SUM('план на 2016'!$L233:U233)-SUM('членские взносы'!$M232:U232)</f>
        <v>-7800</v>
      </c>
      <c r="V232" s="85" t="n">
        <f aca="false">SUM('план на 2016'!$L233:V233)-SUM('членские взносы'!$M232:V232)</f>
        <v>-10200</v>
      </c>
      <c r="W232" s="85" t="n">
        <f aca="false">SUM('план на 2016'!$L233:W233)-SUM('членские взносы'!$M232:W232)</f>
        <v>-10200</v>
      </c>
      <c r="X232" s="85" t="n">
        <f aca="false">SUM('план на 2016'!$L233:X233)-SUM('членские взносы'!$M232:X232)</f>
        <v>-12600</v>
      </c>
      <c r="Y232" s="59" t="n">
        <f aca="false">X232</f>
        <v>-12600</v>
      </c>
    </row>
    <row collapsed="false" customFormat="false" customHeight="false" hidden="false" ht="15" outlineLevel="0" r="233">
      <c r="A233" s="19" t="n">
        <f aca="false">VLOOKUP(B233,справочник!$B$2:$E$322,4,0)</f>
        <v>74</v>
      </c>
      <c r="B233" s="0" t="e">
        <f aca="false">CONCATENATE(C233;D233)</f>
        <v>#VALUE!</v>
      </c>
      <c r="C233" s="24" t="n">
        <v>81</v>
      </c>
      <c r="D233" s="29" t="s">
        <v>245</v>
      </c>
      <c r="E233" s="36" t="s">
        <v>591</v>
      </c>
      <c r="F233" s="34" t="n">
        <v>40682</v>
      </c>
      <c r="G233" s="34" t="n">
        <v>40695</v>
      </c>
      <c r="H233" s="35" t="n">
        <f aca="false">INT(($H$326-G233)/30)</f>
        <v>55</v>
      </c>
      <c r="I233" s="36" t="n">
        <f aca="false">H233*1000</f>
        <v>55000</v>
      </c>
      <c r="J233" s="35" t="n">
        <f aca="false">7000+48000-3000</f>
        <v>52000</v>
      </c>
      <c r="K233" s="35"/>
      <c r="L233" s="66" t="n">
        <f aca="false">I233-J233-K233</f>
        <v>3000</v>
      </c>
      <c r="M233" s="85" t="n">
        <f aca="false">SUM('план на 2016'!$L234:M234)-SUM('членские взносы'!$M233:M233)</f>
        <v>3800</v>
      </c>
      <c r="N233" s="85" t="n">
        <f aca="false">SUM('план на 2016'!$L234:N234)-SUM('членские взносы'!$M233:N233)</f>
        <v>4600</v>
      </c>
      <c r="O233" s="85" t="n">
        <f aca="false">SUM('план на 2016'!$L234:O234)-SUM('членские взносы'!$M233:O233)</f>
        <v>5400</v>
      </c>
      <c r="P233" s="85" t="n">
        <f aca="false">SUM('план на 2016'!$L234:P234)-SUM('членские взносы'!$M233:P233)</f>
        <v>6200</v>
      </c>
      <c r="Q233" s="85" t="n">
        <f aca="false">SUM('план на 2016'!$L234:Q234)-SUM('членские взносы'!$M233:Q233)</f>
        <v>7000</v>
      </c>
      <c r="R233" s="85" t="n">
        <f aca="false">SUM('план на 2016'!$L234:R234)-SUM('членские взносы'!$M233:R233)</f>
        <v>7800</v>
      </c>
      <c r="S233" s="85" t="n">
        <f aca="false">SUM('план на 2016'!$L234:S234)-SUM('членские взносы'!$M233:S233)</f>
        <v>8600</v>
      </c>
      <c r="T233" s="85" t="n">
        <f aca="false">SUM('план на 2016'!$L234:T234)-SUM('членские взносы'!$M233:T233)</f>
        <v>9400</v>
      </c>
      <c r="U233" s="85" t="n">
        <f aca="false">SUM('план на 2016'!$L234:U234)-SUM('членские взносы'!$M233:U233)</f>
        <v>10200</v>
      </c>
      <c r="V233" s="85" t="n">
        <f aca="false">SUM('план на 2016'!$L234:V234)-SUM('членские взносы'!$M233:V233)</f>
        <v>11000</v>
      </c>
      <c r="W233" s="85" t="n">
        <f aca="false">SUM('план на 2016'!$L234:W234)-SUM('членские взносы'!$M233:W233)</f>
        <v>11800</v>
      </c>
      <c r="X233" s="85" t="n">
        <f aca="false">SUM('план на 2016'!$L234:X234)-SUM('членские взносы'!$M233:X233)</f>
        <v>12600</v>
      </c>
      <c r="Y233" s="59" t="n">
        <f aca="false">X233</f>
        <v>12600</v>
      </c>
    </row>
    <row collapsed="false" customFormat="false" customHeight="false" hidden="false" ht="15" outlineLevel="0" r="234">
      <c r="A234" s="19" t="n">
        <f aca="false">VLOOKUP(B234,справочник!$B$2:$E$322,4,0)</f>
        <v>68</v>
      </c>
      <c r="B234" s="0" t="e">
        <f aca="false">CONCATENATE(C234;D234)</f>
        <v>#VALUE!</v>
      </c>
      <c r="C234" s="24" t="n">
        <v>70</v>
      </c>
      <c r="D234" s="29" t="s">
        <v>272</v>
      </c>
      <c r="E234" s="24" t="s">
        <v>592</v>
      </c>
      <c r="F234" s="30" t="n">
        <v>40687</v>
      </c>
      <c r="G234" s="30" t="n">
        <v>40664</v>
      </c>
      <c r="H234" s="31" t="n">
        <f aca="false">INT(($H$326-G234)/30)</f>
        <v>56</v>
      </c>
      <c r="I234" s="24" t="n">
        <f aca="false">H234*1000</f>
        <v>56000</v>
      </c>
      <c r="J234" s="31" t="n">
        <f aca="false">12000+44000</f>
        <v>56000</v>
      </c>
      <c r="K234" s="31"/>
      <c r="L234" s="59" t="n">
        <f aca="false">I234-J234-K234</f>
        <v>0</v>
      </c>
      <c r="M234" s="85" t="n">
        <f aca="false">SUM('план на 2016'!$L235:M235)-SUM('членские взносы'!$M234:M234)</f>
        <v>800</v>
      </c>
      <c r="N234" s="85" t="n">
        <f aca="false">SUM('план на 2016'!$L235:N235)-SUM('членские взносы'!$M234:N234)</f>
        <v>0</v>
      </c>
      <c r="O234" s="85" t="n">
        <f aca="false">SUM('план на 2016'!$L235:O235)-SUM('членские взносы'!$M234:O234)</f>
        <v>0</v>
      </c>
      <c r="P234" s="85" t="n">
        <f aca="false">SUM('план на 2016'!$L235:P235)-SUM('членские взносы'!$M234:P234)</f>
        <v>800</v>
      </c>
      <c r="Q234" s="85" t="n">
        <f aca="false">SUM('план на 2016'!$L235:Q235)-SUM('членские взносы'!$M234:Q234)</f>
        <v>800</v>
      </c>
      <c r="R234" s="85" t="n">
        <f aca="false">SUM('план на 2016'!$L235:R235)-SUM('членские взносы'!$M234:R234)</f>
        <v>800</v>
      </c>
      <c r="S234" s="85" t="n">
        <f aca="false">SUM('план на 2016'!$L235:S235)-SUM('членские взносы'!$M234:S234)</f>
        <v>1600</v>
      </c>
      <c r="T234" s="85" t="n">
        <f aca="false">SUM('план на 2016'!$L235:T235)-SUM('членские взносы'!$M234:T234)</f>
        <v>2400</v>
      </c>
      <c r="U234" s="85" t="n">
        <f aca="false">SUM('план на 2016'!$L235:U235)-SUM('членские взносы'!$M234:U234)</f>
        <v>2400</v>
      </c>
      <c r="V234" s="85" t="n">
        <f aca="false">SUM('план на 2016'!$L235:V235)-SUM('членские взносы'!$M234:V234)</f>
        <v>3200</v>
      </c>
      <c r="W234" s="85" t="n">
        <f aca="false">SUM('план на 2016'!$L235:W235)-SUM('членские взносы'!$M234:W234)</f>
        <v>4000</v>
      </c>
      <c r="X234" s="85" t="n">
        <f aca="false">SUM('план на 2016'!$L235:X235)-SUM('членские взносы'!$M234:X234)</f>
        <v>4800</v>
      </c>
      <c r="Y234" s="59" t="n">
        <f aca="false">X234</f>
        <v>4800</v>
      </c>
    </row>
    <row collapsed="false" customFormat="false" customHeight="false" hidden="false" ht="15" outlineLevel="0" r="235">
      <c r="A235" s="19" t="n">
        <f aca="false">VLOOKUP(B235,справочник!$B$2:$E$322,4,0)</f>
        <v>224</v>
      </c>
      <c r="B235" s="0" t="e">
        <f aca="false">CONCATENATE(C235;D235)</f>
        <v>#VALUE!</v>
      </c>
      <c r="C235" s="24" t="n">
        <v>233</v>
      </c>
      <c r="D235" s="29" t="s">
        <v>96</v>
      </c>
      <c r="E235" s="24" t="s">
        <v>593</v>
      </c>
      <c r="F235" s="30" t="n">
        <v>41751</v>
      </c>
      <c r="G235" s="30" t="n">
        <v>41760</v>
      </c>
      <c r="H235" s="31" t="n">
        <f aca="false">INT(($H$326-G235)/30)</f>
        <v>20</v>
      </c>
      <c r="I235" s="24" t="n">
        <f aca="false">H235*1000</f>
        <v>20000</v>
      </c>
      <c r="J235" s="31"/>
      <c r="K235" s="31"/>
      <c r="L235" s="59" t="n">
        <f aca="false">I235-J235-K235</f>
        <v>20000</v>
      </c>
      <c r="M235" s="85" t="n">
        <f aca="false">SUM('план на 2016'!$L236:M236)-SUM('членские взносы'!$M235:M235)</f>
        <v>20800</v>
      </c>
      <c r="N235" s="85" t="n">
        <f aca="false">SUM('план на 2016'!$L236:N236)-SUM('членские взносы'!$M235:N235)</f>
        <v>21600</v>
      </c>
      <c r="O235" s="85" t="n">
        <f aca="false">SUM('план на 2016'!$L236:O236)-SUM('членские взносы'!$M235:O235)</f>
        <v>22400</v>
      </c>
      <c r="P235" s="85" t="n">
        <f aca="false">SUM('план на 2016'!$L236:P236)-SUM('членские взносы'!$M235:P235)</f>
        <v>23200</v>
      </c>
      <c r="Q235" s="85" t="n">
        <f aca="false">SUM('план на 2016'!$L236:Q236)-SUM('членские взносы'!$M235:Q235)</f>
        <v>24000</v>
      </c>
      <c r="R235" s="85" t="n">
        <f aca="false">SUM('план на 2016'!$L236:R236)-SUM('членские взносы'!$M235:R235)</f>
        <v>24800</v>
      </c>
      <c r="S235" s="85" t="n">
        <f aca="false">SUM('план на 2016'!$L236:S236)-SUM('членские взносы'!$M235:S235)</f>
        <v>25600</v>
      </c>
      <c r="T235" s="85" t="n">
        <f aca="false">SUM('план на 2016'!$L236:T236)-SUM('членские взносы'!$M235:T235)</f>
        <v>26400</v>
      </c>
      <c r="U235" s="85" t="n">
        <f aca="false">SUM('план на 2016'!$L236:U236)-SUM('членские взносы'!$M235:U235)</f>
        <v>27200</v>
      </c>
      <c r="V235" s="85" t="n">
        <f aca="false">SUM('план на 2016'!$L236:V236)-SUM('членские взносы'!$M235:V235)</f>
        <v>28000</v>
      </c>
      <c r="W235" s="85" t="n">
        <f aca="false">SUM('план на 2016'!$L236:W236)-SUM('членские взносы'!$M235:W235)</f>
        <v>28800</v>
      </c>
      <c r="X235" s="85" t="n">
        <f aca="false">SUM('план на 2016'!$L236:X236)-SUM('членские взносы'!$M235:X235)</f>
        <v>29600</v>
      </c>
      <c r="Y235" s="59" t="n">
        <f aca="false">X235</f>
        <v>29600</v>
      </c>
    </row>
    <row collapsed="false" customFormat="false" customHeight="false" hidden="false" ht="15" outlineLevel="0" r="236">
      <c r="A236" s="19" t="n">
        <f aca="false">VLOOKUP(B236,справочник!$B$2:$E$322,4,0)</f>
        <v>134</v>
      </c>
      <c r="B236" s="0" t="e">
        <f aca="false">CONCATENATE(C236;D236)</f>
        <v>#VALUE!</v>
      </c>
      <c r="C236" s="24" t="n">
        <v>141</v>
      </c>
      <c r="D236" s="29" t="s">
        <v>283</v>
      </c>
      <c r="E236" s="24" t="s">
        <v>594</v>
      </c>
      <c r="F236" s="30" t="n">
        <v>40893</v>
      </c>
      <c r="G236" s="30" t="n">
        <v>40878</v>
      </c>
      <c r="H236" s="31" t="n">
        <f aca="false">INT(($H$326-G236)/30)</f>
        <v>49</v>
      </c>
      <c r="I236" s="24" t="n">
        <f aca="false">H236*1000</f>
        <v>49000</v>
      </c>
      <c r="J236" s="31" t="n">
        <f aca="false">37000</f>
        <v>37000</v>
      </c>
      <c r="K236" s="31"/>
      <c r="L236" s="59" t="n">
        <f aca="false">I236-J236-K236</f>
        <v>12000</v>
      </c>
      <c r="M236" s="85" t="n">
        <f aca="false">SUM('план на 2016'!$L237:M237)-SUM('членские взносы'!$M236:M236)</f>
        <v>800</v>
      </c>
      <c r="N236" s="85" t="n">
        <f aca="false">SUM('план на 2016'!$L237:N237)-SUM('членские взносы'!$M236:N236)</f>
        <v>-3200</v>
      </c>
      <c r="O236" s="85" t="n">
        <f aca="false">SUM('план на 2016'!$L237:O237)-SUM('членские взносы'!$M236:O236)</f>
        <v>-2400</v>
      </c>
      <c r="P236" s="85" t="n">
        <f aca="false">SUM('план на 2016'!$L237:P237)-SUM('членские взносы'!$M236:P236)</f>
        <v>-1600</v>
      </c>
      <c r="Q236" s="85" t="n">
        <f aca="false">SUM('план на 2016'!$L237:Q237)-SUM('членские взносы'!$M236:Q236)</f>
        <v>-800</v>
      </c>
      <c r="R236" s="85" t="n">
        <f aca="false">SUM('план на 2016'!$L237:R237)-SUM('членские взносы'!$M236:R236)</f>
        <v>0</v>
      </c>
      <c r="S236" s="85" t="n">
        <f aca="false">SUM('план на 2016'!$L237:S237)-SUM('членские взносы'!$M236:S236)</f>
        <v>800</v>
      </c>
      <c r="T236" s="85" t="n">
        <f aca="false">SUM('план на 2016'!$L237:T237)-SUM('членские взносы'!$M236:T236)</f>
        <v>1600</v>
      </c>
      <c r="U236" s="85" t="n">
        <f aca="false">SUM('план на 2016'!$L237:U237)-SUM('членские взносы'!$M236:U236)</f>
        <v>2400</v>
      </c>
      <c r="V236" s="85" t="n">
        <f aca="false">SUM('план на 2016'!$L237:V237)-SUM('членские взносы'!$M236:V236)</f>
        <v>-1600</v>
      </c>
      <c r="W236" s="85" t="n">
        <f aca="false">SUM('план на 2016'!$L237:W237)-SUM('членские взносы'!$M236:W236)</f>
        <v>-800</v>
      </c>
      <c r="X236" s="85" t="n">
        <f aca="false">SUM('план на 2016'!$L237:X237)-SUM('членские взносы'!$M236:X236)</f>
        <v>0</v>
      </c>
      <c r="Y236" s="59" t="n">
        <f aca="false">X236</f>
        <v>0</v>
      </c>
    </row>
    <row collapsed="false" customFormat="false" customHeight="true" hidden="false" ht="38.25" outlineLevel="0" r="237">
      <c r="A237" s="19" t="n">
        <f aca="false">VLOOKUP(B237,справочник!$B$2:$E$322,4,0)</f>
        <v>267</v>
      </c>
      <c r="B237" s="0" t="e">
        <f aca="false">CONCATENATE(C237;D237)</f>
        <v>#VALUE!</v>
      </c>
      <c r="C237" s="24" t="n">
        <v>280</v>
      </c>
      <c r="D237" s="29" t="s">
        <v>258</v>
      </c>
      <c r="E237" s="24" t="s">
        <v>595</v>
      </c>
      <c r="F237" s="30" t="n">
        <v>41023</v>
      </c>
      <c r="G237" s="30" t="n">
        <v>41000</v>
      </c>
      <c r="H237" s="31" t="n">
        <f aca="false">INT(($H$326-G237)/30)</f>
        <v>45</v>
      </c>
      <c r="I237" s="24" t="n">
        <f aca="false">H237*1000</f>
        <v>45000</v>
      </c>
      <c r="J237" s="31" t="n">
        <f aca="false">41000</f>
        <v>41000</v>
      </c>
      <c r="K237" s="31"/>
      <c r="L237" s="59" t="n">
        <f aca="false">I237-J237-K237</f>
        <v>4000</v>
      </c>
      <c r="M237" s="85" t="n">
        <f aca="false">SUM('план на 2016'!$L238:M238)-SUM('членские взносы'!$M237:M237)</f>
        <v>4800</v>
      </c>
      <c r="N237" s="85" t="n">
        <f aca="false">SUM('план на 2016'!$L238:N238)-SUM('членские взносы'!$M237:N237)</f>
        <v>1600</v>
      </c>
      <c r="O237" s="85" t="n">
        <f aca="false">SUM('план на 2016'!$L238:O238)-SUM('членские взносы'!$M237:O237)</f>
        <v>400</v>
      </c>
      <c r="P237" s="85" t="n">
        <f aca="false">SUM('план на 2016'!$L238:P238)-SUM('членские взносы'!$M237:P237)</f>
        <v>-800</v>
      </c>
      <c r="Q237" s="85" t="n">
        <f aca="false">SUM('план на 2016'!$L238:Q238)-SUM('членские взносы'!$M237:Q237)</f>
        <v>0</v>
      </c>
      <c r="R237" s="85" t="n">
        <f aca="false">SUM('план на 2016'!$L238:R238)-SUM('членские взносы'!$M237:R237)</f>
        <v>800</v>
      </c>
      <c r="S237" s="85" t="n">
        <f aca="false">SUM('план на 2016'!$L238:S238)-SUM('членские взносы'!$M237:S237)</f>
        <v>1600</v>
      </c>
      <c r="T237" s="85" t="n">
        <f aca="false">SUM('план на 2016'!$L238:T238)-SUM('членские взносы'!$M237:T237)</f>
        <v>2400</v>
      </c>
      <c r="U237" s="85" t="n">
        <f aca="false">SUM('план на 2016'!$L238:U238)-SUM('членские взносы'!$M237:U237)</f>
        <v>1200</v>
      </c>
      <c r="V237" s="85" t="n">
        <f aca="false">SUM('план на 2016'!$L238:V238)-SUM('членские взносы'!$M237:V237)</f>
        <v>0</v>
      </c>
      <c r="W237" s="85" t="n">
        <f aca="false">SUM('план на 2016'!$L238:W238)-SUM('членские взносы'!$M237:W237)</f>
        <v>-1200</v>
      </c>
      <c r="X237" s="85" t="n">
        <f aca="false">SUM('план на 2016'!$L238:X238)-SUM('членские взносы'!$M237:X237)</f>
        <v>-400</v>
      </c>
      <c r="Y237" s="59" t="n">
        <f aca="false">X237</f>
        <v>-400</v>
      </c>
    </row>
    <row collapsed="false" customFormat="false" customHeight="false" hidden="false" ht="15" outlineLevel="0" r="238">
      <c r="A238" s="19" t="n">
        <f aca="false">VLOOKUP(B238,справочник!$B$2:$E$322,4,0)</f>
        <v>258</v>
      </c>
      <c r="B238" s="0" t="e">
        <f aca="false">CONCATENATE(C238;D238)</f>
        <v>#VALUE!</v>
      </c>
      <c r="C238" s="24" t="n">
        <v>271</v>
      </c>
      <c r="D238" s="29" t="s">
        <v>279</v>
      </c>
      <c r="E238" s="24" t="s">
        <v>596</v>
      </c>
      <c r="F238" s="30" t="n">
        <v>41039</v>
      </c>
      <c r="G238" s="30" t="n">
        <v>41030</v>
      </c>
      <c r="H238" s="31" t="n">
        <f aca="false">INT(($H$326-G238)/30)</f>
        <v>44</v>
      </c>
      <c r="I238" s="24" t="n">
        <f aca="false">H238*1000</f>
        <v>44000</v>
      </c>
      <c r="J238" s="31" t="n">
        <v>44000</v>
      </c>
      <c r="K238" s="31"/>
      <c r="L238" s="59" t="n">
        <f aca="false">I238-J238-K238</f>
        <v>0</v>
      </c>
      <c r="M238" s="85" t="n">
        <f aca="false">SUM('план на 2016'!$L239:M239)-SUM('членские взносы'!$M238:M238)</f>
        <v>800</v>
      </c>
      <c r="N238" s="85" t="n">
        <f aca="false">SUM('план на 2016'!$L239:N239)-SUM('членские взносы'!$M238:N238)</f>
        <v>1600</v>
      </c>
      <c r="O238" s="85" t="n">
        <f aca="false">SUM('план на 2016'!$L239:O239)-SUM('членские взносы'!$M238:O238)</f>
        <v>2400</v>
      </c>
      <c r="P238" s="85" t="n">
        <f aca="false">SUM('план на 2016'!$L239:P239)-SUM('членские взносы'!$M238:P238)</f>
        <v>3200</v>
      </c>
      <c r="Q238" s="85" t="n">
        <f aca="false">SUM('план на 2016'!$L239:Q239)-SUM('членские взносы'!$M238:Q238)</f>
        <v>4000</v>
      </c>
      <c r="R238" s="85" t="n">
        <f aca="false">SUM('план на 2016'!$L239:R239)-SUM('членские взносы'!$M238:R238)</f>
        <v>0</v>
      </c>
      <c r="S238" s="85" t="n">
        <f aca="false">SUM('план на 2016'!$L239:S239)-SUM('членские взносы'!$M238:S238)</f>
        <v>800</v>
      </c>
      <c r="T238" s="85" t="n">
        <f aca="false">SUM('план на 2016'!$L239:T239)-SUM('членские взносы'!$M238:T238)</f>
        <v>1600</v>
      </c>
      <c r="U238" s="85" t="n">
        <f aca="false">SUM('план на 2016'!$L239:U239)-SUM('членские взносы'!$M238:U238)</f>
        <v>2400</v>
      </c>
      <c r="V238" s="85" t="n">
        <f aca="false">SUM('план на 2016'!$L239:V239)-SUM('членские взносы'!$M238:V238)</f>
        <v>3200</v>
      </c>
      <c r="W238" s="85" t="n">
        <f aca="false">SUM('план на 2016'!$L239:W239)-SUM('членские взносы'!$M238:W238)</f>
        <v>4000</v>
      </c>
      <c r="X238" s="85" t="n">
        <f aca="false">SUM('план на 2016'!$L239:X239)-SUM('членские взносы'!$M238:X238)</f>
        <v>4800</v>
      </c>
      <c r="Y238" s="59" t="n">
        <f aca="false">X238</f>
        <v>4800</v>
      </c>
    </row>
    <row collapsed="false" customFormat="false" customHeight="false" hidden="false" ht="25.5" outlineLevel="0" r="239">
      <c r="A239" s="19" t="n">
        <f aca="false">VLOOKUP(B239,справочник!$B$2:$E$322,4,0)</f>
        <v>299</v>
      </c>
      <c r="B239" s="0" t="e">
        <f aca="false">CONCATENATE(C239;D239)</f>
        <v>#VALUE!</v>
      </c>
      <c r="C239" s="24" t="n">
        <v>314</v>
      </c>
      <c r="D239" s="29" t="s">
        <v>56</v>
      </c>
      <c r="E239" s="24"/>
      <c r="F239" s="30" t="n">
        <v>42017</v>
      </c>
      <c r="G239" s="30" t="n">
        <v>41275</v>
      </c>
      <c r="H239" s="31" t="n">
        <f aca="false">INT(($H$326-G239)/30)</f>
        <v>36</v>
      </c>
      <c r="I239" s="24" t="n">
        <f aca="false">H239*1000</f>
        <v>36000</v>
      </c>
      <c r="J239" s="31" t="n">
        <f aca="false">1000</f>
        <v>1000</v>
      </c>
      <c r="K239" s="31" t="n">
        <v>3000</v>
      </c>
      <c r="L239" s="59" t="n">
        <f aca="false">I239-J239-K239</f>
        <v>32000</v>
      </c>
      <c r="M239" s="85" t="n">
        <f aca="false">SUM('план на 2016'!$L240:M240)-SUM('членские взносы'!$M239:M239)</f>
        <v>32800</v>
      </c>
      <c r="N239" s="85" t="n">
        <f aca="false">SUM('план на 2016'!$L240:N240)-SUM('членские взносы'!$M239:N239)</f>
        <v>33600</v>
      </c>
      <c r="O239" s="85" t="n">
        <f aca="false">SUM('план на 2016'!$L240:O240)-SUM('членские взносы'!$M239:O239)</f>
        <v>34400</v>
      </c>
      <c r="P239" s="85" t="n">
        <f aca="false">SUM('план на 2016'!$L240:P240)-SUM('членские взносы'!$M239:P239)</f>
        <v>35200</v>
      </c>
      <c r="Q239" s="85" t="n">
        <f aca="false">SUM('план на 2016'!$L240:Q240)-SUM('членские взносы'!$M239:Q239)</f>
        <v>36000</v>
      </c>
      <c r="R239" s="85" t="n">
        <f aca="false">SUM('план на 2016'!$L240:R240)-SUM('членские взносы'!$M239:R239)</f>
        <v>36800</v>
      </c>
      <c r="S239" s="85" t="n">
        <f aca="false">SUM('план на 2016'!$L240:S240)-SUM('членские взносы'!$M239:S239)</f>
        <v>37600</v>
      </c>
      <c r="T239" s="85" t="n">
        <f aca="false">SUM('план на 2016'!$L240:T240)-SUM('членские взносы'!$M239:T239)</f>
        <v>38400</v>
      </c>
      <c r="U239" s="85" t="n">
        <f aca="false">SUM('план на 2016'!$L240:U240)-SUM('членские взносы'!$M239:U239)</f>
        <v>39200</v>
      </c>
      <c r="V239" s="85" t="n">
        <f aca="false">SUM('план на 2016'!$L240:V240)-SUM('членские взносы'!$M239:V239)</f>
        <v>40000</v>
      </c>
      <c r="W239" s="85" t="n">
        <f aca="false">SUM('план на 2016'!$L240:W240)-SUM('членские взносы'!$M239:W239)</f>
        <v>40800</v>
      </c>
      <c r="X239" s="85" t="n">
        <f aca="false">SUM('план на 2016'!$L240:X240)-SUM('членские взносы'!$M239:X239)</f>
        <v>41600</v>
      </c>
      <c r="Y239" s="59" t="n">
        <f aca="false">X239</f>
        <v>41600</v>
      </c>
    </row>
    <row collapsed="false" customFormat="false" customHeight="false" hidden="false" ht="25.5" outlineLevel="0" r="240">
      <c r="A240" s="19" t="n">
        <f aca="false">VLOOKUP(B240,справочник!$B$2:$E$322,4,0)</f>
        <v>210</v>
      </c>
      <c r="B240" s="0" t="e">
        <f aca="false">CONCATENATE(C240;D240)</f>
        <v>#VALUE!</v>
      </c>
      <c r="C240" s="24" t="n">
        <v>219</v>
      </c>
      <c r="D240" s="29" t="s">
        <v>165</v>
      </c>
      <c r="E240" s="24"/>
      <c r="F240" s="30" t="n">
        <v>41913</v>
      </c>
      <c r="G240" s="30" t="n">
        <v>41944</v>
      </c>
      <c r="H240" s="31" t="n">
        <f aca="false">INT(($H$326-G240)/30)</f>
        <v>14</v>
      </c>
      <c r="I240" s="24" t="n">
        <f aca="false">H240*1000</f>
        <v>14000</v>
      </c>
      <c r="J240" s="31" t="n">
        <f aca="false">6000</f>
        <v>6000</v>
      </c>
      <c r="K240" s="31"/>
      <c r="L240" s="59" t="n">
        <f aca="false">I240-J240-K240</f>
        <v>8000</v>
      </c>
      <c r="M240" s="85" t="e">
        <f aca="false">SUM('план на 2016'!$L241:M241)-SUM('членские взносы'!#ref!:'членские взносы'!#ref!)</f>
        <v>#VALUE!</v>
      </c>
      <c r="N240" s="85" t="e">
        <f aca="false">SUM('план на 2016'!$L241:N241)-SUM('членские взносы'!#ref!:'членские взносы'!#ref!)</f>
        <v>#VALUE!</v>
      </c>
      <c r="O240" s="85" t="e">
        <f aca="false">SUM('план на 2016'!$L241:O241)-SUM('членские взносы'!#ref!:'членские взносы'!#ref!)</f>
        <v>#VALUE!</v>
      </c>
      <c r="P240" s="85" t="e">
        <f aca="false">SUM('план на 2016'!$L241:P241)-SUM('членские взносы'!#ref!:'членские взносы'!#ref!)</f>
        <v>#VALUE!</v>
      </c>
      <c r="Q240" s="85" t="e">
        <f aca="false">SUM('план на 2016'!$L241:Q241)-SUM('членские взносы'!#ref!:'членские взносы'!#ref!)</f>
        <v>#VALUE!</v>
      </c>
      <c r="R240" s="85" t="e">
        <f aca="false">SUM('план на 2016'!$L241:R241)-SUM('членские взносы'!#ref!:'членские взносы'!#ref!)</f>
        <v>#VALUE!</v>
      </c>
      <c r="S240" s="85" t="e">
        <f aca="false">SUM('план на 2016'!$L241:S241)-SUM('членские взносы'!#ref!:'членские взносы'!#ref!)</f>
        <v>#VALUE!</v>
      </c>
      <c r="T240" s="85" t="e">
        <f aca="false">SUM('план на 2016'!$L241:T241)-SUM('членские взносы'!#ref!:'членские взносы'!#ref!)</f>
        <v>#VALUE!</v>
      </c>
      <c r="U240" s="85" t="e">
        <f aca="false">SUM('план на 2016'!$L241:U241)-SUM('членские взносы'!#ref!:'членские взносы'!#ref!)</f>
        <v>#VALUE!</v>
      </c>
      <c r="V240" s="85" t="e">
        <f aca="false">SUM('план на 2016'!$L241:V241)-SUM('членские взносы'!#ref!:'членские взносы'!#ref!)</f>
        <v>#VALUE!</v>
      </c>
      <c r="W240" s="85" t="e">
        <f aca="false">SUM('план на 2016'!$L241:W241)-SUM('членские взносы'!#ref!:'членские взносы'!#ref!)</f>
        <v>#VALUE!</v>
      </c>
      <c r="X240" s="85" t="e">
        <f aca="false">SUM('план на 2016'!$L241:X241)-SUM('членские взносы'!#ref!:'членские взносы'!#ref!)</f>
        <v>#VALUE!</v>
      </c>
      <c r="Y240" s="59" t="e">
        <f aca="false">X240</f>
        <v>#VALUE!</v>
      </c>
    </row>
    <row collapsed="false" customFormat="false" customHeight="false" hidden="false" ht="15" outlineLevel="0" r="241">
      <c r="A241" s="19" t="n">
        <f aca="false">VLOOKUP(B241,справочник!$B$2:$E$322,4,0)</f>
        <v>239</v>
      </c>
      <c r="B241" s="0" t="e">
        <f aca="false">CONCATENATE(C241;D241)</f>
        <v>#VALUE!</v>
      </c>
      <c r="C241" s="24" t="n">
        <v>250</v>
      </c>
      <c r="D241" s="29" t="s">
        <v>94</v>
      </c>
      <c r="E241" s="24" t="s">
        <v>597</v>
      </c>
      <c r="F241" s="30" t="n">
        <v>40973</v>
      </c>
      <c r="G241" s="30" t="n">
        <v>40969</v>
      </c>
      <c r="H241" s="31" t="n">
        <f aca="false">INT(($H$326-G241)/30)</f>
        <v>46</v>
      </c>
      <c r="I241" s="24" t="n">
        <f aca="false">H241*1000</f>
        <v>46000</v>
      </c>
      <c r="J241" s="31" t="n">
        <v>26000</v>
      </c>
      <c r="K241" s="31"/>
      <c r="L241" s="59" t="n">
        <f aca="false">I241-J241-K241</f>
        <v>20000</v>
      </c>
      <c r="M241" s="85" t="n">
        <f aca="false">SUM('план на 2016'!$L242:M242)-SUM('членские взносы'!$M240:M240)</f>
        <v>20800</v>
      </c>
      <c r="N241" s="85" t="n">
        <f aca="false">SUM('план на 2016'!$L242:N242)-SUM('членские взносы'!$M240:N240)</f>
        <v>21600</v>
      </c>
      <c r="O241" s="85" t="n">
        <f aca="false">SUM('план на 2016'!$L242:O242)-SUM('членские взносы'!$M240:O240)</f>
        <v>22400</v>
      </c>
      <c r="P241" s="85" t="n">
        <f aca="false">SUM('план на 2016'!$L242:P242)-SUM('членские взносы'!$M240:P240)</f>
        <v>23200</v>
      </c>
      <c r="Q241" s="85" t="n">
        <f aca="false">SUM('план на 2016'!$L242:Q242)-SUM('членские взносы'!$M240:Q240)</f>
        <v>24000</v>
      </c>
      <c r="R241" s="85" t="n">
        <f aca="false">SUM('план на 2016'!$L242:R242)-SUM('членские взносы'!$M240:R240)</f>
        <v>24800</v>
      </c>
      <c r="S241" s="85" t="n">
        <f aca="false">SUM('план на 2016'!$L242:S242)-SUM('членские взносы'!$M240:S240)</f>
        <v>25600</v>
      </c>
      <c r="T241" s="85" t="n">
        <f aca="false">SUM('план на 2016'!$L242:T242)-SUM('членские взносы'!$M240:T240)</f>
        <v>26400</v>
      </c>
      <c r="U241" s="85" t="n">
        <f aca="false">SUM('план на 2016'!$L242:U242)-SUM('членские взносы'!$M240:U240)</f>
        <v>27200</v>
      </c>
      <c r="V241" s="85" t="n">
        <f aca="false">SUM('план на 2016'!$L242:V242)-SUM('членские взносы'!$M240:V240)</f>
        <v>28000</v>
      </c>
      <c r="W241" s="85" t="n">
        <f aca="false">SUM('план на 2016'!$L242:W242)-SUM('членские взносы'!$M240:W240)</f>
        <v>28800</v>
      </c>
      <c r="X241" s="85" t="n">
        <f aca="false">SUM('план на 2016'!$L242:X242)-SUM('членские взносы'!$M240:X240)</f>
        <v>29600</v>
      </c>
      <c r="Y241" s="59" t="n">
        <f aca="false">X241</f>
        <v>29600</v>
      </c>
    </row>
    <row collapsed="false" customFormat="false" customHeight="false" hidden="false" ht="15" outlineLevel="0" r="242">
      <c r="A242" s="19" t="n">
        <f aca="false">VLOOKUP(B242,справочник!$B$2:$E$322,4,0)</f>
        <v>238</v>
      </c>
      <c r="B242" s="0" t="e">
        <f aca="false">CONCATENATE(C242;D242)</f>
        <v>#VALUE!</v>
      </c>
      <c r="C242" s="24" t="n">
        <v>249</v>
      </c>
      <c r="D242" s="29" t="s">
        <v>43</v>
      </c>
      <c r="E242" s="24" t="s">
        <v>598</v>
      </c>
      <c r="F242" s="30" t="n">
        <v>41079</v>
      </c>
      <c r="G242" s="30" t="n">
        <v>41061</v>
      </c>
      <c r="H242" s="31" t="n">
        <f aca="false">INT(($H$326-G242)/30)</f>
        <v>43</v>
      </c>
      <c r="I242" s="24" t="n">
        <f aca="false">H242*1000</f>
        <v>43000</v>
      </c>
      <c r="J242" s="31"/>
      <c r="K242" s="31"/>
      <c r="L242" s="59" t="n">
        <f aca="false">I242-J242-K242</f>
        <v>43000</v>
      </c>
      <c r="M242" s="85" t="n">
        <f aca="false">SUM('план на 2016'!$L243:M243)-SUM('членские взносы'!$M241:M241)</f>
        <v>43800</v>
      </c>
      <c r="N242" s="85" t="n">
        <f aca="false">SUM('план на 2016'!$L243:N243)-SUM('членские взносы'!$M241:N241)</f>
        <v>44600</v>
      </c>
      <c r="O242" s="85" t="n">
        <f aca="false">SUM('план на 2016'!$L243:O243)-SUM('членские взносы'!$M241:O241)</f>
        <v>45400</v>
      </c>
      <c r="P242" s="85" t="n">
        <f aca="false">SUM('план на 2016'!$L243:P243)-SUM('членские взносы'!$M241:P241)</f>
        <v>46200</v>
      </c>
      <c r="Q242" s="85" t="n">
        <f aca="false">SUM('план на 2016'!$L243:Q243)-SUM('членские взносы'!$M241:Q241)</f>
        <v>47000</v>
      </c>
      <c r="R242" s="85" t="n">
        <f aca="false">SUM('план на 2016'!$L243:R243)-SUM('членские взносы'!$M241:R241)</f>
        <v>47800</v>
      </c>
      <c r="S242" s="85" t="n">
        <f aca="false">SUM('план на 2016'!$L243:S243)-SUM('членские взносы'!$M241:S241)</f>
        <v>48600</v>
      </c>
      <c r="T242" s="85" t="n">
        <f aca="false">SUM('план на 2016'!$L243:T243)-SUM('членские взносы'!$M241:T241)</f>
        <v>49400</v>
      </c>
      <c r="U242" s="85" t="n">
        <f aca="false">SUM('план на 2016'!$L243:U243)-SUM('членские взносы'!$M241:U241)</f>
        <v>50200</v>
      </c>
      <c r="V242" s="85" t="n">
        <f aca="false">SUM('план на 2016'!$L243:V243)-SUM('членские взносы'!$M241:V241)</f>
        <v>51000</v>
      </c>
      <c r="W242" s="85" t="n">
        <f aca="false">SUM('план на 2016'!$L243:W243)-SUM('членские взносы'!$M241:W241)</f>
        <v>51800</v>
      </c>
      <c r="X242" s="85" t="n">
        <f aca="false">SUM('план на 2016'!$L243:X243)-SUM('членские взносы'!$M241:X241)</f>
        <v>52600</v>
      </c>
      <c r="Y242" s="59" t="n">
        <f aca="false">X242</f>
        <v>52600</v>
      </c>
    </row>
    <row collapsed="false" customFormat="false" customHeight="false" hidden="false" ht="15" outlineLevel="0" r="243">
      <c r="A243" s="19" t="n">
        <f aca="false">VLOOKUP(B243,справочник!$B$2:$E$322,4,0)</f>
        <v>297</v>
      </c>
      <c r="B243" s="0" t="e">
        <f aca="false">CONCATENATE(C243;D243)</f>
        <v>#VALUE!</v>
      </c>
      <c r="C243" s="24" t="n">
        <v>312</v>
      </c>
      <c r="D243" s="29" t="s">
        <v>134</v>
      </c>
      <c r="E243" s="24" t="s">
        <v>599</v>
      </c>
      <c r="F243" s="30" t="n">
        <v>42004</v>
      </c>
      <c r="G243" s="30" t="n">
        <v>42005</v>
      </c>
      <c r="H243" s="31" t="n">
        <f aca="false">INT(($H$326-G243)/30)</f>
        <v>12</v>
      </c>
      <c r="I243" s="24" t="n">
        <f aca="false">H243*1000</f>
        <v>12000</v>
      </c>
      <c r="J243" s="31"/>
      <c r="K243" s="31"/>
      <c r="L243" s="59" t="n">
        <f aca="false">I243-J243-K243</f>
        <v>12000</v>
      </c>
      <c r="M243" s="85" t="n">
        <f aca="false">SUM('план на 2016'!$L244:M244)-SUM('членские взносы'!$M242:M242)</f>
        <v>12800</v>
      </c>
      <c r="N243" s="85" t="n">
        <f aca="false">SUM('план на 2016'!$L244:N244)-SUM('членские взносы'!$M242:N242)</f>
        <v>13600</v>
      </c>
      <c r="O243" s="85" t="n">
        <f aca="false">SUM('план на 2016'!$L244:O244)-SUM('членские взносы'!$M242:O242)</f>
        <v>14400</v>
      </c>
      <c r="P243" s="85" t="n">
        <f aca="false">SUM('план на 2016'!$L244:P244)-SUM('членские взносы'!$M242:P242)</f>
        <v>15200</v>
      </c>
      <c r="Q243" s="85" t="n">
        <f aca="false">SUM('план на 2016'!$L244:Q244)-SUM('членские взносы'!$M242:Q242)</f>
        <v>16000</v>
      </c>
      <c r="R243" s="85" t="n">
        <f aca="false">SUM('план на 2016'!$L244:R244)-SUM('членские взносы'!$M242:R242)</f>
        <v>16800</v>
      </c>
      <c r="S243" s="85" t="n">
        <f aca="false">SUM('план на 2016'!$L244:S244)-SUM('членские взносы'!$M242:S242)</f>
        <v>17600</v>
      </c>
      <c r="T243" s="85" t="n">
        <f aca="false">SUM('план на 2016'!$L244:T244)-SUM('членские взносы'!$M242:T242)</f>
        <v>18400</v>
      </c>
      <c r="U243" s="85" t="n">
        <f aca="false">SUM('план на 2016'!$L244:U244)-SUM('членские взносы'!$M242:U242)</f>
        <v>19200</v>
      </c>
      <c r="V243" s="85" t="n">
        <f aca="false">SUM('план на 2016'!$L244:V244)-SUM('членские взносы'!$M242:V242)</f>
        <v>20000</v>
      </c>
      <c r="W243" s="85" t="n">
        <f aca="false">SUM('план на 2016'!$L244:W244)-SUM('членские взносы'!$M242:W242)</f>
        <v>20800</v>
      </c>
      <c r="X243" s="85" t="n">
        <f aca="false">SUM('план на 2016'!$L244:X244)-SUM('членские взносы'!$M242:X242)</f>
        <v>21600</v>
      </c>
      <c r="Y243" s="59" t="n">
        <f aca="false">X243</f>
        <v>21600</v>
      </c>
    </row>
    <row collapsed="false" customFormat="false" customHeight="false" hidden="false" ht="25.5" outlineLevel="0" r="244">
      <c r="A244" s="19" t="n">
        <f aca="false">VLOOKUP(B244,справочник!$B$2:$E$322,4,0)</f>
        <v>128</v>
      </c>
      <c r="B244" s="0" t="e">
        <f aca="false">CONCATENATE(C244;D244)</f>
        <v>#VALUE!</v>
      </c>
      <c r="C244" s="24" t="n">
        <v>135</v>
      </c>
      <c r="D244" s="29" t="s">
        <v>186</v>
      </c>
      <c r="E244" s="24" t="s">
        <v>600</v>
      </c>
      <c r="F244" s="30" t="n">
        <v>41358</v>
      </c>
      <c r="G244" s="30" t="n">
        <v>41365</v>
      </c>
      <c r="H244" s="31" t="n">
        <f aca="false">INT(($H$326-G244)/30)</f>
        <v>33</v>
      </c>
      <c r="I244" s="24" t="n">
        <f aca="false">H244*1000</f>
        <v>33000</v>
      </c>
      <c r="J244" s="31" t="n">
        <v>26000</v>
      </c>
      <c r="K244" s="31"/>
      <c r="L244" s="59" t="n">
        <f aca="false">I244-J244-K244</f>
        <v>7000</v>
      </c>
      <c r="M244" s="85" t="n">
        <f aca="false">SUM('план на 2016'!$L245:M245)-SUM('членские взносы'!$M243:M243)</f>
        <v>3800</v>
      </c>
      <c r="N244" s="85" t="n">
        <f aca="false">SUM('план на 2016'!$L245:N245)-SUM('членские взносы'!$M243:N243)</f>
        <v>4600</v>
      </c>
      <c r="O244" s="85" t="n">
        <f aca="false">SUM('план на 2016'!$L245:O245)-SUM('членские взносы'!$M243:O243)</f>
        <v>5400</v>
      </c>
      <c r="P244" s="85" t="n">
        <f aca="false">SUM('план на 2016'!$L245:P245)-SUM('членские взносы'!$M243:P243)</f>
        <v>6200</v>
      </c>
      <c r="Q244" s="85" t="n">
        <f aca="false">SUM('план на 2016'!$L245:Q245)-SUM('членские взносы'!$M243:Q243)</f>
        <v>7000</v>
      </c>
      <c r="R244" s="85" t="n">
        <f aca="false">SUM('план на 2016'!$L245:R245)-SUM('членские взносы'!$M243:R243)</f>
        <v>7800</v>
      </c>
      <c r="S244" s="85" t="n">
        <f aca="false">SUM('план на 2016'!$L245:S245)-SUM('членские взносы'!$M243:S243)</f>
        <v>8600</v>
      </c>
      <c r="T244" s="85" t="n">
        <f aca="false">SUM('план на 2016'!$L245:T245)-SUM('членские взносы'!$M243:T243)</f>
        <v>9400</v>
      </c>
      <c r="U244" s="85" t="n">
        <f aca="false">SUM('план на 2016'!$L245:U245)-SUM('членские взносы'!$M243:U243)</f>
        <v>7000</v>
      </c>
      <c r="V244" s="85" t="n">
        <f aca="false">SUM('план на 2016'!$L245:V245)-SUM('членские взносы'!$M243:V243)</f>
        <v>7800</v>
      </c>
      <c r="W244" s="85" t="n">
        <f aca="false">SUM('план на 2016'!$L245:W245)-SUM('членские взносы'!$M243:W243)</f>
        <v>6200</v>
      </c>
      <c r="X244" s="85" t="n">
        <f aca="false">SUM('план на 2016'!$L245:X245)-SUM('членские взносы'!$M243:X243)</f>
        <v>7000</v>
      </c>
      <c r="Y244" s="59" t="n">
        <f aca="false">X244</f>
        <v>7000</v>
      </c>
    </row>
    <row collapsed="false" customFormat="false" customHeight="false" hidden="false" ht="15" outlineLevel="0" r="245">
      <c r="A245" s="19" t="n">
        <f aca="false">VLOOKUP(B245,справочник!$B$2:$E$322,4,0)</f>
        <v>67</v>
      </c>
      <c r="B245" s="0" t="e">
        <f aca="false">CONCATENATE(C245;D245)</f>
        <v>#VALUE!</v>
      </c>
      <c r="C245" s="24" t="n">
        <v>69</v>
      </c>
      <c r="D245" s="29" t="s">
        <v>41</v>
      </c>
      <c r="E245" s="24" t="s">
        <v>601</v>
      </c>
      <c r="F245" s="30" t="n">
        <v>41012</v>
      </c>
      <c r="G245" s="30" t="n">
        <v>41000</v>
      </c>
      <c r="H245" s="31" t="n">
        <f aca="false">INT(($H$326-G245)/30)</f>
        <v>45</v>
      </c>
      <c r="I245" s="24" t="n">
        <f aca="false">H245*1000</f>
        <v>45000</v>
      </c>
      <c r="J245" s="31" t="n">
        <v>1000</v>
      </c>
      <c r="K245" s="31"/>
      <c r="L245" s="59" t="n">
        <f aca="false">I245-J245-K245</f>
        <v>44000</v>
      </c>
      <c r="M245" s="85" t="n">
        <f aca="false">SUM('план на 2016'!$L246:M246)-SUM('членские взносы'!$M244:M244)</f>
        <v>44800</v>
      </c>
      <c r="N245" s="85" t="n">
        <f aca="false">SUM('план на 2016'!$L246:N246)-SUM('членские взносы'!$M244:N244)</f>
        <v>45600</v>
      </c>
      <c r="O245" s="85" t="n">
        <f aca="false">SUM('план на 2016'!$L246:O246)-SUM('членские взносы'!$M244:O244)</f>
        <v>46400</v>
      </c>
      <c r="P245" s="85" t="n">
        <f aca="false">SUM('план на 2016'!$L246:P246)-SUM('членские взносы'!$M244:P244)</f>
        <v>47200</v>
      </c>
      <c r="Q245" s="85" t="n">
        <f aca="false">SUM('план на 2016'!$L246:Q246)-SUM('членские взносы'!$M244:Q244)</f>
        <v>48000</v>
      </c>
      <c r="R245" s="85" t="n">
        <f aca="false">SUM('план на 2016'!$L246:R246)-SUM('членские взносы'!$M244:R244)</f>
        <v>48800</v>
      </c>
      <c r="S245" s="85" t="n">
        <f aca="false">SUM('план на 2016'!$L246:S246)-SUM('членские взносы'!$M244:S244)</f>
        <v>49600</v>
      </c>
      <c r="T245" s="85" t="n">
        <f aca="false">SUM('план на 2016'!$L246:T246)-SUM('членские взносы'!$M244:T244)</f>
        <v>50400</v>
      </c>
      <c r="U245" s="85" t="n">
        <f aca="false">SUM('план на 2016'!$L246:U246)-SUM('членские взносы'!$M244:U244)</f>
        <v>51200</v>
      </c>
      <c r="V245" s="85" t="n">
        <f aca="false">SUM('план на 2016'!$L246:V246)-SUM('членские взносы'!$M244:V244)</f>
        <v>52000</v>
      </c>
      <c r="W245" s="85" t="n">
        <f aca="false">SUM('план на 2016'!$L246:W246)-SUM('членские взносы'!$M244:W244)</f>
        <v>52800</v>
      </c>
      <c r="X245" s="85" t="n">
        <f aca="false">SUM('план на 2016'!$L246:X246)-SUM('членские взносы'!$M244:X244)</f>
        <v>53600</v>
      </c>
      <c r="Y245" s="59" t="n">
        <f aca="false">X245</f>
        <v>53600</v>
      </c>
    </row>
    <row collapsed="false" customFormat="false" customHeight="false" hidden="false" ht="15" outlineLevel="0" r="246">
      <c r="A246" s="19" t="n">
        <f aca="false">VLOOKUP(B246,справочник!$B$2:$E$322,4,0)</f>
        <v>278</v>
      </c>
      <c r="B246" s="0" t="e">
        <f aca="false">CONCATENATE(C246;D246)</f>
        <v>#VALUE!</v>
      </c>
      <c r="C246" s="24" t="n">
        <v>290</v>
      </c>
      <c r="D246" s="29" t="s">
        <v>33</v>
      </c>
      <c r="E246" s="24" t="s">
        <v>603</v>
      </c>
      <c r="F246" s="30" t="n">
        <v>40897</v>
      </c>
      <c r="G246" s="30" t="n">
        <v>40878</v>
      </c>
      <c r="H246" s="31" t="n">
        <f aca="false">INT(($H$326-G246)/30)</f>
        <v>49</v>
      </c>
      <c r="I246" s="24" t="n">
        <f aca="false">H246*1000</f>
        <v>49000</v>
      </c>
      <c r="J246" s="31" t="n">
        <v>1000</v>
      </c>
      <c r="K246" s="31"/>
      <c r="L246" s="59" t="n">
        <f aca="false">I246-J246-K246</f>
        <v>48000</v>
      </c>
      <c r="M246" s="85" t="n">
        <f aca="false">SUM('план на 2016'!$L247:M247)-SUM('членские взносы'!$M245:M245)</f>
        <v>0</v>
      </c>
      <c r="N246" s="85" t="n">
        <f aca="false">SUM('план на 2016'!$L247:N247)-SUM('членские взносы'!$M245:N245)</f>
        <v>0</v>
      </c>
      <c r="O246" s="85" t="n">
        <f aca="false">SUM('план на 2016'!$L247:O247)-SUM('членские взносы'!$M245:O245)</f>
        <v>0</v>
      </c>
      <c r="P246" s="85" t="n">
        <f aca="false">SUM('план на 2016'!$L247:P247)-SUM('членские взносы'!$M245:P245)</f>
        <v>0</v>
      </c>
      <c r="Q246" s="85" t="n">
        <f aca="false">SUM('план на 2016'!$L247:Q247)-SUM('членские взносы'!$M245:Q245)</f>
        <v>0</v>
      </c>
      <c r="R246" s="85" t="n">
        <f aca="false">SUM('план на 2016'!$L247:R247)-SUM('членские взносы'!$M245:R245)</f>
        <v>0</v>
      </c>
      <c r="S246" s="85" t="n">
        <f aca="false">SUM('план на 2016'!$L247:S247)-SUM('членские взносы'!$M245:S245)</f>
        <v>0</v>
      </c>
      <c r="T246" s="85" t="n">
        <f aca="false">SUM('план на 2016'!$L247:T247)-SUM('членские взносы'!$M245:T245)</f>
        <v>0</v>
      </c>
      <c r="U246" s="85" t="n">
        <f aca="false">SUM('план на 2016'!$L247:U247)-SUM('членские взносы'!$M245:U245)</f>
        <v>0</v>
      </c>
      <c r="V246" s="85" t="n">
        <f aca="false">SUM('план на 2016'!$L247:V247)-SUM('членские взносы'!$M245:V245)</f>
        <v>0</v>
      </c>
      <c r="W246" s="85" t="n">
        <f aca="false">SUM('план на 2016'!$L247:W247)-SUM('членские взносы'!$M245:W245)</f>
        <v>0</v>
      </c>
      <c r="X246" s="85" t="n">
        <f aca="false">SUM('план на 2016'!$L247:X247)-SUM('членские взносы'!$M245:X245)</f>
        <v>0</v>
      </c>
      <c r="Y246" s="59" t="n">
        <f aca="false">X246</f>
        <v>0</v>
      </c>
    </row>
    <row collapsed="false" customFormat="false" customHeight="false" hidden="false" ht="15" outlineLevel="0" r="247">
      <c r="A247" s="19" t="n">
        <f aca="false">VLOOKUP(B247,справочник!$B$2:$E$322,4,0)</f>
        <v>280</v>
      </c>
      <c r="B247" s="0" t="e">
        <f aca="false">CONCATENATE(C247;D247)</f>
        <v>#VALUE!</v>
      </c>
      <c r="C247" s="24" t="n">
        <v>292</v>
      </c>
      <c r="D247" s="29" t="s">
        <v>176</v>
      </c>
      <c r="E247" s="24" t="s">
        <v>604</v>
      </c>
      <c r="F247" s="30" t="n">
        <v>40897</v>
      </c>
      <c r="G247" s="30" t="n">
        <v>40878</v>
      </c>
      <c r="H247" s="31" t="n">
        <f aca="false">INT(($H$326-G247)/30)</f>
        <v>49</v>
      </c>
      <c r="I247" s="24" t="n">
        <f aca="false">H247*1000</f>
        <v>49000</v>
      </c>
      <c r="J247" s="31" t="n">
        <f aca="false">43000+1000</f>
        <v>44000</v>
      </c>
      <c r="K247" s="31"/>
      <c r="L247" s="59" t="n">
        <f aca="false">I247-J247-K247</f>
        <v>5000</v>
      </c>
      <c r="M247" s="85" t="n">
        <f aca="false">SUM('план на 2016'!$L248:M248)-SUM('членские взносы'!$M246:M246)</f>
        <v>5800</v>
      </c>
      <c r="N247" s="85" t="n">
        <f aca="false">SUM('план на 2016'!$L248:N248)-SUM('членские взносы'!$M246:N246)</f>
        <v>6600</v>
      </c>
      <c r="O247" s="85" t="n">
        <f aca="false">SUM('план на 2016'!$L248:O248)-SUM('членские взносы'!$M246:O246)</f>
        <v>7400</v>
      </c>
      <c r="P247" s="85" t="n">
        <f aca="false">SUM('план на 2016'!$L248:P248)-SUM('членские взносы'!$M246:P246)</f>
        <v>8200</v>
      </c>
      <c r="Q247" s="85" t="n">
        <f aca="false">SUM('план на 2016'!$L248:Q248)-SUM('членские взносы'!$M246:Q246)</f>
        <v>9000</v>
      </c>
      <c r="R247" s="85" t="n">
        <f aca="false">SUM('план на 2016'!$L248:R248)-SUM('членские взносы'!$M246:R246)</f>
        <v>9800</v>
      </c>
      <c r="S247" s="85" t="n">
        <f aca="false">SUM('план на 2016'!$L248:S248)-SUM('членские взносы'!$M246:S246)</f>
        <v>10600</v>
      </c>
      <c r="T247" s="85" t="n">
        <f aca="false">SUM('план на 2016'!$L248:T248)-SUM('членские взносы'!$M246:T246)</f>
        <v>11400</v>
      </c>
      <c r="U247" s="85" t="n">
        <f aca="false">SUM('план на 2016'!$L248:U248)-SUM('членские взносы'!$M246:U246)</f>
        <v>12200</v>
      </c>
      <c r="V247" s="85" t="n">
        <f aca="false">SUM('план на 2016'!$L248:V248)-SUM('членские взносы'!$M246:V246)</f>
        <v>13000</v>
      </c>
      <c r="W247" s="85" t="n">
        <f aca="false">SUM('план на 2016'!$L248:W248)-SUM('членские взносы'!$M246:W246)</f>
        <v>13800</v>
      </c>
      <c r="X247" s="85" t="n">
        <f aca="false">SUM('план на 2016'!$L248:X248)-SUM('членские взносы'!$M246:X246)</f>
        <v>14600</v>
      </c>
      <c r="Y247" s="59" t="n">
        <f aca="false">X247</f>
        <v>14600</v>
      </c>
    </row>
    <row collapsed="false" customFormat="false" customHeight="false" hidden="false" ht="15" outlineLevel="0" r="248">
      <c r="A248" s="19" t="n">
        <f aca="false">VLOOKUP(B248,справочник!$B$2:$E$322,4,0)</f>
        <v>215</v>
      </c>
      <c r="B248" s="0" t="e">
        <f aca="false">CONCATENATE(C248;D248)</f>
        <v>#VALUE!</v>
      </c>
      <c r="C248" s="24" t="n">
        <v>224</v>
      </c>
      <c r="D248" s="29" t="s">
        <v>261</v>
      </c>
      <c r="E248" s="24" t="s">
        <v>605</v>
      </c>
      <c r="F248" s="30" t="n">
        <v>41772</v>
      </c>
      <c r="G248" s="30" t="n">
        <v>41791</v>
      </c>
      <c r="H248" s="31" t="n">
        <f aca="false">INT(($H$326-G248)/30)</f>
        <v>19</v>
      </c>
      <c r="I248" s="24" t="n">
        <f aca="false">H248*1000</f>
        <v>19000</v>
      </c>
      <c r="J248" s="31" t="n">
        <v>16000</v>
      </c>
      <c r="K248" s="31"/>
      <c r="L248" s="59" t="n">
        <f aca="false">I248-J248-K248</f>
        <v>3000</v>
      </c>
      <c r="M248" s="85" t="n">
        <f aca="false">SUM('план на 2016'!$L249:M249)-SUM('членские взносы'!$M247:M247)</f>
        <v>3800</v>
      </c>
      <c r="N248" s="85" t="n">
        <f aca="false">SUM('план на 2016'!$L249:N249)-SUM('членские взносы'!$M247:N247)</f>
        <v>-2400</v>
      </c>
      <c r="O248" s="85" t="n">
        <f aca="false">SUM('план на 2016'!$L249:O249)-SUM('членские взносы'!$M247:O247)</f>
        <v>-1600</v>
      </c>
      <c r="P248" s="85" t="n">
        <f aca="false">SUM('план на 2016'!$L249:P249)-SUM('членские взносы'!$M247:P247)</f>
        <v>-800</v>
      </c>
      <c r="Q248" s="85" t="n">
        <f aca="false">SUM('план на 2016'!$L249:Q249)-SUM('членские взносы'!$M247:Q247)</f>
        <v>0</v>
      </c>
      <c r="R248" s="85" t="n">
        <f aca="false">SUM('план на 2016'!$L249:R249)-SUM('членские взносы'!$M247:R247)</f>
        <v>800</v>
      </c>
      <c r="S248" s="85" t="n">
        <f aca="false">SUM('план на 2016'!$L249:S249)-SUM('членские взносы'!$M247:S247)</f>
        <v>1600</v>
      </c>
      <c r="T248" s="85" t="n">
        <f aca="false">SUM('план на 2016'!$L249:T249)-SUM('членские взносы'!$M247:T247)</f>
        <v>2400</v>
      </c>
      <c r="U248" s="85" t="n">
        <f aca="false">SUM('план на 2016'!$L249:U249)-SUM('членские взносы'!$M247:U247)</f>
        <v>3200</v>
      </c>
      <c r="V248" s="85" t="n">
        <f aca="false">SUM('план на 2016'!$L249:V249)-SUM('членские взносы'!$M247:V247)</f>
        <v>4000</v>
      </c>
      <c r="W248" s="85" t="n">
        <f aca="false">SUM('план на 2016'!$L249:W249)-SUM('членские взносы'!$M247:W247)</f>
        <v>4800</v>
      </c>
      <c r="X248" s="85" t="n">
        <f aca="false">SUM('план на 2016'!$L249:X249)-SUM('членские взносы'!$M247:X247)</f>
        <v>-4400</v>
      </c>
      <c r="Y248" s="59" t="n">
        <f aca="false">X248</f>
        <v>-4400</v>
      </c>
    </row>
    <row collapsed="false" customFormat="false" customHeight="false" hidden="false" ht="15" outlineLevel="0" r="249">
      <c r="A249" s="19" t="n">
        <f aca="false">VLOOKUP(B249,справочник!$B$2:$E$322,4,0)</f>
        <v>241</v>
      </c>
      <c r="B249" s="0" t="e">
        <f aca="false">CONCATENATE(C249;D249)</f>
        <v>#VALUE!</v>
      </c>
      <c r="C249" s="24" t="n">
        <v>252</v>
      </c>
      <c r="D249" s="29" t="s">
        <v>208</v>
      </c>
      <c r="E249" s="24" t="s">
        <v>606</v>
      </c>
      <c r="F249" s="30" t="n">
        <v>40677</v>
      </c>
      <c r="G249" s="30" t="n">
        <v>40695</v>
      </c>
      <c r="H249" s="31" t="n">
        <f aca="false">INT(($H$326-G249)/30)</f>
        <v>55</v>
      </c>
      <c r="I249" s="24" t="n">
        <f aca="false">H249*1000</f>
        <v>55000</v>
      </c>
      <c r="J249" s="31" t="n">
        <f aca="false">7000+41000</f>
        <v>48000</v>
      </c>
      <c r="K249" s="31"/>
      <c r="L249" s="59" t="n">
        <f aca="false">I249-J249-K249</f>
        <v>7000</v>
      </c>
      <c r="M249" s="85" t="n">
        <f aca="false">SUM('план на 2016'!$L250:M250)-SUM('членские взносы'!$M248:M248)</f>
        <v>0</v>
      </c>
      <c r="N249" s="85" t="n">
        <f aca="false">SUM('план на 2016'!$L250:N250)-SUM('членские взносы'!$M248:N248)</f>
        <v>0</v>
      </c>
      <c r="O249" s="85" t="n">
        <f aca="false">SUM('план на 2016'!$L250:O250)-SUM('членские взносы'!$M248:O248)</f>
        <v>0</v>
      </c>
      <c r="P249" s="85" t="n">
        <f aca="false">SUM('план на 2016'!$L250:P250)-SUM('членские взносы'!$M248:P248)</f>
        <v>800</v>
      </c>
      <c r="Q249" s="85" t="n">
        <f aca="false">SUM('план на 2016'!$L250:Q250)-SUM('членские взносы'!$M248:Q248)</f>
        <v>1600</v>
      </c>
      <c r="R249" s="85" t="n">
        <f aca="false">SUM('план на 2016'!$L250:R250)-SUM('членские взносы'!$M248:R248)</f>
        <v>0</v>
      </c>
      <c r="S249" s="85" t="n">
        <f aca="false">SUM('план на 2016'!$L250:S250)-SUM('членские взносы'!$M248:S248)</f>
        <v>0</v>
      </c>
      <c r="T249" s="85" t="n">
        <f aca="false">SUM('план на 2016'!$L250:T250)-SUM('членские взносы'!$M248:T248)</f>
        <v>0</v>
      </c>
      <c r="U249" s="85" t="n">
        <f aca="false">SUM('план на 2016'!$L250:U250)-SUM('членские взносы'!$M248:U248)</f>
        <v>0</v>
      </c>
      <c r="V249" s="85" t="n">
        <f aca="false">SUM('план на 2016'!$L250:V250)-SUM('членские взносы'!$M248:V248)</f>
        <v>0</v>
      </c>
      <c r="W249" s="85" t="n">
        <f aca="false">SUM('план на 2016'!$L250:W250)-SUM('членские взносы'!$M248:W248)</f>
        <v>0</v>
      </c>
      <c r="X249" s="85" t="n">
        <f aca="false">SUM('план на 2016'!$L250:X250)-SUM('членские взносы'!$M248:X248)</f>
        <v>0</v>
      </c>
      <c r="Y249" s="59" t="n">
        <f aca="false">X249</f>
        <v>0</v>
      </c>
    </row>
    <row collapsed="false" customFormat="false" customHeight="false" hidden="false" ht="15" outlineLevel="0" r="250">
      <c r="A250" s="19" t="n">
        <f aca="false">VLOOKUP(B250,справочник!$B$2:$E$322,4,0)</f>
        <v>161</v>
      </c>
      <c r="B250" s="0" t="e">
        <f aca="false">CONCATENATE(C250;D250)</f>
        <v>#VALUE!</v>
      </c>
      <c r="C250" s="24" t="n">
        <v>169</v>
      </c>
      <c r="D250" s="29" t="s">
        <v>172</v>
      </c>
      <c r="E250" s="24" t="s">
        <v>607</v>
      </c>
      <c r="F250" s="30" t="n">
        <v>41039</v>
      </c>
      <c r="G250" s="30" t="n">
        <v>41030</v>
      </c>
      <c r="H250" s="31" t="n">
        <f aca="false">INT(($H$326-G250)/30)</f>
        <v>44</v>
      </c>
      <c r="I250" s="24" t="n">
        <f aca="false">H250*1000</f>
        <v>44000</v>
      </c>
      <c r="J250" s="31" t="n">
        <v>38000</v>
      </c>
      <c r="K250" s="31"/>
      <c r="L250" s="59" t="n">
        <f aca="false">I250-J250-K250</f>
        <v>6000</v>
      </c>
      <c r="M250" s="85" t="n">
        <f aca="false">SUM('план на 2016'!$L251:M251)-SUM('членские взносы'!$M249:M249)</f>
        <v>6800</v>
      </c>
      <c r="N250" s="85" t="n">
        <f aca="false">SUM('план на 2016'!$L251:N251)-SUM('членские взносы'!$M249:N249)</f>
        <v>7600</v>
      </c>
      <c r="O250" s="85" t="n">
        <f aca="false">SUM('план на 2016'!$L251:O251)-SUM('членские взносы'!$M249:O249)</f>
        <v>8400</v>
      </c>
      <c r="P250" s="85" t="n">
        <f aca="false">SUM('план на 2016'!$L251:P251)-SUM('членские взносы'!$M249:P249)</f>
        <v>9200</v>
      </c>
      <c r="Q250" s="85" t="n">
        <f aca="false">SUM('план на 2016'!$L251:Q251)-SUM('членские взносы'!$M249:Q249)</f>
        <v>10000</v>
      </c>
      <c r="R250" s="85" t="n">
        <f aca="false">SUM('план на 2016'!$L251:R251)-SUM('членские взносы'!$M249:R249)</f>
        <v>10800</v>
      </c>
      <c r="S250" s="85" t="n">
        <f aca="false">SUM('план на 2016'!$L251:S251)-SUM('членские взносы'!$M249:S249)</f>
        <v>11600</v>
      </c>
      <c r="T250" s="85" t="n">
        <f aca="false">SUM('план на 2016'!$L251:T251)-SUM('членские взносы'!$M249:T249)</f>
        <v>12400</v>
      </c>
      <c r="U250" s="85" t="n">
        <f aca="false">SUM('план на 2016'!$L251:U251)-SUM('членские взносы'!$M249:U249)</f>
        <v>13200</v>
      </c>
      <c r="V250" s="85" t="n">
        <f aca="false">SUM('план на 2016'!$L251:V251)-SUM('членские взносы'!$M249:V249)</f>
        <v>14000</v>
      </c>
      <c r="W250" s="85" t="n">
        <f aca="false">SUM('план на 2016'!$L251:W251)-SUM('членские взносы'!$M249:W249)</f>
        <v>14800</v>
      </c>
      <c r="X250" s="85" t="n">
        <f aca="false">SUM('план на 2016'!$L251:X251)-SUM('членские взносы'!$M249:X249)</f>
        <v>15600</v>
      </c>
      <c r="Y250" s="59" t="n">
        <f aca="false">X250</f>
        <v>15600</v>
      </c>
    </row>
    <row collapsed="false" customFormat="false" customHeight="false" hidden="false" ht="15" outlineLevel="0" r="251">
      <c r="A251" s="19" t="n">
        <f aca="false">VLOOKUP(B251,справочник!$B$2:$E$322,4,0)</f>
        <v>272</v>
      </c>
      <c r="B251" s="0" t="e">
        <f aca="false">CONCATENATE(C251;D251)</f>
        <v>#VALUE!</v>
      </c>
      <c r="C251" s="24" t="n">
        <v>285</v>
      </c>
      <c r="D251" s="29" t="s">
        <v>177</v>
      </c>
      <c r="E251" s="24" t="s">
        <v>608</v>
      </c>
      <c r="F251" s="30" t="n">
        <v>42044</v>
      </c>
      <c r="G251" s="30" t="n">
        <v>42064</v>
      </c>
      <c r="H251" s="31" t="n">
        <f aca="false">INT(($H$326-G251)/30)</f>
        <v>10</v>
      </c>
      <c r="I251" s="24" t="n">
        <f aca="false">H251*1000</f>
        <v>10000</v>
      </c>
      <c r="J251" s="31" t="n">
        <v>5000</v>
      </c>
      <c r="K251" s="31"/>
      <c r="L251" s="59" t="n">
        <f aca="false">I251-J251-K251</f>
        <v>5000</v>
      </c>
      <c r="M251" s="85" t="n">
        <f aca="false">SUM('план на 2016'!$L252:M252)-SUM('членские взносы'!$M250:M250)</f>
        <v>5800</v>
      </c>
      <c r="N251" s="85" t="n">
        <f aca="false">SUM('план на 2016'!$L252:N252)-SUM('членские взносы'!$M250:N250)</f>
        <v>6600</v>
      </c>
      <c r="O251" s="85" t="n">
        <f aca="false">SUM('план на 2016'!$L252:O252)-SUM('членские взносы'!$M250:O250)</f>
        <v>7400</v>
      </c>
      <c r="P251" s="85" t="n">
        <f aca="false">SUM('план на 2016'!$L252:P252)-SUM('членские взносы'!$M250:P250)</f>
        <v>8200</v>
      </c>
      <c r="Q251" s="85" t="n">
        <f aca="false">SUM('план на 2016'!$L252:Q252)-SUM('членские взносы'!$M250:Q250)</f>
        <v>9000</v>
      </c>
      <c r="R251" s="85" t="n">
        <f aca="false">SUM('план на 2016'!$L252:R252)-SUM('членские взносы'!$M250:R250)</f>
        <v>9800</v>
      </c>
      <c r="S251" s="85" t="n">
        <f aca="false">SUM('план на 2016'!$L252:S252)-SUM('членские взносы'!$M250:S250)</f>
        <v>-1400</v>
      </c>
      <c r="T251" s="85" t="n">
        <f aca="false">SUM('план на 2016'!$L252:T252)-SUM('членские взносы'!$M250:T250)</f>
        <v>-600</v>
      </c>
      <c r="U251" s="85" t="n">
        <f aca="false">SUM('план на 2016'!$L252:U252)-SUM('членские взносы'!$M250:U250)</f>
        <v>200</v>
      </c>
      <c r="V251" s="85" t="n">
        <f aca="false">SUM('план на 2016'!$L252:V252)-SUM('членские взносы'!$M250:V250)</f>
        <v>1000</v>
      </c>
      <c r="W251" s="85" t="n">
        <f aca="false">SUM('план на 2016'!$L252:W252)-SUM('членские взносы'!$M250:W250)</f>
        <v>1800</v>
      </c>
      <c r="X251" s="85" t="n">
        <f aca="false">SUM('план на 2016'!$L252:X252)-SUM('членские взносы'!$M250:X250)</f>
        <v>2600</v>
      </c>
      <c r="Y251" s="59" t="n">
        <f aca="false">X251</f>
        <v>2600</v>
      </c>
    </row>
    <row collapsed="false" customFormat="false" customHeight="false" hidden="false" ht="15" outlineLevel="0" r="252">
      <c r="A252" s="19" t="n">
        <f aca="false">VLOOKUP(B252,справочник!$B$2:$E$322,4,0)</f>
        <v>19</v>
      </c>
      <c r="B252" s="0" t="e">
        <f aca="false">CONCATENATE(C252;D252)</f>
        <v>#VALUE!</v>
      </c>
      <c r="C252" s="24" t="n">
        <v>19</v>
      </c>
      <c r="D252" s="29" t="s">
        <v>276</v>
      </c>
      <c r="E252" s="24" t="s">
        <v>609</v>
      </c>
      <c r="F252" s="30" t="n">
        <v>41421</v>
      </c>
      <c r="G252" s="30" t="n">
        <v>41456</v>
      </c>
      <c r="H252" s="31" t="n">
        <f aca="false">INT(($H$326-G252)/30)</f>
        <v>30</v>
      </c>
      <c r="I252" s="24" t="n">
        <f aca="false">H252*1000</f>
        <v>30000</v>
      </c>
      <c r="J252" s="31" t="n">
        <v>30000</v>
      </c>
      <c r="K252" s="31"/>
      <c r="L252" s="59" t="n">
        <f aca="false">I252-J252-K252</f>
        <v>0</v>
      </c>
      <c r="M252" s="85" t="n">
        <f aca="false">SUM('план на 2016'!$L253:M253)-SUM('членские взносы'!$M251:M251)</f>
        <v>800</v>
      </c>
      <c r="N252" s="85" t="n">
        <f aca="false">SUM('план на 2016'!$L253:N253)-SUM('членские взносы'!$M251:N251)</f>
        <v>1600</v>
      </c>
      <c r="O252" s="85" t="n">
        <f aca="false">SUM('план на 2016'!$L253:O253)-SUM('членские взносы'!$M251:O251)</f>
        <v>2400</v>
      </c>
      <c r="P252" s="85" t="n">
        <f aca="false">SUM('план на 2016'!$L253:P253)-SUM('членские взносы'!$M251:P251)</f>
        <v>3200</v>
      </c>
      <c r="Q252" s="85" t="n">
        <f aca="false">SUM('план на 2016'!$L253:Q253)-SUM('членские взносы'!$M251:Q251)</f>
        <v>4000</v>
      </c>
      <c r="R252" s="85" t="n">
        <f aca="false">SUM('план на 2016'!$L253:R253)-SUM('членские взносы'!$M251:R251)</f>
        <v>800</v>
      </c>
      <c r="S252" s="85" t="n">
        <f aca="false">SUM('план на 2016'!$L253:S253)-SUM('членские взносы'!$M251:S251)</f>
        <v>1600</v>
      </c>
      <c r="T252" s="85" t="n">
        <f aca="false">SUM('план на 2016'!$L253:T253)-SUM('членские взносы'!$M251:T251)</f>
        <v>2400</v>
      </c>
      <c r="U252" s="85" t="n">
        <f aca="false">SUM('план на 2016'!$L253:U253)-SUM('членские взносы'!$M251:U251)</f>
        <v>3200</v>
      </c>
      <c r="V252" s="85" t="n">
        <f aca="false">SUM('план на 2016'!$L253:V253)-SUM('членские взносы'!$M251:V251)</f>
        <v>-1600</v>
      </c>
      <c r="W252" s="85" t="n">
        <f aca="false">SUM('план на 2016'!$L253:W253)-SUM('членские взносы'!$M251:W251)</f>
        <v>-800</v>
      </c>
      <c r="X252" s="85" t="n">
        <f aca="false">SUM('план на 2016'!$L253:X253)-SUM('членские взносы'!$M251:X251)</f>
        <v>0</v>
      </c>
      <c r="Y252" s="59" t="n">
        <f aca="false">X252</f>
        <v>0</v>
      </c>
    </row>
    <row collapsed="false" customFormat="false" customHeight="true" hidden="false" ht="25.5" outlineLevel="0" r="253">
      <c r="A253" s="19" t="n">
        <f aca="false">VLOOKUP(B253,справочник!$B$2:$E$322,4,0)</f>
        <v>310</v>
      </c>
      <c r="B253" s="0" t="e">
        <f aca="false">CONCATENATE(C253;D253)</f>
        <v>#VALUE!</v>
      </c>
      <c r="C253" s="24" t="s">
        <v>610</v>
      </c>
      <c r="D253" s="29" t="s">
        <v>91</v>
      </c>
      <c r="E253" s="24" t="s">
        <v>611</v>
      </c>
      <c r="F253" s="34" t="n">
        <v>40778</v>
      </c>
      <c r="G253" s="34" t="n">
        <v>40787</v>
      </c>
      <c r="H253" s="35" t="n">
        <f aca="false">INT(($H$326-G253)/30)</f>
        <v>52</v>
      </c>
      <c r="I253" s="36" t="n">
        <f aca="false">H253*1000</f>
        <v>52000</v>
      </c>
      <c r="J253" s="35" t="n">
        <v>12000</v>
      </c>
      <c r="K253" s="35"/>
      <c r="L253" s="66" t="n">
        <f aca="false">I253-J253-K253</f>
        <v>40000</v>
      </c>
      <c r="M253" s="85" t="n">
        <f aca="false">SUM('план на 2016'!$L254:M254)-SUM('членские взносы'!$M252:M252)</f>
        <v>35800</v>
      </c>
      <c r="N253" s="85" t="n">
        <f aca="false">SUM('план на 2016'!$L254:N254)-SUM('членские взносы'!$M252:N252)</f>
        <v>36600</v>
      </c>
      <c r="O253" s="85" t="n">
        <f aca="false">SUM('план на 2016'!$L254:O254)-SUM('членские взносы'!$M252:O252)</f>
        <v>32400</v>
      </c>
      <c r="P253" s="85" t="n">
        <f aca="false">SUM('план на 2016'!$L254:P254)-SUM('членские взносы'!$M252:P252)</f>
        <v>28250</v>
      </c>
      <c r="Q253" s="85" t="n">
        <f aca="false">SUM('план на 2016'!$L254:Q254)-SUM('членские взносы'!$M252:Q252)</f>
        <v>24050</v>
      </c>
      <c r="R253" s="85" t="n">
        <f aca="false">SUM('план на 2016'!$L254:R254)-SUM('членские взносы'!$M252:R252)</f>
        <v>24850</v>
      </c>
      <c r="S253" s="85" t="n">
        <f aca="false">SUM('план на 2016'!$L254:S254)-SUM('членские взносы'!$M252:S252)</f>
        <v>24850</v>
      </c>
      <c r="T253" s="85" t="n">
        <f aca="false">SUM('план на 2016'!$L254:T254)-SUM('членские взносы'!$M252:T252)</f>
        <v>21675</v>
      </c>
      <c r="U253" s="85" t="n">
        <f aca="false">SUM('план на 2016'!$L254:U254)-SUM('членские взносы'!$M252:U252)</f>
        <v>21675</v>
      </c>
      <c r="V253" s="85" t="n">
        <f aca="false">SUM('план на 2016'!$L254:V254)-SUM('членские взносы'!$M252:V252)</f>
        <v>21675</v>
      </c>
      <c r="W253" s="85" t="n">
        <f aca="false">SUM('план на 2016'!$L254:W254)-SUM('членские взносы'!$M252:W252)</f>
        <v>22475</v>
      </c>
      <c r="X253" s="85" t="n">
        <f aca="false">SUM('план на 2016'!$L254:X254)-SUM('членские взносы'!$M252:X252)</f>
        <v>23275</v>
      </c>
      <c r="Y253" s="59" t="n">
        <f aca="false">X253</f>
        <v>23275</v>
      </c>
    </row>
    <row collapsed="false" customFormat="false" customHeight="false" hidden="false" ht="15" outlineLevel="0" r="254">
      <c r="A254" s="19" t="n">
        <f aca="false">VLOOKUP(B254,справочник!$B$2:$E$322,4,0)</f>
        <v>205</v>
      </c>
      <c r="B254" s="0" t="e">
        <f aca="false">CONCATENATE(C254;D254)</f>
        <v>#VALUE!</v>
      </c>
      <c r="C254" s="24" t="n">
        <v>215</v>
      </c>
      <c r="D254" s="29" t="s">
        <v>136</v>
      </c>
      <c r="E254" s="24" t="s">
        <v>612</v>
      </c>
      <c r="F254" s="30" t="n">
        <v>41023</v>
      </c>
      <c r="G254" s="30" t="n">
        <v>41000</v>
      </c>
      <c r="H254" s="31" t="n">
        <f aca="false">INT(($H$326-G254)/30)</f>
        <v>45</v>
      </c>
      <c r="I254" s="24" t="n">
        <f aca="false">H254*1000</f>
        <v>45000</v>
      </c>
      <c r="J254" s="31" t="n">
        <v>33000</v>
      </c>
      <c r="K254" s="31"/>
      <c r="L254" s="59" t="n">
        <f aca="false">I254-J254-K254</f>
        <v>12000</v>
      </c>
      <c r="M254" s="85" t="n">
        <f aca="false">SUM('план на 2016'!$L255:M255)-SUM('членские взносы'!$M253:M253)</f>
        <v>12800</v>
      </c>
      <c r="N254" s="85" t="n">
        <f aca="false">SUM('план на 2016'!$L255:N255)-SUM('членские взносы'!$M253:N253)</f>
        <v>13600</v>
      </c>
      <c r="O254" s="85" t="n">
        <f aca="false">SUM('план на 2016'!$L255:O255)-SUM('членские взносы'!$M253:O253)</f>
        <v>14400</v>
      </c>
      <c r="P254" s="85" t="n">
        <f aca="false">SUM('план на 2016'!$L255:P255)-SUM('членские взносы'!$M253:P253)</f>
        <v>15200</v>
      </c>
      <c r="Q254" s="85" t="n">
        <f aca="false">SUM('план на 2016'!$L255:Q255)-SUM('членские взносы'!$M253:Q253)</f>
        <v>16000</v>
      </c>
      <c r="R254" s="85" t="n">
        <f aca="false">SUM('план на 2016'!$L255:R255)-SUM('членские взносы'!$M253:R253)</f>
        <v>16800</v>
      </c>
      <c r="S254" s="85" t="n">
        <f aca="false">SUM('план на 2016'!$L255:S255)-SUM('членские взносы'!$M253:S253)</f>
        <v>5600</v>
      </c>
      <c r="T254" s="85" t="n">
        <f aca="false">SUM('план на 2016'!$L255:T255)-SUM('членские взносы'!$M253:T253)</f>
        <v>6400</v>
      </c>
      <c r="U254" s="85" t="n">
        <f aca="false">SUM('план на 2016'!$L255:U255)-SUM('членские взносы'!$M253:U253)</f>
        <v>7200</v>
      </c>
      <c r="V254" s="85" t="n">
        <f aca="false">SUM('план на 2016'!$L255:V255)-SUM('членские взносы'!$M253:V253)</f>
        <v>8000</v>
      </c>
      <c r="W254" s="85" t="n">
        <f aca="false">SUM('план на 2016'!$L255:W255)-SUM('членские взносы'!$M253:W253)</f>
        <v>8800</v>
      </c>
      <c r="X254" s="85" t="n">
        <f aca="false">SUM('план на 2016'!$L255:X255)-SUM('членские взносы'!$M253:X253)</f>
        <v>9600</v>
      </c>
      <c r="Y254" s="59" t="n">
        <f aca="false">X254</f>
        <v>9600</v>
      </c>
    </row>
    <row collapsed="false" customFormat="false" customHeight="true" hidden="false" ht="25.5" outlineLevel="0" r="255">
      <c r="A255" s="19" t="n">
        <f aca="false">VLOOKUP(B255,справочник!$B$2:$E$322,4,0)</f>
        <v>107</v>
      </c>
      <c r="B255" s="0" t="e">
        <f aca="false">CONCATENATE(C255;D255)</f>
        <v>#VALUE!</v>
      </c>
      <c r="C255" s="24" t="n">
        <v>112</v>
      </c>
      <c r="D255" s="29" t="s">
        <v>267</v>
      </c>
      <c r="E255" s="24" t="s">
        <v>613</v>
      </c>
      <c r="F255" s="30" t="n">
        <v>40932</v>
      </c>
      <c r="G255" s="30" t="n">
        <v>40909</v>
      </c>
      <c r="H255" s="31" t="n">
        <f aca="false">INT(($H$326-G255)/30)</f>
        <v>48</v>
      </c>
      <c r="I255" s="24" t="n">
        <f aca="false">H255*1000</f>
        <v>48000</v>
      </c>
      <c r="J255" s="31" t="n">
        <v>40000</v>
      </c>
      <c r="K255" s="31" t="n">
        <v>4000</v>
      </c>
      <c r="L255" s="59" t="n">
        <f aca="false">I255-J255-K255</f>
        <v>4000</v>
      </c>
      <c r="M255" s="85" t="n">
        <f aca="false">SUM('план на 2016'!$L256:M256)-SUM('членские взносы'!$M254:M254)</f>
        <v>4800</v>
      </c>
      <c r="N255" s="85" t="n">
        <f aca="false">SUM('план на 2016'!$L256:N256)-SUM('членские взносы'!$M254:N254)</f>
        <v>3600</v>
      </c>
      <c r="O255" s="85" t="n">
        <f aca="false">SUM('план на 2016'!$L256:O256)-SUM('членские взносы'!$M254:O254)</f>
        <v>800</v>
      </c>
      <c r="P255" s="85" t="n">
        <f aca="false">SUM('план на 2016'!$L256:P256)-SUM('членские взносы'!$M254:P254)</f>
        <v>0</v>
      </c>
      <c r="Q255" s="85" t="n">
        <f aca="false">SUM('план на 2016'!$L256:Q256)-SUM('членские взносы'!$M254:Q254)</f>
        <v>800</v>
      </c>
      <c r="R255" s="85" t="n">
        <f aca="false">SUM('план на 2016'!$L256:R256)-SUM('членские взносы'!$M254:R254)</f>
        <v>800</v>
      </c>
      <c r="S255" s="85" t="n">
        <f aca="false">SUM('план на 2016'!$L256:S256)-SUM('членские взносы'!$M254:S254)</f>
        <v>0</v>
      </c>
      <c r="T255" s="85" t="n">
        <f aca="false">SUM('план на 2016'!$L256:T256)-SUM('членские взносы'!$M254:T254)</f>
        <v>0</v>
      </c>
      <c r="U255" s="85" t="n">
        <f aca="false">SUM('план на 2016'!$L256:U256)-SUM('членские взносы'!$M254:U254)</f>
        <v>800</v>
      </c>
      <c r="V255" s="85" t="n">
        <f aca="false">SUM('план на 2016'!$L256:V256)-SUM('членские взносы'!$M254:V254)</f>
        <v>800</v>
      </c>
      <c r="W255" s="85" t="n">
        <f aca="false">SUM('план на 2016'!$L256:W256)-SUM('членские взносы'!$M254:W254)</f>
        <v>800</v>
      </c>
      <c r="X255" s="85" t="n">
        <f aca="false">SUM('план на 2016'!$L256:X256)-SUM('членские взносы'!$M254:X254)</f>
        <v>1600</v>
      </c>
      <c r="Y255" s="59" t="n">
        <f aca="false">X255</f>
        <v>1600</v>
      </c>
    </row>
    <row collapsed="false" customFormat="false" customHeight="false" hidden="false" ht="15" outlineLevel="0" r="256">
      <c r="A256" s="19" t="n">
        <f aca="false">VLOOKUP(B256,справочник!$B$2:$E$322,4,0)</f>
        <v>48</v>
      </c>
      <c r="B256" s="0" t="e">
        <f aca="false">CONCATENATE(C256;D256)</f>
        <v>#VALUE!</v>
      </c>
      <c r="C256" s="24" t="n">
        <v>48</v>
      </c>
      <c r="D256" s="29" t="s">
        <v>65</v>
      </c>
      <c r="E256" s="24" t="s">
        <v>614</v>
      </c>
      <c r="F256" s="30" t="n">
        <v>40786</v>
      </c>
      <c r="G256" s="30" t="n">
        <v>40787</v>
      </c>
      <c r="H256" s="31" t="n">
        <f aca="false">INT(($H$326-G256)/30)</f>
        <v>52</v>
      </c>
      <c r="I256" s="24" t="n">
        <f aca="false">H256*1000</f>
        <v>52000</v>
      </c>
      <c r="J256" s="31" t="n">
        <f aca="false">1000+22000</f>
        <v>23000</v>
      </c>
      <c r="K256" s="31"/>
      <c r="L256" s="59" t="n">
        <f aca="false">I256-J256-K256</f>
        <v>29000</v>
      </c>
      <c r="M256" s="85" t="n">
        <f aca="false">SUM('план на 2016'!$L257:M257)-SUM('членские взносы'!$M255:M255)</f>
        <v>29800</v>
      </c>
      <c r="N256" s="85" t="n">
        <f aca="false">SUM('план на 2016'!$L257:N257)-SUM('членские взносы'!$M255:N255)</f>
        <v>30600</v>
      </c>
      <c r="O256" s="85" t="n">
        <f aca="false">SUM('план на 2016'!$L257:O257)-SUM('членские взносы'!$M255:O255)</f>
        <v>31400</v>
      </c>
      <c r="P256" s="85" t="n">
        <f aca="false">SUM('план на 2016'!$L257:P257)-SUM('членские взносы'!$M255:P255)</f>
        <v>32200</v>
      </c>
      <c r="Q256" s="85" t="n">
        <f aca="false">SUM('план на 2016'!$L257:Q257)-SUM('членские взносы'!$M255:Q255)</f>
        <v>33000</v>
      </c>
      <c r="R256" s="85" t="n">
        <f aca="false">SUM('план на 2016'!$L257:R257)-SUM('членские взносы'!$M255:R255)</f>
        <v>33800</v>
      </c>
      <c r="S256" s="85" t="n">
        <f aca="false">SUM('план на 2016'!$L257:S257)-SUM('членские взносы'!$M255:S255)</f>
        <v>800</v>
      </c>
      <c r="T256" s="85" t="n">
        <f aca="false">SUM('план на 2016'!$L257:T257)-SUM('членские взносы'!$M255:T255)</f>
        <v>0</v>
      </c>
      <c r="U256" s="85" t="n">
        <f aca="false">SUM('план на 2016'!$L257:U257)-SUM('членские взносы'!$M255:U255)</f>
        <v>-800</v>
      </c>
      <c r="V256" s="85" t="n">
        <f aca="false">SUM('план на 2016'!$L257:V257)-SUM('членские взносы'!$M255:V255)</f>
        <v>0</v>
      </c>
      <c r="W256" s="85" t="n">
        <f aca="false">SUM('план на 2016'!$L257:W257)-SUM('членские взносы'!$M255:W255)</f>
        <v>-800</v>
      </c>
      <c r="X256" s="85" t="n">
        <f aca="false">SUM('план на 2016'!$L257:X257)-SUM('членские взносы'!$M255:X255)</f>
        <v>0</v>
      </c>
      <c r="Y256" s="59" t="n">
        <f aca="false">X256</f>
        <v>0</v>
      </c>
    </row>
    <row collapsed="false" customFormat="false" customHeight="false" hidden="false" ht="15" outlineLevel="0" r="257">
      <c r="A257" s="19" t="n">
        <f aca="false">VLOOKUP(B257,справочник!$B$2:$E$322,4,0)</f>
        <v>237</v>
      </c>
      <c r="B257" s="0" t="e">
        <f aca="false">CONCATENATE(C257;D257)</f>
        <v>#VALUE!</v>
      </c>
      <c r="C257" s="24" t="n">
        <v>248</v>
      </c>
      <c r="D257" s="29" t="s">
        <v>235</v>
      </c>
      <c r="E257" s="24" t="s">
        <v>615</v>
      </c>
      <c r="F257" s="30" t="n">
        <v>41036</v>
      </c>
      <c r="G257" s="30" t="n">
        <v>41030</v>
      </c>
      <c r="H257" s="31" t="n">
        <f aca="false">INT(($H$326-G257)/30)</f>
        <v>44</v>
      </c>
      <c r="I257" s="24" t="n">
        <f aca="false">H257*1000</f>
        <v>44000</v>
      </c>
      <c r="J257" s="31" t="n">
        <v>13000</v>
      </c>
      <c r="K257" s="31"/>
      <c r="L257" s="59" t="n">
        <f aca="false">I257-J257-K257</f>
        <v>31000</v>
      </c>
      <c r="M257" s="85" t="n">
        <f aca="false">SUM('план на 2016'!$L258:M258)-SUM('членские взносы'!$M256:M256)</f>
        <v>800</v>
      </c>
      <c r="N257" s="85" t="n">
        <f aca="false">SUM('план на 2016'!$L258:N258)-SUM('членские взносы'!$M256:N256)</f>
        <v>1600</v>
      </c>
      <c r="O257" s="85" t="n">
        <f aca="false">SUM('план на 2016'!$L258:O258)-SUM('членские взносы'!$M256:O256)</f>
        <v>400</v>
      </c>
      <c r="P257" s="85" t="n">
        <f aca="false">SUM('план на 2016'!$L258:P258)-SUM('членские взносы'!$M256:P256)</f>
        <v>1200</v>
      </c>
      <c r="Q257" s="85" t="n">
        <f aca="false">SUM('план на 2016'!$L258:Q258)-SUM('членские взносы'!$M256:Q256)</f>
        <v>2000</v>
      </c>
      <c r="R257" s="85" t="n">
        <f aca="false">SUM('план на 2016'!$L258:R258)-SUM('членские взносы'!$M256:R256)</f>
        <v>2800</v>
      </c>
      <c r="S257" s="85" t="n">
        <f aca="false">SUM('план на 2016'!$L258:S258)-SUM('членские взносы'!$M256:S256)</f>
        <v>3600</v>
      </c>
      <c r="T257" s="85" t="n">
        <f aca="false">SUM('план на 2016'!$L258:T258)-SUM('членские взносы'!$M256:T256)</f>
        <v>4400</v>
      </c>
      <c r="U257" s="85" t="n">
        <f aca="false">SUM('план на 2016'!$L258:U258)-SUM('членские взносы'!$M256:U256)</f>
        <v>5200</v>
      </c>
      <c r="V257" s="85" t="n">
        <f aca="false">SUM('план на 2016'!$L258:V258)-SUM('членские взносы'!$M256:V256)</f>
        <v>6000</v>
      </c>
      <c r="W257" s="85" t="n">
        <f aca="false">SUM('план на 2016'!$L258:W258)-SUM('членские взносы'!$M256:W256)</f>
        <v>6800</v>
      </c>
      <c r="X257" s="85" t="n">
        <f aca="false">SUM('план на 2016'!$L258:X258)-SUM('членские взносы'!$M256:X256)</f>
        <v>7600</v>
      </c>
      <c r="Y257" s="59" t="n">
        <f aca="false">X257</f>
        <v>7600</v>
      </c>
    </row>
    <row collapsed="false" customFormat="false" customHeight="false" hidden="false" ht="15" outlineLevel="0" r="258">
      <c r="A258" s="19" t="n">
        <f aca="false">VLOOKUP(B258,справочник!$B$2:$E$322,4,0)</f>
        <v>263</v>
      </c>
      <c r="B258" s="0" t="e">
        <f aca="false">CONCATENATE(C258;D258)</f>
        <v>#VALUE!</v>
      </c>
      <c r="C258" s="24" t="n">
        <v>276</v>
      </c>
      <c r="D258" s="29" t="s">
        <v>223</v>
      </c>
      <c r="E258" s="24" t="s">
        <v>616</v>
      </c>
      <c r="F258" s="30" t="n">
        <v>41289</v>
      </c>
      <c r="G258" s="30" t="n">
        <v>41306</v>
      </c>
      <c r="H258" s="31" t="n">
        <f aca="false">INT(($H$326-G258)/30)</f>
        <v>35</v>
      </c>
      <c r="I258" s="24" t="n">
        <f aca="false">H258*1000</f>
        <v>35000</v>
      </c>
      <c r="J258" s="31" t="n">
        <v>32000</v>
      </c>
      <c r="K258" s="31"/>
      <c r="L258" s="59" t="n">
        <f aca="false">I258-J258-K258</f>
        <v>3000</v>
      </c>
      <c r="M258" s="85" t="n">
        <f aca="false">SUM('план на 2016'!$L259:M259)-SUM('членские взносы'!$M257:M257)</f>
        <v>3800</v>
      </c>
      <c r="N258" s="85" t="n">
        <f aca="false">SUM('план на 2016'!$L259:N259)-SUM('членские взносы'!$M257:N257)</f>
        <v>2000</v>
      </c>
      <c r="O258" s="85" t="n">
        <f aca="false">SUM('план на 2016'!$L259:O259)-SUM('членские взносы'!$M257:O257)</f>
        <v>2000</v>
      </c>
      <c r="P258" s="85" t="n">
        <f aca="false">SUM('план на 2016'!$L259:P259)-SUM('членские взносы'!$M257:P257)</f>
        <v>2800</v>
      </c>
      <c r="Q258" s="85" t="n">
        <f aca="false">SUM('план на 2016'!$L259:Q259)-SUM('членские взносы'!$M257:Q257)</f>
        <v>3600</v>
      </c>
      <c r="R258" s="85" t="n">
        <f aca="false">SUM('план на 2016'!$L259:R259)-SUM('членские взносы'!$M257:R257)</f>
        <v>4400</v>
      </c>
      <c r="S258" s="85" t="n">
        <f aca="false">SUM('план на 2016'!$L259:S259)-SUM('членские взносы'!$M257:S257)</f>
        <v>5200</v>
      </c>
      <c r="T258" s="85" t="n">
        <f aca="false">SUM('план на 2016'!$L259:T259)-SUM('членские взносы'!$M257:T257)</f>
        <v>6000</v>
      </c>
      <c r="U258" s="85" t="n">
        <f aca="false">SUM('план на 2016'!$L259:U259)-SUM('членские взносы'!$M257:U257)</f>
        <v>4400</v>
      </c>
      <c r="V258" s="85" t="n">
        <f aca="false">SUM('план на 2016'!$L259:V259)-SUM('членские взносы'!$M257:V257)</f>
        <v>5200</v>
      </c>
      <c r="W258" s="85" t="n">
        <f aca="false">SUM('план на 2016'!$L259:W259)-SUM('членские взносы'!$M257:W257)</f>
        <v>6000</v>
      </c>
      <c r="X258" s="85" t="n">
        <f aca="false">SUM('план на 2016'!$L259:X259)-SUM('членские взносы'!$M257:X257)</f>
        <v>4400</v>
      </c>
      <c r="Y258" s="59" t="n">
        <f aca="false">X258</f>
        <v>4400</v>
      </c>
    </row>
    <row collapsed="false" customFormat="false" customHeight="false" hidden="false" ht="15" outlineLevel="0" r="259">
      <c r="A259" s="19" t="n">
        <f aca="false">VLOOKUP(B259,справочник!$B$2:$E$322,4,0)</f>
        <v>100</v>
      </c>
      <c r="B259" s="0" t="e">
        <f aca="false">CONCATENATE(C259;D259)</f>
        <v>#VALUE!</v>
      </c>
      <c r="C259" s="24" t="n">
        <v>105</v>
      </c>
      <c r="D259" s="29" t="s">
        <v>157</v>
      </c>
      <c r="E259" s="24" t="s">
        <v>617</v>
      </c>
      <c r="F259" s="30" t="n">
        <v>41065</v>
      </c>
      <c r="G259" s="30" t="n">
        <v>41061</v>
      </c>
      <c r="H259" s="31" t="n">
        <f aca="false">INT(($H$326-G259)/30)</f>
        <v>43</v>
      </c>
      <c r="I259" s="24" t="n">
        <f aca="false">H259*1000</f>
        <v>43000</v>
      </c>
      <c r="J259" s="31" t="n">
        <v>28000</v>
      </c>
      <c r="K259" s="31"/>
      <c r="L259" s="59" t="n">
        <f aca="false">I259-J259-K259</f>
        <v>15000</v>
      </c>
      <c r="M259" s="85" t="n">
        <f aca="false">SUM('план на 2016'!$L260:M260)-SUM('членские взносы'!$M258:M258)</f>
        <v>10749.7</v>
      </c>
      <c r="N259" s="85" t="n">
        <f aca="false">SUM('план на 2016'!$L260:N260)-SUM('членские взносы'!$M258:N258)</f>
        <v>11549.7</v>
      </c>
      <c r="O259" s="85" t="n">
        <f aca="false">SUM('план на 2016'!$L260:O260)-SUM('членские взносы'!$M258:O258)</f>
        <v>12349.7</v>
      </c>
      <c r="P259" s="85" t="n">
        <f aca="false">SUM('план на 2016'!$L260:P260)-SUM('членские взносы'!$M258:P258)</f>
        <v>13149.7</v>
      </c>
      <c r="Q259" s="85" t="n">
        <f aca="false">SUM('план на 2016'!$L260:Q260)-SUM('членские взносы'!$M258:Q258)</f>
        <v>13949.7</v>
      </c>
      <c r="R259" s="85" t="n">
        <f aca="false">SUM('план на 2016'!$L260:R260)-SUM('членские взносы'!$M258:R258)</f>
        <v>14749.7</v>
      </c>
      <c r="S259" s="85" t="n">
        <f aca="false">SUM('план на 2016'!$L260:S260)-SUM('членские взносы'!$M258:S258)</f>
        <v>12749.7</v>
      </c>
      <c r="T259" s="85" t="n">
        <f aca="false">SUM('план на 2016'!$L260:T260)-SUM('членские взносы'!$M258:T258)</f>
        <v>11549.7</v>
      </c>
      <c r="U259" s="85" t="n">
        <f aca="false">SUM('план на 2016'!$L260:U260)-SUM('членские взносы'!$M258:U258)</f>
        <v>12349.7</v>
      </c>
      <c r="V259" s="85" t="n">
        <f aca="false">SUM('план на 2016'!$L260:V260)-SUM('членские взносы'!$M258:V258)</f>
        <v>13149.7</v>
      </c>
      <c r="W259" s="85" t="n">
        <f aca="false">SUM('план на 2016'!$L260:W260)-SUM('членские взносы'!$M258:W258)</f>
        <v>13949.7</v>
      </c>
      <c r="X259" s="85" t="n">
        <f aca="false">SUM('план на 2016'!$L260:X260)-SUM('членские взносы'!$M258:X258)</f>
        <v>14749.7</v>
      </c>
      <c r="Y259" s="59" t="n">
        <f aca="false">X259</f>
        <v>14749.7</v>
      </c>
    </row>
    <row collapsed="false" customFormat="false" customHeight="false" hidden="false" ht="15" outlineLevel="0" r="260">
      <c r="A260" s="19" t="n">
        <f aca="false">VLOOKUP(B260,справочник!$B$2:$E$322,4,0)</f>
        <v>131</v>
      </c>
      <c r="B260" s="0" t="e">
        <f aca="false">CONCATENATE(C260;D260)</f>
        <v>#VALUE!</v>
      </c>
      <c r="C260" s="24" t="n">
        <v>138</v>
      </c>
      <c r="D260" s="29" t="s">
        <v>243</v>
      </c>
      <c r="E260" s="24" t="s">
        <v>618</v>
      </c>
      <c r="F260" s="30" t="n">
        <v>41114</v>
      </c>
      <c r="G260" s="30" t="n">
        <v>41122</v>
      </c>
      <c r="H260" s="31" t="n">
        <f aca="false">INT(($H$326-G260)/30)</f>
        <v>41</v>
      </c>
      <c r="I260" s="24" t="n">
        <f aca="false">H260*1000</f>
        <v>41000</v>
      </c>
      <c r="J260" s="31" t="n">
        <v>23000</v>
      </c>
      <c r="K260" s="31" t="n">
        <v>6000</v>
      </c>
      <c r="L260" s="59" t="n">
        <f aca="false">I260-J260-K260</f>
        <v>12000</v>
      </c>
      <c r="M260" s="85" t="n">
        <f aca="false">SUM('план на 2016'!$L261:M261)-SUM('членские взносы'!$M259:M259)</f>
        <v>12800</v>
      </c>
      <c r="N260" s="85" t="n">
        <f aca="false">SUM('план на 2016'!$L261:N261)-SUM('членские взносы'!$M259:N259)</f>
        <v>13600</v>
      </c>
      <c r="O260" s="85" t="n">
        <f aca="false">SUM('план на 2016'!$L261:O261)-SUM('членские взносы'!$M259:O259)</f>
        <v>14400</v>
      </c>
      <c r="P260" s="85" t="n">
        <f aca="false">SUM('план на 2016'!$L261:P261)-SUM('членские взносы'!$M259:P259)</f>
        <v>800</v>
      </c>
      <c r="Q260" s="85" t="n">
        <f aca="false">SUM('план на 2016'!$L261:Q261)-SUM('членские взносы'!$M259:Q259)</f>
        <v>1600</v>
      </c>
      <c r="R260" s="85" t="n">
        <f aca="false">SUM('план на 2016'!$L261:R261)-SUM('членские взносы'!$M259:R259)</f>
        <v>2400</v>
      </c>
      <c r="S260" s="85" t="n">
        <f aca="false">SUM('план на 2016'!$L261:S261)-SUM('членские взносы'!$M259:S259)</f>
        <v>3200</v>
      </c>
      <c r="T260" s="85" t="n">
        <f aca="false">SUM('план на 2016'!$L261:T261)-SUM('членские взносы'!$M259:T259)</f>
        <v>4000</v>
      </c>
      <c r="U260" s="85" t="n">
        <f aca="false">SUM('план на 2016'!$L261:U261)-SUM('членские взносы'!$M259:U259)</f>
        <v>4800</v>
      </c>
      <c r="V260" s="85" t="n">
        <f aca="false">SUM('план на 2016'!$L261:V261)-SUM('членские взносы'!$M259:V259)</f>
        <v>0</v>
      </c>
      <c r="W260" s="85" t="n">
        <f aca="false">SUM('план на 2016'!$L261:W261)-SUM('членские взносы'!$M259:W259)</f>
        <v>800</v>
      </c>
      <c r="X260" s="85" t="n">
        <f aca="false">SUM('план на 2016'!$L261:X261)-SUM('членские взносы'!$M259:X259)</f>
        <v>0</v>
      </c>
      <c r="Y260" s="59" t="n">
        <f aca="false">X260</f>
        <v>0</v>
      </c>
    </row>
    <row collapsed="false" customFormat="false" customHeight="false" hidden="false" ht="15" outlineLevel="0" r="261">
      <c r="A261" s="19" t="n">
        <f aca="false">VLOOKUP(B261,справочник!$B$2:$E$322,4,0)</f>
        <v>183</v>
      </c>
      <c r="B261" s="0" t="e">
        <f aca="false">CONCATENATE(C261;D261)</f>
        <v>#VALUE!</v>
      </c>
      <c r="C261" s="24" t="n">
        <v>191</v>
      </c>
      <c r="D261" s="29" t="s">
        <v>32</v>
      </c>
      <c r="E261" s="24" t="s">
        <v>619</v>
      </c>
      <c r="F261" s="34" t="n">
        <v>41505</v>
      </c>
      <c r="G261" s="34" t="n">
        <v>41518</v>
      </c>
      <c r="H261" s="35" t="n">
        <f aca="false">INT(($H$326-G261)/30)</f>
        <v>28</v>
      </c>
      <c r="I261" s="36" t="n">
        <f aca="false">H261*1000</f>
        <v>28000</v>
      </c>
      <c r="J261" s="35" t="n">
        <v>1000</v>
      </c>
      <c r="K261" s="35"/>
      <c r="L261" s="66" t="n">
        <f aca="false">I261-J261-K261</f>
        <v>27000</v>
      </c>
      <c r="M261" s="85" t="n">
        <f aca="false">SUM('план на 2016'!$L262:M262)-SUM('членские взносы'!$M260:M260)</f>
        <v>7800</v>
      </c>
      <c r="N261" s="85" t="n">
        <f aca="false">SUM('план на 2016'!$L262:N262)-SUM('членские взносы'!$M260:N260)</f>
        <v>8600</v>
      </c>
      <c r="O261" s="85" t="n">
        <f aca="false">SUM('план на 2016'!$L262:O262)-SUM('членские взносы'!$M260:O260)</f>
        <v>9400</v>
      </c>
      <c r="P261" s="85" t="n">
        <f aca="false">SUM('план на 2016'!$L262:P262)-SUM('членские взносы'!$M260:P260)</f>
        <v>10200</v>
      </c>
      <c r="Q261" s="85" t="n">
        <f aca="false">SUM('план на 2016'!$L262:Q262)-SUM('членские взносы'!$M260:Q260)</f>
        <v>11000</v>
      </c>
      <c r="R261" s="85" t="n">
        <f aca="false">SUM('план на 2016'!$L262:R262)-SUM('членские взносы'!$M260:R260)</f>
        <v>11800</v>
      </c>
      <c r="S261" s="85" t="n">
        <f aca="false">SUM('план на 2016'!$L262:S262)-SUM('членские взносы'!$M260:S260)</f>
        <v>12600</v>
      </c>
      <c r="T261" s="85" t="n">
        <f aca="false">SUM('план на 2016'!$L262:T262)-SUM('членские взносы'!$M260:T260)</f>
        <v>-24243</v>
      </c>
      <c r="U261" s="85" t="n">
        <f aca="false">SUM('план на 2016'!$L262:U262)-SUM('членские взносы'!$M260:U260)</f>
        <v>-29443</v>
      </c>
      <c r="V261" s="85" t="n">
        <f aca="false">SUM('план на 2016'!$L262:V262)-SUM('членские взносы'!$M260:V260)</f>
        <v>-28643</v>
      </c>
      <c r="W261" s="85" t="n">
        <f aca="false">SUM('план на 2016'!$L262:W262)-SUM('членские взносы'!$M260:W260)</f>
        <v>-27843</v>
      </c>
      <c r="X261" s="85" t="n">
        <f aca="false">SUM('план на 2016'!$L262:X262)-SUM('членские взносы'!$M260:X260)</f>
        <v>-27043</v>
      </c>
      <c r="Y261" s="59" t="n">
        <f aca="false">X261</f>
        <v>-27043</v>
      </c>
    </row>
    <row collapsed="false" customFormat="false" customHeight="false" hidden="false" ht="15" outlineLevel="0" r="262">
      <c r="A262" s="19" t="n">
        <f aca="false">VLOOKUP(B262,справочник!$B$2:$E$322,4,0)</f>
        <v>183</v>
      </c>
      <c r="B262" s="0" t="e">
        <f aca="false">CONCATENATE(C262;D262)</f>
        <v>#VALUE!</v>
      </c>
      <c r="C262" s="24" t="n">
        <v>192</v>
      </c>
      <c r="D262" s="29" t="s">
        <v>32</v>
      </c>
      <c r="E262" s="24" t="s">
        <v>620</v>
      </c>
      <c r="F262" s="34" t="n">
        <v>41505</v>
      </c>
      <c r="G262" s="34" t="n">
        <v>41518</v>
      </c>
      <c r="H262" s="35" t="n">
        <f aca="false">INT(($H$326-G262)/30)</f>
        <v>28</v>
      </c>
      <c r="I262" s="36" t="n">
        <f aca="false">H262*1000</f>
        <v>28000</v>
      </c>
      <c r="J262" s="35" t="n">
        <v>1000</v>
      </c>
      <c r="K262" s="35"/>
      <c r="L262" s="66" t="n">
        <f aca="false">I262-J262-K262</f>
        <v>27000</v>
      </c>
      <c r="M262" s="85" t="n">
        <f aca="false">SUM('план на 2016'!$L263:M263)-SUM('членские взносы'!$M261:M261)</f>
        <v>27000</v>
      </c>
      <c r="N262" s="85" t="n">
        <f aca="false">SUM('план на 2016'!$L263:N263)-SUM('членские взносы'!$M261:N261)</f>
        <v>27000</v>
      </c>
      <c r="O262" s="85" t="n">
        <f aca="false">SUM('план на 2016'!$L263:O263)-SUM('членские взносы'!$M261:O261)</f>
        <v>27000</v>
      </c>
      <c r="P262" s="85" t="n">
        <f aca="false">SUM('план на 2016'!$L263:P263)-SUM('членские взносы'!$M261:P261)</f>
        <v>27000</v>
      </c>
      <c r="Q262" s="85" t="n">
        <f aca="false">SUM('план на 2016'!$L263:Q263)-SUM('членские взносы'!$M261:Q261)</f>
        <v>27000</v>
      </c>
      <c r="R262" s="85" t="n">
        <f aca="false">SUM('план на 2016'!$L263:R263)-SUM('членские взносы'!$M261:R261)</f>
        <v>27000</v>
      </c>
      <c r="S262" s="85" t="n">
        <f aca="false">SUM('план на 2016'!$L263:S263)-SUM('членские взносы'!$M261:S261)</f>
        <v>27000</v>
      </c>
      <c r="T262" s="85" t="n">
        <f aca="false">SUM('план на 2016'!$L263:T263)-SUM('членские взносы'!$M261:T261)</f>
        <v>27000</v>
      </c>
      <c r="U262" s="85" t="n">
        <f aca="false">SUM('план на 2016'!$L263:U263)-SUM('членские взносы'!$M261:U261)</f>
        <v>27000</v>
      </c>
      <c r="V262" s="85" t="n">
        <f aca="false">SUM('план на 2016'!$L263:V263)-SUM('членские взносы'!$M261:V261)</f>
        <v>27000</v>
      </c>
      <c r="W262" s="85" t="n">
        <f aca="false">SUM('план на 2016'!$L263:W263)-SUM('членские взносы'!$M261:W261)</f>
        <v>27000</v>
      </c>
      <c r="X262" s="85" t="n">
        <f aca="false">SUM('план на 2016'!$L263:X263)-SUM('членские взносы'!$M261:X261)</f>
        <v>27000</v>
      </c>
      <c r="Y262" s="59" t="n">
        <f aca="false">X262</f>
        <v>27000</v>
      </c>
    </row>
    <row collapsed="false" customFormat="false" customHeight="true" hidden="false" ht="25.5" outlineLevel="0" r="263">
      <c r="A263" s="19" t="n">
        <f aca="false">VLOOKUP(B263,справочник!$B$2:$E$322,4,0)</f>
        <v>21</v>
      </c>
      <c r="B263" s="0" t="e">
        <f aca="false">CONCATENATE(C263;D263)</f>
        <v>#VALUE!</v>
      </c>
      <c r="C263" s="24" t="n">
        <v>21</v>
      </c>
      <c r="D263" s="29" t="s">
        <v>199</v>
      </c>
      <c r="E263" s="24" t="s">
        <v>621</v>
      </c>
      <c r="F263" s="30" t="n">
        <v>41107</v>
      </c>
      <c r="G263" s="30" t="n">
        <v>41091</v>
      </c>
      <c r="H263" s="31" t="n">
        <f aca="false">INT(($H$326-G263)/30)</f>
        <v>42</v>
      </c>
      <c r="I263" s="24" t="n">
        <f aca="false">H263*1000</f>
        <v>42000</v>
      </c>
      <c r="J263" s="31" t="n">
        <v>40000</v>
      </c>
      <c r="K263" s="31"/>
      <c r="L263" s="59" t="n">
        <f aca="false">I263-J263-K263</f>
        <v>2000</v>
      </c>
      <c r="M263" s="85" t="n">
        <f aca="false">SUM('план на 2016'!$L264:M264)-SUM('членские взносы'!$M262:M262)</f>
        <v>2800</v>
      </c>
      <c r="N263" s="85" t="n">
        <f aca="false">SUM('план на 2016'!$L264:N264)-SUM('членские взносы'!$M262:N262)</f>
        <v>3600</v>
      </c>
      <c r="O263" s="85" t="n">
        <f aca="false">SUM('план на 2016'!$L264:O264)-SUM('членские взносы'!$M262:O262)</f>
        <v>4400</v>
      </c>
      <c r="P263" s="85" t="n">
        <f aca="false">SUM('план на 2016'!$L264:P264)-SUM('членские взносы'!$M262:P262)</f>
        <v>5200</v>
      </c>
      <c r="Q263" s="85" t="n">
        <f aca="false">SUM('план на 2016'!$L264:Q264)-SUM('членские взносы'!$M262:Q262)</f>
        <v>6000</v>
      </c>
      <c r="R263" s="85" t="n">
        <f aca="false">SUM('план на 2016'!$L264:R264)-SUM('членские взносы'!$M262:R262)</f>
        <v>6800</v>
      </c>
      <c r="S263" s="85" t="n">
        <f aca="false">SUM('план на 2016'!$L264:S264)-SUM('членские взносы'!$M262:S262)</f>
        <v>7600</v>
      </c>
      <c r="T263" s="85" t="n">
        <f aca="false">SUM('план на 2016'!$L264:T264)-SUM('членские взносы'!$M262:T262)</f>
        <v>8400</v>
      </c>
      <c r="U263" s="85" t="n">
        <f aca="false">SUM('план на 2016'!$L264:U264)-SUM('членские взносы'!$M262:U262)</f>
        <v>-800</v>
      </c>
      <c r="V263" s="85" t="n">
        <f aca="false">SUM('план на 2016'!$L264:V264)-SUM('членские взносы'!$M262:V262)</f>
        <v>0</v>
      </c>
      <c r="W263" s="85" t="n">
        <f aca="false">SUM('план на 2016'!$L264:W264)-SUM('членские взносы'!$M262:W262)</f>
        <v>800</v>
      </c>
      <c r="X263" s="85" t="n">
        <f aca="false">SUM('план на 2016'!$L264:X264)-SUM('членские взносы'!$M262:X262)</f>
        <v>1600</v>
      </c>
      <c r="Y263" s="59" t="n">
        <f aca="false">X263</f>
        <v>1600</v>
      </c>
    </row>
    <row collapsed="false" customFormat="false" customHeight="false" hidden="false" ht="15" outlineLevel="0" r="264">
      <c r="A264" s="19" t="n">
        <f aca="false">VLOOKUP(B264,справочник!$B$2:$E$322,4,0)</f>
        <v>298</v>
      </c>
      <c r="B264" s="0" t="e">
        <f aca="false">CONCATENATE(C264;D264)</f>
        <v>#VALUE!</v>
      </c>
      <c r="C264" s="24" t="n">
        <v>313</v>
      </c>
      <c r="D264" s="29" t="s">
        <v>278</v>
      </c>
      <c r="E264" s="24" t="s">
        <v>622</v>
      </c>
      <c r="F264" s="30" t="n">
        <v>41994</v>
      </c>
      <c r="G264" s="30" t="n">
        <v>42005</v>
      </c>
      <c r="H264" s="31" t="n">
        <f aca="false">INT(($H$326-G264)/30)</f>
        <v>12</v>
      </c>
      <c r="I264" s="24" t="n">
        <f aca="false">H264*1000</f>
        <v>12000</v>
      </c>
      <c r="J264" s="31" t="n">
        <v>12000</v>
      </c>
      <c r="K264" s="31"/>
      <c r="L264" s="59" t="n">
        <f aca="false">I264-J264-K264</f>
        <v>0</v>
      </c>
      <c r="M264" s="85" t="n">
        <f aca="false">SUM('план на 2016'!$L265:M265)-SUM('членские взносы'!$M263:M263)</f>
        <v>800</v>
      </c>
      <c r="N264" s="85" t="n">
        <f aca="false">SUM('план на 2016'!$L265:N265)-SUM('членские взносы'!$M263:N263)</f>
        <v>-3200</v>
      </c>
      <c r="O264" s="85" t="n">
        <f aca="false">SUM('план на 2016'!$L265:O265)-SUM('членские взносы'!$M263:O263)</f>
        <v>-2400</v>
      </c>
      <c r="P264" s="85" t="n">
        <f aca="false">SUM('план на 2016'!$L265:P265)-SUM('членские взносы'!$M263:P263)</f>
        <v>-1600</v>
      </c>
      <c r="Q264" s="85" t="n">
        <f aca="false">SUM('план на 2016'!$L265:Q265)-SUM('членские взносы'!$M263:Q263)</f>
        <v>-800</v>
      </c>
      <c r="R264" s="85" t="n">
        <f aca="false">SUM('план на 2016'!$L265:R265)-SUM('членские взносы'!$M263:R263)</f>
        <v>0</v>
      </c>
      <c r="S264" s="85" t="n">
        <f aca="false">SUM('план на 2016'!$L265:S265)-SUM('членские взносы'!$M263:S263)</f>
        <v>800</v>
      </c>
      <c r="T264" s="85" t="n">
        <f aca="false">SUM('план на 2016'!$L265:T265)-SUM('членские взносы'!$M263:T263)</f>
        <v>1600</v>
      </c>
      <c r="U264" s="85" t="n">
        <f aca="false">SUM('план на 2016'!$L265:U265)-SUM('членские взносы'!$M263:U263)</f>
        <v>-2600</v>
      </c>
      <c r="V264" s="85" t="n">
        <f aca="false">SUM('план на 2016'!$L265:V265)-SUM('членские взносы'!$M263:V263)</f>
        <v>-1800</v>
      </c>
      <c r="W264" s="85" t="n">
        <f aca="false">SUM('план на 2016'!$L265:W265)-SUM('членские взносы'!$M263:W263)</f>
        <v>-1000</v>
      </c>
      <c r="X264" s="85" t="n">
        <f aca="false">SUM('план на 2016'!$L265:X265)-SUM('членские взносы'!$M263:X263)</f>
        <v>-200</v>
      </c>
      <c r="Y264" s="59" t="n">
        <f aca="false">X264</f>
        <v>-200</v>
      </c>
    </row>
    <row collapsed="false" customFormat="false" customHeight="false" hidden="false" ht="15" outlineLevel="0" r="265">
      <c r="A265" s="19" t="n">
        <f aca="false">VLOOKUP(B265,справочник!$B$2:$E$322,4,0)</f>
        <v>91</v>
      </c>
      <c r="B265" s="0" t="e">
        <f aca="false">CONCATENATE(C265;D265)</f>
        <v>#VALUE!</v>
      </c>
      <c r="C265" s="24" t="n">
        <v>96</v>
      </c>
      <c r="D265" s="29" t="s">
        <v>58</v>
      </c>
      <c r="E265" s="24" t="s">
        <v>623</v>
      </c>
      <c r="F265" s="30" t="n">
        <v>41070</v>
      </c>
      <c r="G265" s="30" t="n">
        <v>41061</v>
      </c>
      <c r="H265" s="31" t="n">
        <f aca="false">INT(($H$326-G265)/30)</f>
        <v>43</v>
      </c>
      <c r="I265" s="24" t="n">
        <f aca="false">H265*1000</f>
        <v>43000</v>
      </c>
      <c r="J265" s="31" t="n">
        <v>12000</v>
      </c>
      <c r="K265" s="31"/>
      <c r="L265" s="59" t="n">
        <f aca="false">I265-J265-K265</f>
        <v>31000</v>
      </c>
      <c r="M265" s="85" t="n">
        <f aca="false">SUM('план на 2016'!$L266:M266)-SUM('членские взносы'!$M264:M264)</f>
        <v>31800</v>
      </c>
      <c r="N265" s="85" t="n">
        <f aca="false">SUM('план на 2016'!$L266:N266)-SUM('членские взносы'!$M264:N264)</f>
        <v>32600</v>
      </c>
      <c r="O265" s="85" t="n">
        <f aca="false">SUM('план на 2016'!$L266:O266)-SUM('членские взносы'!$M264:O264)</f>
        <v>33400</v>
      </c>
      <c r="P265" s="85" t="n">
        <f aca="false">SUM('план на 2016'!$L266:P266)-SUM('членские взносы'!$M264:P264)</f>
        <v>34200</v>
      </c>
      <c r="Q265" s="85" t="n">
        <f aca="false">SUM('план на 2016'!$L266:Q266)-SUM('членские взносы'!$M264:Q264)</f>
        <v>35000</v>
      </c>
      <c r="R265" s="85" t="n">
        <f aca="false">SUM('план на 2016'!$L266:R266)-SUM('членские взносы'!$M264:R264)</f>
        <v>35800</v>
      </c>
      <c r="S265" s="85" t="n">
        <f aca="false">SUM('план на 2016'!$L266:S266)-SUM('членские взносы'!$M264:S264)</f>
        <v>21600</v>
      </c>
      <c r="T265" s="85" t="n">
        <f aca="false">SUM('план на 2016'!$L266:T266)-SUM('членские взносы'!$M264:T264)</f>
        <v>22400</v>
      </c>
      <c r="U265" s="85" t="n">
        <f aca="false">SUM('план на 2016'!$L266:U266)-SUM('членские взносы'!$M264:U264)</f>
        <v>23200</v>
      </c>
      <c r="V265" s="85" t="n">
        <f aca="false">SUM('план на 2016'!$L266:V266)-SUM('членские взносы'!$M264:V264)</f>
        <v>24000</v>
      </c>
      <c r="W265" s="85" t="n">
        <f aca="false">SUM('план на 2016'!$L266:W266)-SUM('членские взносы'!$M264:W264)</f>
        <v>24800</v>
      </c>
      <c r="X265" s="85" t="n">
        <f aca="false">SUM('план на 2016'!$L266:X266)-SUM('членские взносы'!$M264:X264)</f>
        <v>25600</v>
      </c>
      <c r="Y265" s="59" t="n">
        <f aca="false">X265</f>
        <v>25600</v>
      </c>
    </row>
    <row collapsed="false" customFormat="false" customHeight="false" hidden="false" ht="15" outlineLevel="0" r="266">
      <c r="A266" s="19" t="n">
        <f aca="false">VLOOKUP(B266,справочник!$B$2:$E$322,4,0)</f>
        <v>54</v>
      </c>
      <c r="B266" s="0" t="e">
        <f aca="false">CONCATENATE(C266;D266)</f>
        <v>#VALUE!</v>
      </c>
      <c r="C266" s="24" t="n">
        <v>56</v>
      </c>
      <c r="D266" s="29" t="s">
        <v>205</v>
      </c>
      <c r="E266" s="24" t="s">
        <v>625</v>
      </c>
      <c r="F266" s="30" t="n">
        <v>41184</v>
      </c>
      <c r="G266" s="30" t="n">
        <v>41214</v>
      </c>
      <c r="H266" s="31" t="n">
        <f aca="false">INT(($H$326-G266)/30)</f>
        <v>38</v>
      </c>
      <c r="I266" s="24" t="n">
        <f aca="false">H266*1000</f>
        <v>38000</v>
      </c>
      <c r="J266" s="31" t="n">
        <v>38000</v>
      </c>
      <c r="K266" s="31"/>
      <c r="L266" s="59" t="n">
        <f aca="false">I266-J266-K266</f>
        <v>0</v>
      </c>
      <c r="M266" s="85" t="n">
        <f aca="false">SUM('план на 2016'!$L267:M267)-SUM('членские взносы'!$M265:M265)</f>
        <v>800</v>
      </c>
      <c r="N266" s="85" t="n">
        <f aca="false">SUM('план на 2016'!$L267:N267)-SUM('членские взносы'!$M265:N265)</f>
        <v>1600</v>
      </c>
      <c r="O266" s="85" t="n">
        <f aca="false">SUM('план на 2016'!$L267:O267)-SUM('членские взносы'!$M265:O265)</f>
        <v>2400</v>
      </c>
      <c r="P266" s="85" t="n">
        <f aca="false">SUM('план на 2016'!$L267:P267)-SUM('членские взносы'!$M265:P265)</f>
        <v>3200</v>
      </c>
      <c r="Q266" s="85" t="n">
        <f aca="false">SUM('план на 2016'!$L267:Q267)-SUM('членские взносы'!$M265:Q265)</f>
        <v>4000</v>
      </c>
      <c r="R266" s="85" t="n">
        <f aca="false">SUM('план на 2016'!$L267:R267)-SUM('членские взносы'!$M265:R265)</f>
        <v>4800</v>
      </c>
      <c r="S266" s="85" t="n">
        <f aca="false">SUM('план на 2016'!$L267:S267)-SUM('членские взносы'!$M265:S265)</f>
        <v>5600</v>
      </c>
      <c r="T266" s="85" t="n">
        <f aca="false">SUM('план на 2016'!$L267:T267)-SUM('членские взносы'!$M265:T265)</f>
        <v>6400</v>
      </c>
      <c r="U266" s="85" t="n">
        <f aca="false">SUM('план на 2016'!$L267:U267)-SUM('членские взносы'!$M265:U265)</f>
        <v>7200</v>
      </c>
      <c r="V266" s="85" t="n">
        <f aca="false">SUM('план на 2016'!$L267:V267)-SUM('членские взносы'!$M265:V265)</f>
        <v>8000</v>
      </c>
      <c r="W266" s="85" t="n">
        <f aca="false">SUM('план на 2016'!$L267:W267)-SUM('членские взносы'!$M265:W265)</f>
        <v>8800</v>
      </c>
      <c r="X266" s="85" t="n">
        <f aca="false">SUM('план на 2016'!$L267:X267)-SUM('членские взносы'!$M265:X265)</f>
        <v>9600</v>
      </c>
      <c r="Y266" s="59" t="n">
        <f aca="false">X266</f>
        <v>9600</v>
      </c>
    </row>
    <row collapsed="false" customFormat="false" customHeight="false" hidden="false" ht="15" outlineLevel="0" r="267">
      <c r="A267" s="19" t="n">
        <f aca="false">VLOOKUP(B267,справочник!$B$2:$E$322,4,0)</f>
        <v>317</v>
      </c>
      <c r="B267" s="0" t="e">
        <f aca="false">CONCATENATE(C267;D267)</f>
        <v>#VALUE!</v>
      </c>
      <c r="C267" s="24" t="s">
        <v>624</v>
      </c>
      <c r="D267" s="29" t="s">
        <v>205</v>
      </c>
      <c r="E267" s="24" t="s">
        <v>626</v>
      </c>
      <c r="F267" s="30" t="n">
        <v>41184</v>
      </c>
      <c r="G267" s="30" t="n">
        <v>41214</v>
      </c>
      <c r="H267" s="31" t="n">
        <f aca="false">INT(($H$326-G267)/30)*2</f>
        <v>76</v>
      </c>
      <c r="I267" s="24" t="n">
        <v>89000</v>
      </c>
      <c r="J267" s="31" t="n">
        <v>89000</v>
      </c>
      <c r="K267" s="31"/>
      <c r="L267" s="59" t="n">
        <f aca="false">I267-J267-K267</f>
        <v>0</v>
      </c>
      <c r="M267" s="85" t="n">
        <f aca="false">SUM('план на 2016'!$L268:M268)-SUM('членские взносы'!$M266:M266)</f>
        <v>0</v>
      </c>
      <c r="N267" s="85" t="n">
        <f aca="false">SUM('план на 2016'!$L268:N268)-SUM('членские взносы'!$M266:N266)</f>
        <v>0</v>
      </c>
      <c r="O267" s="85" t="n">
        <f aca="false">SUM('план на 2016'!$L268:O268)-SUM('членские взносы'!$M266:O266)</f>
        <v>0</v>
      </c>
      <c r="P267" s="85" t="n">
        <f aca="false">SUM('план на 2016'!$L268:P268)-SUM('членские взносы'!$M266:P266)</f>
        <v>0</v>
      </c>
      <c r="Q267" s="85" t="n">
        <f aca="false">SUM('план на 2016'!$L268:Q268)-SUM('членские взносы'!$M266:Q266)</f>
        <v>0</v>
      </c>
      <c r="R267" s="85" t="n">
        <f aca="false">SUM('план на 2016'!$L268:R268)-SUM('членские взносы'!$M266:R266)</f>
        <v>0</v>
      </c>
      <c r="S267" s="85" t="n">
        <f aca="false">SUM('план на 2016'!$L268:S268)-SUM('членские взносы'!$M266:S266)</f>
        <v>0</v>
      </c>
      <c r="T267" s="85" t="n">
        <f aca="false">SUM('план на 2016'!$L268:T268)-SUM('членские взносы'!$M266:T266)</f>
        <v>0</v>
      </c>
      <c r="U267" s="85" t="n">
        <f aca="false">SUM('план на 2016'!$L268:U268)-SUM('членские взносы'!$M266:U266)</f>
        <v>-6400</v>
      </c>
      <c r="V267" s="85" t="n">
        <f aca="false">SUM('план на 2016'!$L268:V268)-SUM('членские взносы'!$M266:V266)</f>
        <v>-6400</v>
      </c>
      <c r="W267" s="85" t="n">
        <f aca="false">SUM('план на 2016'!$L268:W268)-SUM('членские взносы'!$M266:W266)</f>
        <v>-6400</v>
      </c>
      <c r="X267" s="85" t="n">
        <f aca="false">SUM('план на 2016'!$L268:X268)-SUM('членские взносы'!$M266:X266)</f>
        <v>-6400</v>
      </c>
      <c r="Y267" s="59" t="n">
        <f aca="false">X267</f>
        <v>-6400</v>
      </c>
    </row>
    <row collapsed="false" customFormat="false" customHeight="false" hidden="false" ht="15" outlineLevel="0" r="268">
      <c r="A268" s="19" t="n">
        <f aca="false">VLOOKUP(B268,справочник!$B$2:$E$322,4,0)</f>
        <v>268</v>
      </c>
      <c r="B268" s="0" t="e">
        <f aca="false">CONCATENATE(C268;D268)</f>
        <v>#VALUE!</v>
      </c>
      <c r="C268" s="24" t="n">
        <v>281</v>
      </c>
      <c r="D268" s="29" t="s">
        <v>200</v>
      </c>
      <c r="E268" s="24" t="s">
        <v>627</v>
      </c>
      <c r="F268" s="30" t="n">
        <v>41184</v>
      </c>
      <c r="G268" s="30" t="n">
        <v>41214</v>
      </c>
      <c r="H268" s="31" t="n">
        <f aca="false">INT(($H$326-G268)/30)</f>
        <v>38</v>
      </c>
      <c r="I268" s="24" t="n">
        <f aca="false">H268*1000</f>
        <v>38000</v>
      </c>
      <c r="J268" s="31" t="n">
        <v>28000</v>
      </c>
      <c r="K268" s="31"/>
      <c r="L268" s="59" t="n">
        <f aca="false">I268-J268-K268</f>
        <v>10000</v>
      </c>
      <c r="M268" s="85" t="n">
        <f aca="false">SUM('план на 2016'!$L269:M269)-SUM('членские взносы'!$M267:M267)</f>
        <v>7800</v>
      </c>
      <c r="N268" s="85" t="n">
        <f aca="false">SUM('план на 2016'!$L269:N269)-SUM('членские взносы'!$M267:N267)</f>
        <v>8600</v>
      </c>
      <c r="O268" s="85" t="n">
        <f aca="false">SUM('план на 2016'!$L269:O269)-SUM('членские взносы'!$M267:O267)</f>
        <v>9400</v>
      </c>
      <c r="P268" s="85" t="n">
        <f aca="false">SUM('план на 2016'!$L269:P269)-SUM('членские взносы'!$M267:P267)</f>
        <v>7200</v>
      </c>
      <c r="Q268" s="85" t="n">
        <f aca="false">SUM('план на 2016'!$L269:Q269)-SUM('членские взносы'!$M267:Q267)</f>
        <v>8000</v>
      </c>
      <c r="R268" s="85" t="n">
        <f aca="false">SUM('план на 2016'!$L269:R269)-SUM('членские взносы'!$M267:R267)</f>
        <v>5800</v>
      </c>
      <c r="S268" s="85" t="n">
        <f aca="false">SUM('план на 2016'!$L269:S269)-SUM('членские взносы'!$M267:S267)</f>
        <v>6600</v>
      </c>
      <c r="T268" s="85" t="n">
        <f aca="false">SUM('план на 2016'!$L269:T269)-SUM('членские взносы'!$M267:T267)</f>
        <v>7400</v>
      </c>
      <c r="U268" s="85" t="n">
        <f aca="false">SUM('план на 2016'!$L269:U269)-SUM('членские взносы'!$M267:U267)</f>
        <v>5200</v>
      </c>
      <c r="V268" s="85" t="n">
        <f aca="false">SUM('план на 2016'!$L269:V269)-SUM('членские взносы'!$M267:V267)</f>
        <v>6000</v>
      </c>
      <c r="W268" s="85" t="n">
        <f aca="false">SUM('план на 2016'!$L269:W269)-SUM('членские взносы'!$M267:W267)</f>
        <v>6800</v>
      </c>
      <c r="X268" s="85" t="n">
        <f aca="false">SUM('план на 2016'!$L269:X269)-SUM('членские взносы'!$M267:X267)</f>
        <v>7600</v>
      </c>
      <c r="Y268" s="59" t="n">
        <f aca="false">X268</f>
        <v>7600</v>
      </c>
    </row>
    <row collapsed="false" customFormat="false" customHeight="false" hidden="false" ht="15" outlineLevel="0" r="269">
      <c r="A269" s="19" t="n">
        <f aca="false">VLOOKUP(B269,справочник!$B$2:$E$322,4,0)</f>
        <v>172</v>
      </c>
      <c r="B269" s="0" t="e">
        <f aca="false">CONCATENATE(C269;D269)</f>
        <v>#VALUE!</v>
      </c>
      <c r="C269" s="24" t="n">
        <v>180</v>
      </c>
      <c r="D269" s="29" t="s">
        <v>47</v>
      </c>
      <c r="E269" s="24" t="s">
        <v>628</v>
      </c>
      <c r="F269" s="30" t="n">
        <v>40809</v>
      </c>
      <c r="G269" s="30" t="n">
        <v>40787</v>
      </c>
      <c r="H269" s="31" t="n">
        <f aca="false">INT(($H$326-G269)/30)</f>
        <v>52</v>
      </c>
      <c r="I269" s="24" t="n">
        <f aca="false">H269*1000</f>
        <v>52000</v>
      </c>
      <c r="J269" s="31" t="n">
        <f aca="false">13000+1000</f>
        <v>14000</v>
      </c>
      <c r="K269" s="31"/>
      <c r="L269" s="59" t="n">
        <f aca="false">I269-J269-K269</f>
        <v>38000</v>
      </c>
      <c r="M269" s="85" t="n">
        <f aca="false">SUM('план на 2016'!$L270:M270)-SUM('членские взносы'!$M268:M268)</f>
        <v>38800</v>
      </c>
      <c r="N269" s="85" t="n">
        <f aca="false">SUM('план на 2016'!$L270:N270)-SUM('членские взносы'!$M268:N268)</f>
        <v>39600</v>
      </c>
      <c r="O269" s="85" t="n">
        <f aca="false">SUM('план на 2016'!$L270:O270)-SUM('членские взносы'!$M268:O268)</f>
        <v>40400</v>
      </c>
      <c r="P269" s="85" t="n">
        <f aca="false">SUM('план на 2016'!$L270:P270)-SUM('членские взносы'!$M268:P268)</f>
        <v>41200</v>
      </c>
      <c r="Q269" s="85" t="n">
        <f aca="false">SUM('план на 2016'!$L270:Q270)-SUM('членские взносы'!$M268:Q268)</f>
        <v>42000</v>
      </c>
      <c r="R269" s="85" t="n">
        <f aca="false">SUM('план на 2016'!$L270:R270)-SUM('членские взносы'!$M268:R268)</f>
        <v>42800</v>
      </c>
      <c r="S269" s="85" t="n">
        <f aca="false">SUM('план на 2016'!$L270:S270)-SUM('членские взносы'!$M268:S268)</f>
        <v>43600</v>
      </c>
      <c r="T269" s="85" t="n">
        <f aca="false">SUM('план на 2016'!$L270:T270)-SUM('членские взносы'!$M268:T268)</f>
        <v>44400</v>
      </c>
      <c r="U269" s="85" t="n">
        <f aca="false">SUM('план на 2016'!$L270:U270)-SUM('членские взносы'!$M268:U268)</f>
        <v>45200</v>
      </c>
      <c r="V269" s="85" t="n">
        <f aca="false">SUM('план на 2016'!$L270:V270)-SUM('членские взносы'!$M268:V268)</f>
        <v>35800</v>
      </c>
      <c r="W269" s="85" t="n">
        <f aca="false">SUM('план на 2016'!$L270:W270)-SUM('членские взносы'!$M268:W268)</f>
        <v>36600</v>
      </c>
      <c r="X269" s="85" t="n">
        <f aca="false">SUM('план на 2016'!$L270:X270)-SUM('членские взносы'!$M268:X268)</f>
        <v>37400</v>
      </c>
      <c r="Y269" s="59" t="n">
        <f aca="false">X269</f>
        <v>37400</v>
      </c>
    </row>
    <row collapsed="false" customFormat="false" customHeight="false" hidden="false" ht="15" outlineLevel="0" r="270">
      <c r="A270" s="19" t="n">
        <f aca="false">VLOOKUP(B270,справочник!$B$2:$E$322,4,0)</f>
        <v>116</v>
      </c>
      <c r="B270" s="0" t="e">
        <f aca="false">CONCATENATE(C270;D270)</f>
        <v>#VALUE!</v>
      </c>
      <c r="C270" s="24" t="n">
        <v>121</v>
      </c>
      <c r="D270" s="29" t="s">
        <v>237</v>
      </c>
      <c r="E270" s="24" t="s">
        <v>629</v>
      </c>
      <c r="F270" s="30" t="n">
        <v>41531</v>
      </c>
      <c r="G270" s="30" t="n">
        <v>41518</v>
      </c>
      <c r="H270" s="31" t="n">
        <f aca="false">INT(($H$326-G270)/30)</f>
        <v>28</v>
      </c>
      <c r="I270" s="24" t="n">
        <f aca="false">H270*1000</f>
        <v>28000</v>
      </c>
      <c r="J270" s="31" t="n">
        <v>20000</v>
      </c>
      <c r="K270" s="31"/>
      <c r="L270" s="59" t="n">
        <f aca="false">I270-J270-K270</f>
        <v>8000</v>
      </c>
      <c r="M270" s="85" t="n">
        <f aca="false">SUM('план на 2016'!$L271:M271)-SUM('членские взносы'!$M269:M269)</f>
        <v>8800</v>
      </c>
      <c r="N270" s="85" t="n">
        <f aca="false">SUM('план на 2016'!$L271:N271)-SUM('членские взносы'!$M269:N269)</f>
        <v>9600</v>
      </c>
      <c r="O270" s="85" t="n">
        <f aca="false">SUM('план на 2016'!$L271:O271)-SUM('членские взносы'!$M269:O269)</f>
        <v>400</v>
      </c>
      <c r="P270" s="85" t="n">
        <f aca="false">SUM('план на 2016'!$L271:P271)-SUM('членские взносы'!$M269:P269)</f>
        <v>1200</v>
      </c>
      <c r="Q270" s="85" t="n">
        <f aca="false">SUM('план на 2016'!$L271:Q271)-SUM('членские взносы'!$M269:Q269)</f>
        <v>2000</v>
      </c>
      <c r="R270" s="85" t="n">
        <f aca="false">SUM('план на 2016'!$L271:R271)-SUM('членские взносы'!$M269:R269)</f>
        <v>2800</v>
      </c>
      <c r="S270" s="85" t="n">
        <f aca="false">SUM('план на 2016'!$L271:S271)-SUM('членские взносы'!$M269:S269)</f>
        <v>3600</v>
      </c>
      <c r="T270" s="85" t="n">
        <f aca="false">SUM('план на 2016'!$L271:T271)-SUM('членские взносы'!$M269:T269)</f>
        <v>4400</v>
      </c>
      <c r="U270" s="85" t="n">
        <f aca="false">SUM('план на 2016'!$L271:U271)-SUM('членские взносы'!$M269:U269)</f>
        <v>5200</v>
      </c>
      <c r="V270" s="85" t="n">
        <f aca="false">SUM('план на 2016'!$L271:V271)-SUM('членские взносы'!$M269:V269)</f>
        <v>6000</v>
      </c>
      <c r="W270" s="85" t="n">
        <f aca="false">SUM('план на 2016'!$L271:W271)-SUM('членские взносы'!$M269:W269)</f>
        <v>6800</v>
      </c>
      <c r="X270" s="85" t="n">
        <f aca="false">SUM('план на 2016'!$L271:X271)-SUM('членские взносы'!$M269:X269)</f>
        <v>7600</v>
      </c>
      <c r="Y270" s="59" t="n">
        <f aca="false">X270</f>
        <v>7600</v>
      </c>
    </row>
    <row collapsed="false" customFormat="false" customHeight="false" hidden="false" ht="15" outlineLevel="0" r="271">
      <c r="A271" s="19" t="n">
        <f aca="false">VLOOKUP(B271,справочник!$B$2:$E$322,4,0)</f>
        <v>57</v>
      </c>
      <c r="B271" s="0" t="e">
        <f aca="false">CONCATENATE(C271;D271)</f>
        <v>#VALUE!</v>
      </c>
      <c r="C271" s="24" t="n">
        <v>59</v>
      </c>
      <c r="D271" s="29" t="s">
        <v>153</v>
      </c>
      <c r="E271" s="24" t="s">
        <v>630</v>
      </c>
      <c r="F271" s="30" t="n">
        <v>41044</v>
      </c>
      <c r="G271" s="30" t="n">
        <v>41030</v>
      </c>
      <c r="H271" s="31" t="n">
        <f aca="false">INT(($H$326-G271)/30)</f>
        <v>44</v>
      </c>
      <c r="I271" s="24" t="n">
        <f aca="false">H271*1000</f>
        <v>44000</v>
      </c>
      <c r="J271" s="31" t="n">
        <v>34000</v>
      </c>
      <c r="K271" s="31"/>
      <c r="L271" s="59" t="n">
        <f aca="false">I271-J271-K271</f>
        <v>10000</v>
      </c>
      <c r="M271" s="85" t="n">
        <f aca="false">SUM('план на 2016'!$L272:M272)-SUM('членские взносы'!$M270:M270)</f>
        <v>10800</v>
      </c>
      <c r="N271" s="85" t="n">
        <f aca="false">SUM('план на 2016'!$L272:N272)-SUM('членские взносы'!$M270:N270)</f>
        <v>11600</v>
      </c>
      <c r="O271" s="85" t="n">
        <f aca="false">SUM('план на 2016'!$L272:O272)-SUM('членские взносы'!$M270:O270)</f>
        <v>12400</v>
      </c>
      <c r="P271" s="85" t="n">
        <f aca="false">SUM('план на 2016'!$L272:P272)-SUM('членские взносы'!$M270:P270)</f>
        <v>3200</v>
      </c>
      <c r="Q271" s="85" t="n">
        <f aca="false">SUM('план на 2016'!$L272:Q272)-SUM('членские взносы'!$M270:Q270)</f>
        <v>4000</v>
      </c>
      <c r="R271" s="85" t="n">
        <f aca="false">SUM('план на 2016'!$L272:R272)-SUM('членские взносы'!$M270:R270)</f>
        <v>4800</v>
      </c>
      <c r="S271" s="85" t="n">
        <f aca="false">SUM('план на 2016'!$L272:S272)-SUM('членские взносы'!$M270:S270)</f>
        <v>5600</v>
      </c>
      <c r="T271" s="85" t="n">
        <f aca="false">SUM('план на 2016'!$L272:T272)-SUM('членские взносы'!$M270:T270)</f>
        <v>6400</v>
      </c>
      <c r="U271" s="85" t="n">
        <f aca="false">SUM('план на 2016'!$L272:U272)-SUM('членские взносы'!$M270:U270)</f>
        <v>7200</v>
      </c>
      <c r="V271" s="85" t="n">
        <f aca="false">SUM('план на 2016'!$L272:V272)-SUM('членские взносы'!$M270:V270)</f>
        <v>8000</v>
      </c>
      <c r="W271" s="85" t="n">
        <f aca="false">SUM('план на 2016'!$L272:W272)-SUM('членские взносы'!$M270:W270)</f>
        <v>8800</v>
      </c>
      <c r="X271" s="85" t="n">
        <f aca="false">SUM('план на 2016'!$L272:X272)-SUM('членские взносы'!$M270:X270)</f>
        <v>9600</v>
      </c>
      <c r="Y271" s="59" t="n">
        <f aca="false">X271</f>
        <v>9600</v>
      </c>
    </row>
    <row collapsed="false" customFormat="false" customHeight="false" hidden="false" ht="15" outlineLevel="0" r="272">
      <c r="A272" s="19" t="n">
        <f aca="false">VLOOKUP(B272,справочник!$B$2:$E$322,4,0)</f>
        <v>46</v>
      </c>
      <c r="B272" s="0" t="e">
        <f aca="false">CONCATENATE(C272;D272)</f>
        <v>#VALUE!</v>
      </c>
      <c r="C272" s="24" t="n">
        <v>46</v>
      </c>
      <c r="D272" s="29" t="s">
        <v>121</v>
      </c>
      <c r="E272" s="24" t="s">
        <v>631</v>
      </c>
      <c r="F272" s="30" t="n">
        <v>41382</v>
      </c>
      <c r="G272" s="30" t="n">
        <v>41395</v>
      </c>
      <c r="H272" s="31" t="n">
        <f aca="false">INT(($H$326-G272)/30)</f>
        <v>32</v>
      </c>
      <c r="I272" s="24" t="n">
        <f aca="false">H272*1000</f>
        <v>32000</v>
      </c>
      <c r="J272" s="31" t="n">
        <v>17000</v>
      </c>
      <c r="K272" s="31"/>
      <c r="L272" s="59" t="n">
        <f aca="false">I272-J272-K272</f>
        <v>15000</v>
      </c>
      <c r="M272" s="85" t="n">
        <f aca="false">SUM('план на 2016'!$L273:M273)-SUM('членские взносы'!$M271:M271)</f>
        <v>15800</v>
      </c>
      <c r="N272" s="85" t="n">
        <f aca="false">SUM('план на 2016'!$L273:N273)-SUM('членские взносы'!$M271:N271)</f>
        <v>16600</v>
      </c>
      <c r="O272" s="85" t="n">
        <f aca="false">SUM('план на 2016'!$L273:O273)-SUM('членские взносы'!$M271:O271)</f>
        <v>17400</v>
      </c>
      <c r="P272" s="85" t="n">
        <f aca="false">SUM('план на 2016'!$L273:P273)-SUM('членские взносы'!$M271:P271)</f>
        <v>18200</v>
      </c>
      <c r="Q272" s="85" t="n">
        <f aca="false">SUM('план на 2016'!$L273:Q273)-SUM('членские взносы'!$M271:Q271)</f>
        <v>19000</v>
      </c>
      <c r="R272" s="85" t="n">
        <f aca="false">SUM('план на 2016'!$L273:R273)-SUM('членские взносы'!$M271:R271)</f>
        <v>19800</v>
      </c>
      <c r="S272" s="85" t="n">
        <f aca="false">SUM('план на 2016'!$L273:S273)-SUM('членские взносы'!$M271:S271)</f>
        <v>20600</v>
      </c>
      <c r="T272" s="85" t="n">
        <f aca="false">SUM('план на 2016'!$L273:T273)-SUM('членские взносы'!$M271:T271)</f>
        <v>21400</v>
      </c>
      <c r="U272" s="85" t="n">
        <f aca="false">SUM('план на 2016'!$L273:U273)-SUM('членские взносы'!$M271:U271)</f>
        <v>22200</v>
      </c>
      <c r="V272" s="85" t="n">
        <f aca="false">SUM('план на 2016'!$L273:V273)-SUM('членские взносы'!$M271:V271)</f>
        <v>23000</v>
      </c>
      <c r="W272" s="85" t="n">
        <f aca="false">SUM('план на 2016'!$L273:W273)-SUM('членские взносы'!$M271:W271)</f>
        <v>23800</v>
      </c>
      <c r="X272" s="85" t="n">
        <f aca="false">SUM('план на 2016'!$L273:X273)-SUM('членские взносы'!$M271:X271)</f>
        <v>24600</v>
      </c>
      <c r="Y272" s="59" t="n">
        <f aca="false">X272</f>
        <v>24600</v>
      </c>
    </row>
    <row collapsed="false" customFormat="false" customHeight="false" hidden="false" ht="15" outlineLevel="0" r="273">
      <c r="A273" s="19" t="n">
        <f aca="false">VLOOKUP(B273,справочник!$B$2:$E$322,4,0)</f>
        <v>73</v>
      </c>
      <c r="B273" s="0" t="e">
        <f aca="false">CONCATENATE(C273;D273)</f>
        <v>#VALUE!</v>
      </c>
      <c r="C273" s="24" t="n">
        <v>79</v>
      </c>
      <c r="D273" s="29" t="s">
        <v>148</v>
      </c>
      <c r="E273" s="24" t="s">
        <v>632</v>
      </c>
      <c r="F273" s="30" t="n">
        <v>41382</v>
      </c>
      <c r="G273" s="30" t="n">
        <v>41395</v>
      </c>
      <c r="H273" s="31" t="n">
        <f aca="false">INT(($H$326-G273)/30)</f>
        <v>32</v>
      </c>
      <c r="I273" s="24" t="n">
        <f aca="false">H273*1000</f>
        <v>32000</v>
      </c>
      <c r="J273" s="31" t="n">
        <v>21000</v>
      </c>
      <c r="K273" s="31"/>
      <c r="L273" s="59" t="n">
        <f aca="false">I273-J273-K273</f>
        <v>11000</v>
      </c>
      <c r="M273" s="85" t="n">
        <f aca="false">SUM('план на 2016'!$L274:M274)-SUM('членские взносы'!$M272:M272)</f>
        <v>11800</v>
      </c>
      <c r="N273" s="85" t="n">
        <f aca="false">SUM('план на 2016'!$L274:N274)-SUM('членские взносы'!$M272:N272)</f>
        <v>12600</v>
      </c>
      <c r="O273" s="85" t="n">
        <f aca="false">SUM('план на 2016'!$L274:O274)-SUM('членские взносы'!$M272:O272)</f>
        <v>13400</v>
      </c>
      <c r="P273" s="85" t="n">
        <f aca="false">SUM('план на 2016'!$L274:P274)-SUM('членские взносы'!$M272:P272)</f>
        <v>14200</v>
      </c>
      <c r="Q273" s="85" t="n">
        <f aca="false">SUM('план на 2016'!$L274:Q274)-SUM('членские взносы'!$M272:Q272)</f>
        <v>15000</v>
      </c>
      <c r="R273" s="85" t="n">
        <f aca="false">SUM('план на 2016'!$L274:R274)-SUM('членские взносы'!$M272:R272)</f>
        <v>15800</v>
      </c>
      <c r="S273" s="85" t="n">
        <f aca="false">SUM('план на 2016'!$L274:S274)-SUM('членские взносы'!$M272:S272)</f>
        <v>16600</v>
      </c>
      <c r="T273" s="85" t="n">
        <f aca="false">SUM('план на 2016'!$L274:T274)-SUM('членские взносы'!$M272:T272)</f>
        <v>17400</v>
      </c>
      <c r="U273" s="85" t="n">
        <f aca="false">SUM('план на 2016'!$L274:U274)-SUM('членские взносы'!$M272:U272)</f>
        <v>18200</v>
      </c>
      <c r="V273" s="85" t="n">
        <f aca="false">SUM('план на 2016'!$L274:V274)-SUM('членские взносы'!$M272:V272)</f>
        <v>19000</v>
      </c>
      <c r="W273" s="85" t="n">
        <f aca="false">SUM('план на 2016'!$L274:W274)-SUM('членские взносы'!$M272:W272)</f>
        <v>19800</v>
      </c>
      <c r="X273" s="85" t="n">
        <f aca="false">SUM('план на 2016'!$L274:X274)-SUM('членские взносы'!$M272:X272)</f>
        <v>20600</v>
      </c>
      <c r="Y273" s="59" t="n">
        <f aca="false">X273</f>
        <v>20600</v>
      </c>
    </row>
    <row collapsed="false" customFormat="false" customHeight="false" hidden="false" ht="15" outlineLevel="0" r="274">
      <c r="A274" s="19" t="n">
        <f aca="false">VLOOKUP(B274,справочник!$B$2:$E$322,4,0)</f>
        <v>162</v>
      </c>
      <c r="B274" s="0" t="e">
        <f aca="false">CONCATENATE(C274;D274)</f>
        <v>#VALUE!</v>
      </c>
      <c r="C274" s="24" t="n">
        <v>170</v>
      </c>
      <c r="D274" s="29" t="s">
        <v>306</v>
      </c>
      <c r="E274" s="24" t="s">
        <v>633</v>
      </c>
      <c r="F274" s="30" t="n">
        <v>41800</v>
      </c>
      <c r="G274" s="30" t="n">
        <v>41821</v>
      </c>
      <c r="H274" s="31" t="n">
        <f aca="false">INT(($H$326-G274)/30)</f>
        <v>18</v>
      </c>
      <c r="I274" s="24" t="n">
        <f aca="false">H274*1000</f>
        <v>18000</v>
      </c>
      <c r="J274" s="31" t="n">
        <v>12000</v>
      </c>
      <c r="K274" s="31"/>
      <c r="L274" s="59" t="n">
        <f aca="false">I274-J274-K274</f>
        <v>6000</v>
      </c>
      <c r="M274" s="85" t="n">
        <f aca="false">SUM('план на 2016'!$L275:M275)-SUM('членские взносы'!$M273:M273)</f>
        <v>6800</v>
      </c>
      <c r="N274" s="85" t="n">
        <f aca="false">SUM('план на 2016'!$L275:N275)-SUM('членские взносы'!$M273:N273)</f>
        <v>7600</v>
      </c>
      <c r="O274" s="85" t="n">
        <f aca="false">SUM('план на 2016'!$L275:O275)-SUM('членские взносы'!$M273:O273)</f>
        <v>8400</v>
      </c>
      <c r="P274" s="85" t="n">
        <f aca="false">SUM('план на 2016'!$L275:P275)-SUM('членские взносы'!$M273:P273)</f>
        <v>9200</v>
      </c>
      <c r="Q274" s="85" t="n">
        <f aca="false">SUM('план на 2016'!$L275:Q275)-SUM('членские взносы'!$M273:Q273)</f>
        <v>-2000</v>
      </c>
      <c r="R274" s="85" t="n">
        <f aca="false">SUM('план на 2016'!$L275:R275)-SUM('членские взносы'!$M273:R273)</f>
        <v>-1200</v>
      </c>
      <c r="S274" s="85" t="n">
        <f aca="false">SUM('план на 2016'!$L275:S275)-SUM('членские взносы'!$M273:S273)</f>
        <v>-400</v>
      </c>
      <c r="T274" s="85" t="n">
        <f aca="false">SUM('план на 2016'!$L275:T275)-SUM('членские взносы'!$M273:T273)</f>
        <v>400</v>
      </c>
      <c r="U274" s="85" t="n">
        <f aca="false">SUM('план на 2016'!$L275:U275)-SUM('членские взносы'!$M273:U273)</f>
        <v>1200</v>
      </c>
      <c r="V274" s="85" t="n">
        <f aca="false">SUM('план на 2016'!$L275:V275)-SUM('членские взносы'!$M273:V273)</f>
        <v>2000</v>
      </c>
      <c r="W274" s="85" t="n">
        <f aca="false">SUM('план на 2016'!$L275:W275)-SUM('членские взносы'!$M273:W273)</f>
        <v>2800</v>
      </c>
      <c r="X274" s="85" t="n">
        <f aca="false">SUM('план на 2016'!$L275:X275)-SUM('членские взносы'!$M273:X273)</f>
        <v>3600</v>
      </c>
      <c r="Y274" s="59" t="n">
        <f aca="false">X274</f>
        <v>3600</v>
      </c>
    </row>
    <row collapsed="false" customFormat="false" customHeight="false" hidden="false" ht="15" outlineLevel="0" r="275">
      <c r="A275" s="19" t="n">
        <f aca="false">VLOOKUP(B275,справочник!$B$2:$E$322,4,0)</f>
        <v>252</v>
      </c>
      <c r="B275" s="0" t="e">
        <f aca="false">CONCATENATE(C275;D275)</f>
        <v>#VALUE!</v>
      </c>
      <c r="C275" s="24" t="n">
        <v>263</v>
      </c>
      <c r="D275" s="29" t="s">
        <v>171</v>
      </c>
      <c r="E275" s="24" t="s">
        <v>634</v>
      </c>
      <c r="F275" s="34" t="n">
        <v>41967</v>
      </c>
      <c r="G275" s="34" t="n">
        <v>41974</v>
      </c>
      <c r="H275" s="35" t="n">
        <f aca="false">INT(($H$326-G275)/30)</f>
        <v>13</v>
      </c>
      <c r="I275" s="36" t="n">
        <f aca="false">H275*1000</f>
        <v>13000</v>
      </c>
      <c r="J275" s="35" t="n">
        <v>8000</v>
      </c>
      <c r="K275" s="35"/>
      <c r="L275" s="66" t="n">
        <f aca="false">I275-J275-K275</f>
        <v>5000</v>
      </c>
      <c r="M275" s="85" t="n">
        <f aca="false">SUM('план на 2016'!$L276:M276)-SUM('членские взносы'!$M274:M274)</f>
        <v>5800</v>
      </c>
      <c r="N275" s="85" t="n">
        <f aca="false">SUM('план на 2016'!$L276:N276)-SUM('членские взносы'!$M274:N274)</f>
        <v>5800</v>
      </c>
      <c r="O275" s="85" t="n">
        <f aca="false">SUM('план на 2016'!$L276:O276)-SUM('членские взносы'!$M274:O274)</f>
        <v>5000</v>
      </c>
      <c r="P275" s="85" t="n">
        <f aca="false">SUM('план на 2016'!$L276:P276)-SUM('членские взносы'!$M274:P274)</f>
        <v>5800</v>
      </c>
      <c r="Q275" s="85" t="n">
        <f aca="false">SUM('план на 2016'!$L276:Q276)-SUM('членские взносы'!$M274:Q274)</f>
        <v>5000</v>
      </c>
      <c r="R275" s="85" t="n">
        <f aca="false">SUM('план на 2016'!$L276:R276)-SUM('членские взносы'!$M274:R274)</f>
        <v>5800</v>
      </c>
      <c r="S275" s="85" t="n">
        <f aca="false">SUM('план на 2016'!$L276:S276)-SUM('членские взносы'!$M274:S274)</f>
        <v>5000</v>
      </c>
      <c r="T275" s="85" t="n">
        <f aca="false">SUM('план на 2016'!$L276:T276)-SUM('членские взносы'!$M274:T274)</f>
        <v>5000</v>
      </c>
      <c r="U275" s="85" t="n">
        <f aca="false">SUM('план на 2016'!$L276:U276)-SUM('членские взносы'!$M274:U274)</f>
        <v>5000</v>
      </c>
      <c r="V275" s="85" t="n">
        <f aca="false">SUM('план на 2016'!$L276:V276)-SUM('членские взносы'!$M274:V274)</f>
        <v>5800</v>
      </c>
      <c r="W275" s="85" t="n">
        <f aca="false">SUM('план на 2016'!$L276:W276)-SUM('членские взносы'!$M274:W274)</f>
        <v>5800</v>
      </c>
      <c r="X275" s="85" t="n">
        <f aca="false">SUM('план на 2016'!$L276:X276)-SUM('членские взносы'!$M274:X274)</f>
        <v>5000</v>
      </c>
      <c r="Y275" s="59" t="n">
        <f aca="false">X275</f>
        <v>5000</v>
      </c>
    </row>
    <row collapsed="false" customFormat="false" customHeight="false" hidden="false" ht="15" outlineLevel="0" r="276">
      <c r="A276" s="19" t="n">
        <f aca="false">VLOOKUP(B276,справочник!$B$2:$E$322,4,0)</f>
        <v>252</v>
      </c>
      <c r="B276" s="0" t="e">
        <f aca="false">CONCATENATE(C276;D276)</f>
        <v>#VALUE!</v>
      </c>
      <c r="C276" s="24" t="n">
        <v>264</v>
      </c>
      <c r="D276" s="29" t="s">
        <v>171</v>
      </c>
      <c r="E276" s="24" t="s">
        <v>635</v>
      </c>
      <c r="F276" s="34" t="n">
        <v>41967</v>
      </c>
      <c r="G276" s="34" t="n">
        <v>41974</v>
      </c>
      <c r="H276" s="35" t="n">
        <f aca="false">INT(($H$326-G276)/30)</f>
        <v>13</v>
      </c>
      <c r="I276" s="36" t="n">
        <f aca="false">H276*1000</f>
        <v>13000</v>
      </c>
      <c r="J276" s="35" t="n">
        <v>8000</v>
      </c>
      <c r="K276" s="35"/>
      <c r="L276" s="66" t="n">
        <f aca="false">I276-J276-K276</f>
        <v>5000</v>
      </c>
      <c r="M276" s="85" t="n">
        <f aca="false">SUM('план на 2016'!$L277:M277)-SUM('членские взносы'!$M275:M275)</f>
        <v>5000</v>
      </c>
      <c r="N276" s="85" t="n">
        <f aca="false">SUM('план на 2016'!$L277:N277)-SUM('членские взносы'!$M275:N275)</f>
        <v>5000</v>
      </c>
      <c r="O276" s="85" t="n">
        <f aca="false">SUM('план на 2016'!$L277:O277)-SUM('членские взносы'!$M275:O275)</f>
        <v>5000</v>
      </c>
      <c r="P276" s="85" t="n">
        <f aca="false">SUM('план на 2016'!$L277:P277)-SUM('членские взносы'!$M275:P275)</f>
        <v>5000</v>
      </c>
      <c r="Q276" s="85" t="n">
        <f aca="false">SUM('план на 2016'!$L277:Q277)-SUM('членские взносы'!$M275:Q275)</f>
        <v>5000</v>
      </c>
      <c r="R276" s="85" t="n">
        <f aca="false">SUM('план на 2016'!$L277:R277)-SUM('членские взносы'!$M275:R275)</f>
        <v>5000</v>
      </c>
      <c r="S276" s="85" t="n">
        <f aca="false">SUM('план на 2016'!$L277:S277)-SUM('членские взносы'!$M275:S275)</f>
        <v>5000</v>
      </c>
      <c r="T276" s="85" t="n">
        <f aca="false">SUM('план на 2016'!$L277:T277)-SUM('членские взносы'!$M275:T275)</f>
        <v>5000</v>
      </c>
      <c r="U276" s="85" t="n">
        <f aca="false">SUM('план на 2016'!$L277:U277)-SUM('членские взносы'!$M275:U275)</f>
        <v>5000</v>
      </c>
      <c r="V276" s="85" t="n">
        <f aca="false">SUM('план на 2016'!$L277:V277)-SUM('членские взносы'!$M275:V275)</f>
        <v>5000</v>
      </c>
      <c r="W276" s="85" t="n">
        <f aca="false">SUM('план на 2016'!$L277:W277)-SUM('членские взносы'!$M275:W275)</f>
        <v>5000</v>
      </c>
      <c r="X276" s="85" t="n">
        <f aca="false">SUM('план на 2016'!$L277:X277)-SUM('членские взносы'!$M275:X275)</f>
        <v>5000</v>
      </c>
      <c r="Y276" s="59" t="n">
        <f aca="false">X276</f>
        <v>5000</v>
      </c>
    </row>
    <row collapsed="false" customFormat="false" customHeight="true" hidden="false" ht="25.5" outlineLevel="0" r="277">
      <c r="A277" s="19" t="n">
        <f aca="false">VLOOKUP(B277,справочник!$B$2:$E$322,4,0)</f>
        <v>45</v>
      </c>
      <c r="B277" s="0" t="e">
        <f aca="false">CONCATENATE(C277;D277)</f>
        <v>#VALUE!</v>
      </c>
      <c r="C277" s="24" t="n">
        <v>45</v>
      </c>
      <c r="D277" s="29" t="s">
        <v>289</v>
      </c>
      <c r="E277" s="24" t="s">
        <v>636</v>
      </c>
      <c r="F277" s="30" t="n">
        <v>41044</v>
      </c>
      <c r="G277" s="30" t="n">
        <v>41030</v>
      </c>
      <c r="H277" s="31" t="n">
        <f aca="false">INT(($H$326-G277)/30)</f>
        <v>44</v>
      </c>
      <c r="I277" s="24" t="n">
        <f aca="false">H277*1000</f>
        <v>44000</v>
      </c>
      <c r="J277" s="31" t="n">
        <f aca="false">27000+8000</f>
        <v>35000</v>
      </c>
      <c r="K277" s="31" t="n">
        <v>9000</v>
      </c>
      <c r="L277" s="59" t="n">
        <f aca="false">I277-J277-K277</f>
        <v>0</v>
      </c>
      <c r="M277" s="85" t="n">
        <f aca="false">SUM('план на 2016'!$L278:M278)-SUM('членские взносы'!$M276:M276)</f>
        <v>0</v>
      </c>
      <c r="N277" s="85" t="n">
        <f aca="false">SUM('план на 2016'!$L278:N278)-SUM('членские взносы'!$M276:N276)</f>
        <v>0</v>
      </c>
      <c r="O277" s="85" t="n">
        <f aca="false">SUM('план на 2016'!$L278:O278)-SUM('членские взносы'!$M276:O276)</f>
        <v>0</v>
      </c>
      <c r="P277" s="85" t="n">
        <f aca="false">SUM('план на 2016'!$L278:P278)-SUM('членские взносы'!$M276:P276)</f>
        <v>0</v>
      </c>
      <c r="Q277" s="85" t="n">
        <f aca="false">SUM('план на 2016'!$L278:Q278)-SUM('членские взносы'!$M276:Q276)</f>
        <v>0</v>
      </c>
      <c r="R277" s="85" t="n">
        <f aca="false">SUM('план на 2016'!$L278:R278)-SUM('членские взносы'!$M276:R276)</f>
        <v>0</v>
      </c>
      <c r="S277" s="85" t="n">
        <f aca="false">SUM('план на 2016'!$L278:S278)-SUM('членские взносы'!$M276:S276)</f>
        <v>0</v>
      </c>
      <c r="T277" s="85" t="n">
        <f aca="false">SUM('план на 2016'!$L278:T278)-SUM('членские взносы'!$M276:T276)</f>
        <v>0</v>
      </c>
      <c r="U277" s="85" t="n">
        <f aca="false">SUM('план на 2016'!$L278:U278)-SUM('членские взносы'!$M276:U276)</f>
        <v>-2400</v>
      </c>
      <c r="V277" s="85" t="n">
        <f aca="false">SUM('план на 2016'!$L278:V278)-SUM('членские взносы'!$M276:V276)</f>
        <v>-4200</v>
      </c>
      <c r="W277" s="85" t="n">
        <f aca="false">SUM('план на 2016'!$L278:W278)-SUM('членские взносы'!$M276:W276)</f>
        <v>-3400</v>
      </c>
      <c r="X277" s="85" t="n">
        <f aca="false">SUM('план на 2016'!$L278:X278)-SUM('членские взносы'!$M276:X276)</f>
        <v>-2600</v>
      </c>
      <c r="Y277" s="59" t="n">
        <f aca="false">X277</f>
        <v>-2600</v>
      </c>
    </row>
    <row collapsed="false" customFormat="false" customHeight="false" hidden="false" ht="15" outlineLevel="0" r="278">
      <c r="A278" s="19" t="n">
        <f aca="false">VLOOKUP(B278,справочник!$B$2:$E$322,4,0)</f>
        <v>319</v>
      </c>
      <c r="B278" s="0" t="e">
        <f aca="false">CONCATENATE(C278;D278)</f>
        <v>#VALUE!</v>
      </c>
      <c r="C278" s="24" t="s">
        <v>637</v>
      </c>
      <c r="D278" s="29" t="s">
        <v>318</v>
      </c>
      <c r="E278" s="24" t="s">
        <v>638</v>
      </c>
      <c r="F278" s="30" t="n">
        <v>40774</v>
      </c>
      <c r="G278" s="30" t="n">
        <v>40787</v>
      </c>
      <c r="H278" s="31" t="n">
        <f aca="false">INT(($H$326-G278)/30)</f>
        <v>52</v>
      </c>
      <c r="I278" s="24" t="n">
        <v>76000</v>
      </c>
      <c r="J278" s="31" t="n">
        <f aca="false">8000+68000</f>
        <v>76000</v>
      </c>
      <c r="K278" s="31"/>
      <c r="L278" s="59" t="n">
        <f aca="false">I278-J278-K278</f>
        <v>0</v>
      </c>
      <c r="M278" s="85" t="n">
        <f aca="false">SUM('план на 2016'!$L279:M279)-SUM('членские взносы'!$M277:M277)</f>
        <v>800</v>
      </c>
      <c r="N278" s="85" t="n">
        <f aca="false">SUM('план на 2016'!$L279:N279)-SUM('членские взносы'!$M277:N277)</f>
        <v>-400</v>
      </c>
      <c r="O278" s="85" t="n">
        <f aca="false">SUM('план на 2016'!$L279:O279)-SUM('членские взносы'!$M277:O277)</f>
        <v>400</v>
      </c>
      <c r="P278" s="85" t="n">
        <f aca="false">SUM('план на 2016'!$L279:P279)-SUM('членские взносы'!$M277:P277)</f>
        <v>-2800</v>
      </c>
      <c r="Q278" s="85" t="n">
        <f aca="false">SUM('план на 2016'!$L279:Q279)-SUM('членские взносы'!$M277:Q277)</f>
        <v>-6000</v>
      </c>
      <c r="R278" s="85" t="n">
        <f aca="false">SUM('план на 2016'!$L279:R279)-SUM('членские взносы'!$M277:R277)</f>
        <v>-5200</v>
      </c>
      <c r="S278" s="85" t="n">
        <f aca="false">SUM('план на 2016'!$L279:S279)-SUM('членские взносы'!$M277:S277)</f>
        <v>-4400</v>
      </c>
      <c r="T278" s="85" t="n">
        <f aca="false">SUM('план на 2016'!$L279:T279)-SUM('членские взносы'!$M277:T277)</f>
        <v>-7600</v>
      </c>
      <c r="U278" s="85" t="n">
        <f aca="false">SUM('план на 2016'!$L279:U279)-SUM('членские взносы'!$M277:U277)</f>
        <v>-6800</v>
      </c>
      <c r="V278" s="85" t="n">
        <f aca="false">SUM('план на 2016'!$L279:V279)-SUM('членские взносы'!$M277:V277)</f>
        <v>-10000</v>
      </c>
      <c r="W278" s="85" t="n">
        <f aca="false">SUM('план на 2016'!$L279:W279)-SUM('членские взносы'!$M277:W277)</f>
        <v>-13200</v>
      </c>
      <c r="X278" s="85" t="n">
        <f aca="false">SUM('план на 2016'!$L279:X279)-SUM('членские взносы'!$M277:X277)</f>
        <v>-12400</v>
      </c>
      <c r="Y278" s="59" t="n">
        <f aca="false">X278</f>
        <v>-12400</v>
      </c>
    </row>
    <row collapsed="false" customFormat="false" customHeight="false" hidden="false" ht="15" outlineLevel="0" r="279">
      <c r="A279" s="19" t="n">
        <f aca="false">VLOOKUP(B279,справочник!$B$2:$E$322,4,0)</f>
        <v>93</v>
      </c>
      <c r="B279" s="0" t="e">
        <f aca="false">CONCATENATE(C279;D279)</f>
        <v>#VALUE!</v>
      </c>
      <c r="C279" s="24" t="n">
        <v>98</v>
      </c>
      <c r="D279" s="29" t="s">
        <v>107</v>
      </c>
      <c r="E279" s="24" t="s">
        <v>639</v>
      </c>
      <c r="F279" s="30" t="n">
        <v>40774</v>
      </c>
      <c r="G279" s="30" t="n">
        <v>40787</v>
      </c>
      <c r="H279" s="31" t="n">
        <f aca="false">INT(($H$326-G279)/30)</f>
        <v>52</v>
      </c>
      <c r="I279" s="24" t="n">
        <f aca="false">H279*1000</f>
        <v>52000</v>
      </c>
      <c r="J279" s="31" t="n">
        <f aca="false">4000+30000</f>
        <v>34000</v>
      </c>
      <c r="K279" s="31"/>
      <c r="L279" s="59" t="n">
        <f aca="false">I279-J279-K279</f>
        <v>18000</v>
      </c>
      <c r="M279" s="85" t="n">
        <f aca="false">SUM('план на 2016'!$L280:M280)-SUM('членские взносы'!$M278:M278)</f>
        <v>18800</v>
      </c>
      <c r="N279" s="85" t="n">
        <f aca="false">SUM('план на 2016'!$L280:N280)-SUM('членские взносы'!$M278:N278)</f>
        <v>19600</v>
      </c>
      <c r="O279" s="85" t="n">
        <f aca="false">SUM('план на 2016'!$L280:O280)-SUM('членские взносы'!$M278:O278)</f>
        <v>20400</v>
      </c>
      <c r="P279" s="85" t="n">
        <f aca="false">SUM('план на 2016'!$L280:P280)-SUM('членские взносы'!$M278:P278)</f>
        <v>21200</v>
      </c>
      <c r="Q279" s="85" t="n">
        <f aca="false">SUM('план на 2016'!$L280:Q280)-SUM('членские взносы'!$M278:Q278)</f>
        <v>22000</v>
      </c>
      <c r="R279" s="85" t="n">
        <f aca="false">SUM('план на 2016'!$L280:R280)-SUM('членские взносы'!$M278:R278)</f>
        <v>22800</v>
      </c>
      <c r="S279" s="85" t="n">
        <f aca="false">SUM('план на 2016'!$L280:S280)-SUM('членские взносы'!$M278:S278)</f>
        <v>23600</v>
      </c>
      <c r="T279" s="85" t="n">
        <f aca="false">SUM('план на 2016'!$L280:T280)-SUM('членские взносы'!$M278:T278)</f>
        <v>24400</v>
      </c>
      <c r="U279" s="85" t="n">
        <f aca="false">SUM('план на 2016'!$L280:U280)-SUM('членские взносы'!$M278:U278)</f>
        <v>25200</v>
      </c>
      <c r="V279" s="85" t="n">
        <f aca="false">SUM('план на 2016'!$L280:V280)-SUM('членские взносы'!$M278:V278)</f>
        <v>26000</v>
      </c>
      <c r="W279" s="85" t="n">
        <f aca="false">SUM('план на 2016'!$L280:W280)-SUM('членские взносы'!$M278:W278)</f>
        <v>26800</v>
      </c>
      <c r="X279" s="85" t="n">
        <f aca="false">SUM('план на 2016'!$L280:X280)-SUM('членские взносы'!$M278:X278)</f>
        <v>27600</v>
      </c>
      <c r="Y279" s="59" t="n">
        <f aca="false">X279</f>
        <v>27600</v>
      </c>
    </row>
    <row collapsed="false" customFormat="false" customHeight="false" hidden="false" ht="15" outlineLevel="0" r="280">
      <c r="A280" s="19" t="n">
        <f aca="false">VLOOKUP(B280,справочник!$B$2:$E$322,4,0)</f>
        <v>255</v>
      </c>
      <c r="B280" s="0" t="e">
        <f aca="false">CONCATENATE(C280;D280)</f>
        <v>#VALUE!</v>
      </c>
      <c r="C280" s="24" t="n">
        <v>268</v>
      </c>
      <c r="D280" s="29" t="s">
        <v>308</v>
      </c>
      <c r="E280" s="24" t="s">
        <v>640</v>
      </c>
      <c r="F280" s="30" t="n">
        <v>40959</v>
      </c>
      <c r="G280" s="30" t="n">
        <v>40969</v>
      </c>
      <c r="H280" s="31" t="n">
        <f aca="false">INT(($H$326-G280)/30)</f>
        <v>46</v>
      </c>
      <c r="I280" s="24" t="n">
        <f aca="false">H280*1000</f>
        <v>46000</v>
      </c>
      <c r="J280" s="31" t="n">
        <f aca="false">37000+9000</f>
        <v>46000</v>
      </c>
      <c r="K280" s="31"/>
      <c r="L280" s="59" t="n">
        <f aca="false">I280-J280-K280</f>
        <v>0</v>
      </c>
      <c r="M280" s="85" t="n">
        <f aca="false">SUM('план на 2016'!$L281:M281)-SUM('членские взносы'!$M279:M279)</f>
        <v>800</v>
      </c>
      <c r="N280" s="85" t="n">
        <f aca="false">SUM('план на 2016'!$L281:N281)-SUM('членские взносы'!$M279:N279)</f>
        <v>1600</v>
      </c>
      <c r="O280" s="85" t="n">
        <f aca="false">SUM('план на 2016'!$L281:O281)-SUM('членские взносы'!$M279:O279)</f>
        <v>-800</v>
      </c>
      <c r="P280" s="85" t="n">
        <f aca="false">SUM('план на 2016'!$L281:P281)-SUM('членские взносы'!$M279:P279)</f>
        <v>0</v>
      </c>
      <c r="Q280" s="85" t="n">
        <f aca="false">SUM('план на 2016'!$L281:Q281)-SUM('членские взносы'!$M279:Q279)</f>
        <v>-2400</v>
      </c>
      <c r="R280" s="85" t="n">
        <f aca="false">SUM('план на 2016'!$L281:R281)-SUM('членские взносы'!$M279:R279)</f>
        <v>-1600</v>
      </c>
      <c r="S280" s="85" t="n">
        <f aca="false">SUM('план на 2016'!$L281:S281)-SUM('членские взносы'!$M279:S279)</f>
        <v>-800</v>
      </c>
      <c r="T280" s="85" t="n">
        <f aca="false">SUM('план на 2016'!$L281:T281)-SUM('членские взносы'!$M279:T279)</f>
        <v>0</v>
      </c>
      <c r="U280" s="85" t="n">
        <f aca="false">SUM('план на 2016'!$L281:U281)-SUM('членские взносы'!$M279:U279)</f>
        <v>800</v>
      </c>
      <c r="V280" s="85" t="n">
        <f aca="false">SUM('план на 2016'!$L281:V281)-SUM('членские взносы'!$M279:V279)</f>
        <v>1600</v>
      </c>
      <c r="W280" s="85" t="n">
        <f aca="false">SUM('план на 2016'!$L281:W281)-SUM('членские взносы'!$M279:W279)</f>
        <v>-800</v>
      </c>
      <c r="X280" s="85" t="n">
        <f aca="false">SUM('план на 2016'!$L281:X281)-SUM('членские взносы'!$M279:X279)</f>
        <v>0</v>
      </c>
      <c r="Y280" s="59" t="n">
        <f aca="false">X280</f>
        <v>0</v>
      </c>
    </row>
    <row collapsed="false" customFormat="false" customHeight="false" hidden="false" ht="15" outlineLevel="0" r="281">
      <c r="A281" s="19" t="n">
        <f aca="false">VLOOKUP(B281,справочник!$B$2:$E$322,4,0)</f>
        <v>167</v>
      </c>
      <c r="B281" s="0" t="e">
        <f aca="false">CONCATENATE(C281;D281)</f>
        <v>#VALUE!</v>
      </c>
      <c r="C281" s="24" t="n">
        <v>175</v>
      </c>
      <c r="D281" s="29" t="s">
        <v>137</v>
      </c>
      <c r="E281" s="24" t="s">
        <v>641</v>
      </c>
      <c r="F281" s="30" t="n">
        <v>41613</v>
      </c>
      <c r="G281" s="30" t="n">
        <v>41640</v>
      </c>
      <c r="H281" s="31" t="n">
        <f aca="false">INT(($H$326-G281)/30)</f>
        <v>24</v>
      </c>
      <c r="I281" s="24" t="n">
        <f aca="false">H281*1000</f>
        <v>24000</v>
      </c>
      <c r="J281" s="31" t="n">
        <v>12000</v>
      </c>
      <c r="K281" s="31"/>
      <c r="L281" s="59" t="n">
        <f aca="false">I281-J281-K281</f>
        <v>12000</v>
      </c>
      <c r="M281" s="85" t="n">
        <f aca="false">SUM('план на 2016'!$L282:M282)-SUM('членские взносы'!$M280:M280)</f>
        <v>12800</v>
      </c>
      <c r="N281" s="85" t="n">
        <f aca="false">SUM('план на 2016'!$L282:N282)-SUM('членские взносы'!$M280:N280)</f>
        <v>13600</v>
      </c>
      <c r="O281" s="85" t="n">
        <f aca="false">SUM('план на 2016'!$L282:O282)-SUM('членские взносы'!$M280:O280)</f>
        <v>14400</v>
      </c>
      <c r="P281" s="85" t="n">
        <f aca="false">SUM('план на 2016'!$L282:P282)-SUM('членские взносы'!$M280:P280)</f>
        <v>15200</v>
      </c>
      <c r="Q281" s="85" t="n">
        <f aca="false">SUM('план на 2016'!$L282:Q282)-SUM('членские взносы'!$M280:Q280)</f>
        <v>16000</v>
      </c>
      <c r="R281" s="85" t="n">
        <f aca="false">SUM('план на 2016'!$L282:R282)-SUM('членские взносы'!$M280:R280)</f>
        <v>16800</v>
      </c>
      <c r="S281" s="85" t="n">
        <f aca="false">SUM('план на 2016'!$L282:S282)-SUM('членские взносы'!$M280:S280)</f>
        <v>17600</v>
      </c>
      <c r="T281" s="85" t="n">
        <f aca="false">SUM('план на 2016'!$L282:T282)-SUM('членские взносы'!$M280:T280)</f>
        <v>18400</v>
      </c>
      <c r="U281" s="85" t="n">
        <f aca="false">SUM('план на 2016'!$L282:U282)-SUM('членские взносы'!$M280:U280)</f>
        <v>19200</v>
      </c>
      <c r="V281" s="85" t="n">
        <f aca="false">SUM('план на 2016'!$L282:V282)-SUM('членские взносы'!$M280:V280)</f>
        <v>20000</v>
      </c>
      <c r="W281" s="85" t="n">
        <f aca="false">SUM('план на 2016'!$L282:W282)-SUM('членские взносы'!$M280:W280)</f>
        <v>20800</v>
      </c>
      <c r="X281" s="85" t="n">
        <f aca="false">SUM('план на 2016'!$L282:X282)-SUM('членские взносы'!$M280:X280)</f>
        <v>21600</v>
      </c>
      <c r="Y281" s="59" t="n">
        <f aca="false">X281</f>
        <v>21600</v>
      </c>
    </row>
    <row collapsed="false" customFormat="false" customHeight="true" hidden="false" ht="25.5" outlineLevel="0" r="282">
      <c r="A282" s="19" t="n">
        <f aca="false">VLOOKUP(B282,справочник!$B$2:$E$322,4,0)</f>
        <v>99</v>
      </c>
      <c r="B282" s="0" t="e">
        <f aca="false">CONCATENATE(C282;D282)</f>
        <v>#VALUE!</v>
      </c>
      <c r="C282" s="24" t="n">
        <v>104</v>
      </c>
      <c r="D282" s="29" t="s">
        <v>64</v>
      </c>
      <c r="E282" s="24" t="s">
        <v>642</v>
      </c>
      <c r="F282" s="30" t="n">
        <v>41104</v>
      </c>
      <c r="G282" s="30" t="n">
        <v>41091</v>
      </c>
      <c r="H282" s="31" t="n">
        <f aca="false">INT(($H$326-G282)/30)</f>
        <v>42</v>
      </c>
      <c r="I282" s="24" t="n">
        <f aca="false">H282*1000</f>
        <v>42000</v>
      </c>
      <c r="J282" s="31" t="n">
        <v>13000</v>
      </c>
      <c r="K282" s="31"/>
      <c r="L282" s="59" t="n">
        <f aca="false">I282-J282-K282</f>
        <v>29000</v>
      </c>
      <c r="M282" s="85" t="n">
        <f aca="false">SUM('план на 2016'!$L283:M283)-SUM('членские взносы'!$M281:M281)</f>
        <v>29800</v>
      </c>
      <c r="N282" s="85" t="n">
        <f aca="false">SUM('план на 2016'!$L283:N283)-SUM('членские взносы'!$M281:N281)</f>
        <v>30600</v>
      </c>
      <c r="O282" s="85" t="n">
        <f aca="false">SUM('план на 2016'!$L283:O283)-SUM('членские взносы'!$M281:O281)</f>
        <v>31400</v>
      </c>
      <c r="P282" s="85" t="n">
        <f aca="false">SUM('план на 2016'!$L283:P283)-SUM('членские взносы'!$M281:P281)</f>
        <v>32200</v>
      </c>
      <c r="Q282" s="85" t="n">
        <f aca="false">SUM('план на 2016'!$L283:Q283)-SUM('членские взносы'!$M281:Q281)</f>
        <v>33000</v>
      </c>
      <c r="R282" s="85" t="n">
        <f aca="false">SUM('план на 2016'!$L283:R283)-SUM('членские взносы'!$M281:R281)</f>
        <v>33800</v>
      </c>
      <c r="S282" s="85" t="n">
        <f aca="false">SUM('план на 2016'!$L283:S283)-SUM('членские взносы'!$M281:S281)</f>
        <v>34600</v>
      </c>
      <c r="T282" s="85" t="n">
        <f aca="false">SUM('план на 2016'!$L283:T283)-SUM('членские взносы'!$M281:T281)</f>
        <v>35400</v>
      </c>
      <c r="U282" s="85" t="n">
        <f aca="false">SUM('план на 2016'!$L283:U283)-SUM('членские взносы'!$M281:U281)</f>
        <v>36200</v>
      </c>
      <c r="V282" s="85" t="n">
        <f aca="false">SUM('план на 2016'!$L283:V283)-SUM('членские взносы'!$M281:V281)</f>
        <v>37000</v>
      </c>
      <c r="W282" s="85" t="n">
        <f aca="false">SUM('план на 2016'!$L283:W283)-SUM('членские взносы'!$M281:W281)</f>
        <v>37800</v>
      </c>
      <c r="X282" s="85" t="n">
        <f aca="false">SUM('план на 2016'!$L283:X283)-SUM('членские взносы'!$M281:X281)</f>
        <v>38600</v>
      </c>
      <c r="Y282" s="59" t="n">
        <f aca="false">X282</f>
        <v>38600</v>
      </c>
    </row>
    <row collapsed="false" customFormat="false" customHeight="false" hidden="false" ht="15" outlineLevel="0" r="283">
      <c r="A283" s="19" t="n">
        <f aca="false">VLOOKUP(B283,справочник!$B$2:$E$322,4,0)</f>
        <v>146</v>
      </c>
      <c r="B283" s="0" t="e">
        <f aca="false">CONCATENATE(C283;D283)</f>
        <v>#VALUE!</v>
      </c>
      <c r="C283" s="24" t="n">
        <v>154</v>
      </c>
      <c r="D283" s="29" t="s">
        <v>265</v>
      </c>
      <c r="E283" s="24" t="s">
        <v>643</v>
      </c>
      <c r="F283" s="30" t="n">
        <v>40757</v>
      </c>
      <c r="G283" s="30" t="n">
        <v>40756</v>
      </c>
      <c r="H283" s="31" t="n">
        <f aca="false">INT(($H$326-G283)/30)</f>
        <v>53</v>
      </c>
      <c r="I283" s="24" t="n">
        <f aca="false">H283*1000</f>
        <v>53000</v>
      </c>
      <c r="J283" s="31" t="n">
        <f aca="false">31000</f>
        <v>31000</v>
      </c>
      <c r="K283" s="31"/>
      <c r="L283" s="59" t="n">
        <f aca="false">I283-J283-K283</f>
        <v>22000</v>
      </c>
      <c r="M283" s="85" t="n">
        <f aca="false">SUM('план на 2016'!$L284:M284)-SUM('членские взносы'!$M282:M282)</f>
        <v>22800</v>
      </c>
      <c r="N283" s="85" t="n">
        <f aca="false">SUM('план на 2016'!$L284:N284)-SUM('членские взносы'!$M282:N282)</f>
        <v>23600</v>
      </c>
      <c r="O283" s="85" t="n">
        <f aca="false">SUM('план на 2016'!$L284:O284)-SUM('членские взносы'!$M282:O282)</f>
        <v>24400</v>
      </c>
      <c r="P283" s="85" t="n">
        <f aca="false">SUM('план на 2016'!$L284:P284)-SUM('членские взносы'!$M282:P282)</f>
        <v>25200</v>
      </c>
      <c r="Q283" s="85" t="n">
        <f aca="false">SUM('план на 2016'!$L284:Q284)-SUM('членские взносы'!$M282:Q282)</f>
        <v>26000</v>
      </c>
      <c r="R283" s="85" t="n">
        <f aca="false">SUM('план на 2016'!$L284:R284)-SUM('членские взносы'!$M282:R282)</f>
        <v>800</v>
      </c>
      <c r="S283" s="85" t="n">
        <f aca="false">SUM('план на 2016'!$L284:S284)-SUM('членские взносы'!$M282:S282)</f>
        <v>1600</v>
      </c>
      <c r="T283" s="85" t="n">
        <f aca="false">SUM('план на 2016'!$L284:T284)-SUM('членские взносы'!$M282:T282)</f>
        <v>2400</v>
      </c>
      <c r="U283" s="85" t="n">
        <f aca="false">SUM('план на 2016'!$L284:U284)-SUM('членские взносы'!$M282:U282)</f>
        <v>3200</v>
      </c>
      <c r="V283" s="85" t="n">
        <f aca="false">SUM('план на 2016'!$L284:V284)-SUM('членские взносы'!$M282:V282)</f>
        <v>4000</v>
      </c>
      <c r="W283" s="85" t="n">
        <f aca="false">SUM('план на 2016'!$L284:W284)-SUM('членские взносы'!$M282:W282)</f>
        <v>4800</v>
      </c>
      <c r="X283" s="85" t="n">
        <f aca="false">SUM('план на 2016'!$L284:X284)-SUM('членские взносы'!$M282:X282)</f>
        <v>5600</v>
      </c>
      <c r="Y283" s="59" t="n">
        <f aca="false">X283</f>
        <v>5600</v>
      </c>
    </row>
    <row collapsed="false" customFormat="false" customHeight="false" hidden="false" ht="15" outlineLevel="0" r="284">
      <c r="A284" s="19" t="n">
        <f aca="false">VLOOKUP(B284,справочник!$B$2:$E$322,4,0)</f>
        <v>29</v>
      </c>
      <c r="B284" s="0" t="e">
        <f aca="false">CONCATENATE(C284;D284)</f>
        <v>#VALUE!</v>
      </c>
      <c r="C284" s="24" t="n">
        <v>29</v>
      </c>
      <c r="D284" s="53" t="s">
        <v>644</v>
      </c>
      <c r="E284" s="24"/>
      <c r="F284" s="30" t="n">
        <v>41130</v>
      </c>
      <c r="G284" s="30" t="n">
        <v>41122</v>
      </c>
      <c r="H284" s="31" t="n">
        <f aca="false">INT(($H$326-G284)/30)</f>
        <v>41</v>
      </c>
      <c r="I284" s="24" t="n">
        <f aca="false">H284*1000</f>
        <v>41000</v>
      </c>
      <c r="J284" s="31" t="n">
        <v>32000</v>
      </c>
      <c r="K284" s="31"/>
      <c r="L284" s="59" t="n">
        <f aca="false">I284-J284-K284</f>
        <v>9000</v>
      </c>
      <c r="M284" s="85" t="n">
        <f aca="false">SUM('план на 2016'!$L285:M285)-SUM('членские взносы'!$M283:M283)</f>
        <v>800</v>
      </c>
      <c r="N284" s="85" t="n">
        <f aca="false">SUM('план на 2016'!$L285:N285)-SUM('членские взносы'!$M283:N283)</f>
        <v>0</v>
      </c>
      <c r="O284" s="85" t="n">
        <f aca="false">SUM('план на 2016'!$L285:O285)-SUM('членские взносы'!$M283:O283)</f>
        <v>0</v>
      </c>
      <c r="P284" s="85" t="n">
        <f aca="false">SUM('план на 2016'!$L285:P285)-SUM('членские взносы'!$M283:P283)</f>
        <v>-800</v>
      </c>
      <c r="Q284" s="85" t="n">
        <f aca="false">SUM('план на 2016'!$L285:Q285)-SUM('членские взносы'!$M283:Q283)</f>
        <v>0</v>
      </c>
      <c r="R284" s="85" t="n">
        <f aca="false">SUM('план на 2016'!$L285:R285)-SUM('членские взносы'!$M283:R283)</f>
        <v>800</v>
      </c>
      <c r="S284" s="85" t="n">
        <f aca="false">SUM('план на 2016'!$L285:S285)-SUM('членские взносы'!$M283:S283)</f>
        <v>-800</v>
      </c>
      <c r="T284" s="85" t="n">
        <f aca="false">SUM('план на 2016'!$L285:T285)-SUM('членские взносы'!$M283:T283)</f>
        <v>0</v>
      </c>
      <c r="U284" s="85" t="n">
        <f aca="false">SUM('план на 2016'!$L285:U285)-SUM('членские взносы'!$M283:U283)</f>
        <v>0</v>
      </c>
      <c r="V284" s="85" t="n">
        <f aca="false">SUM('план на 2016'!$L285:V285)-SUM('членские взносы'!$M283:V283)</f>
        <v>-800</v>
      </c>
      <c r="W284" s="85" t="n">
        <f aca="false">SUM('план на 2016'!$L285:W285)-SUM('членские взносы'!$M283:W283)</f>
        <v>0</v>
      </c>
      <c r="X284" s="85" t="n">
        <f aca="false">SUM('план на 2016'!$L285:X285)-SUM('членские взносы'!$M283:X283)</f>
        <v>-800</v>
      </c>
      <c r="Y284" s="59" t="n">
        <f aca="false">X284</f>
        <v>-800</v>
      </c>
    </row>
    <row collapsed="false" customFormat="false" customHeight="false" hidden="false" ht="15" outlineLevel="0" r="285">
      <c r="A285" s="19" t="n">
        <f aca="false">VLOOKUP(B285,справочник!$B$2:$E$322,4,0)</f>
        <v>28</v>
      </c>
      <c r="B285" s="0" t="e">
        <f aca="false">CONCATENATE(C285;D285)</f>
        <v>#VALUE!</v>
      </c>
      <c r="C285" s="24" t="n">
        <v>28</v>
      </c>
      <c r="D285" s="29" t="s">
        <v>254</v>
      </c>
      <c r="E285" s="24" t="s">
        <v>645</v>
      </c>
      <c r="F285" s="30" t="n">
        <v>41039</v>
      </c>
      <c r="G285" s="30" t="n">
        <v>41030</v>
      </c>
      <c r="H285" s="31" t="n">
        <f aca="false">INT(($H$326-G285)/30)</f>
        <v>44</v>
      </c>
      <c r="I285" s="24" t="n">
        <f aca="false">H285*1000</f>
        <v>44000</v>
      </c>
      <c r="J285" s="31" t="n">
        <f aca="false">33000+8000</f>
        <v>41000</v>
      </c>
      <c r="K285" s="31"/>
      <c r="L285" s="59" t="n">
        <f aca="false">I285-J285-K285</f>
        <v>3000</v>
      </c>
      <c r="M285" s="85" t="n">
        <f aca="false">SUM('план на 2016'!$L286:M286)-SUM('членские взносы'!$M284:M284)</f>
        <v>3800</v>
      </c>
      <c r="N285" s="85" t="n">
        <f aca="false">SUM('план на 2016'!$L286:N286)-SUM('членские взносы'!$M284:N284)</f>
        <v>600</v>
      </c>
      <c r="O285" s="85" t="n">
        <f aca="false">SUM('план на 2016'!$L286:O286)-SUM('членские взносы'!$M284:O284)</f>
        <v>1400</v>
      </c>
      <c r="P285" s="85" t="n">
        <f aca="false">SUM('план на 2016'!$L286:P286)-SUM('членские взносы'!$M284:P284)</f>
        <v>-200</v>
      </c>
      <c r="Q285" s="85" t="n">
        <f aca="false">SUM('план на 2016'!$L286:Q286)-SUM('членские взносы'!$M284:Q284)</f>
        <v>600</v>
      </c>
      <c r="R285" s="85" t="n">
        <f aca="false">SUM('план на 2016'!$L286:R286)-SUM('членские взносы'!$M284:R284)</f>
        <v>1400</v>
      </c>
      <c r="S285" s="85" t="n">
        <f aca="false">SUM('план на 2016'!$L286:S286)-SUM('членские взносы'!$M284:S284)</f>
        <v>2200</v>
      </c>
      <c r="T285" s="85" t="n">
        <f aca="false">SUM('план на 2016'!$L286:T286)-SUM('членские взносы'!$M284:T284)</f>
        <v>3000</v>
      </c>
      <c r="U285" s="85" t="n">
        <f aca="false">SUM('план на 2016'!$L286:U286)-SUM('членские взносы'!$M284:U284)</f>
        <v>-1800</v>
      </c>
      <c r="V285" s="85" t="n">
        <f aca="false">SUM('план на 2016'!$L286:V286)-SUM('членские взносы'!$M284:V284)</f>
        <v>-1000</v>
      </c>
      <c r="W285" s="85" t="n">
        <f aca="false">SUM('план на 2016'!$L286:W286)-SUM('членские взносы'!$M284:W284)</f>
        <v>-200</v>
      </c>
      <c r="X285" s="85" t="n">
        <f aca="false">SUM('план на 2016'!$L286:X286)-SUM('членские взносы'!$M284:X284)</f>
        <v>600</v>
      </c>
      <c r="Y285" s="59" t="n">
        <f aca="false">X285</f>
        <v>600</v>
      </c>
    </row>
    <row collapsed="false" customFormat="false" customHeight="false" hidden="false" ht="15" outlineLevel="0" r="286">
      <c r="A286" s="19" t="n">
        <f aca="false">VLOOKUP(B286,справочник!$B$2:$E$322,4,0)</f>
        <v>27</v>
      </c>
      <c r="B286" s="0" t="e">
        <f aca="false">CONCATENATE(C286;D286)</f>
        <v>#VALUE!</v>
      </c>
      <c r="C286" s="24" t="n">
        <v>27</v>
      </c>
      <c r="D286" s="29" t="s">
        <v>141</v>
      </c>
      <c r="E286" s="24" t="s">
        <v>646</v>
      </c>
      <c r="F286" s="30" t="n">
        <v>41260</v>
      </c>
      <c r="G286" s="30" t="n">
        <v>41275</v>
      </c>
      <c r="H286" s="31" t="n">
        <f aca="false">INT(($H$326-G286)/30)</f>
        <v>36</v>
      </c>
      <c r="I286" s="24" t="n">
        <f aca="false">H286*1000</f>
        <v>36000</v>
      </c>
      <c r="J286" s="31" t="n">
        <v>24000</v>
      </c>
      <c r="K286" s="31"/>
      <c r="L286" s="59" t="n">
        <f aca="false">I286-J286-K286</f>
        <v>12000</v>
      </c>
      <c r="M286" s="85" t="n">
        <f aca="false">SUM('план на 2016'!$L287:M287)-SUM('членские взносы'!$M285:M285)</f>
        <v>12800</v>
      </c>
      <c r="N286" s="85" t="n">
        <f aca="false">SUM('план на 2016'!$L287:N287)-SUM('членские взносы'!$M285:N285)</f>
        <v>13600</v>
      </c>
      <c r="O286" s="85" t="n">
        <f aca="false">SUM('план на 2016'!$L287:O287)-SUM('членские взносы'!$M285:O285)</f>
        <v>14400</v>
      </c>
      <c r="P286" s="85" t="n">
        <f aca="false">SUM('план на 2016'!$L287:P287)-SUM('членские взносы'!$M285:P285)</f>
        <v>15200</v>
      </c>
      <c r="Q286" s="85" t="n">
        <f aca="false">SUM('план на 2016'!$L287:Q287)-SUM('членские взносы'!$M285:Q285)</f>
        <v>16000</v>
      </c>
      <c r="R286" s="85" t="n">
        <f aca="false">SUM('план на 2016'!$L287:R287)-SUM('членские взносы'!$M285:R285)</f>
        <v>16800</v>
      </c>
      <c r="S286" s="85" t="n">
        <f aca="false">SUM('план на 2016'!$L287:S287)-SUM('членские взносы'!$M285:S285)</f>
        <v>17600</v>
      </c>
      <c r="T286" s="85" t="n">
        <f aca="false">SUM('план на 2016'!$L287:T287)-SUM('членские взносы'!$M285:T285)</f>
        <v>18400</v>
      </c>
      <c r="U286" s="85" t="n">
        <f aca="false">SUM('план на 2016'!$L287:U287)-SUM('членские взносы'!$M285:U285)</f>
        <v>19200</v>
      </c>
      <c r="V286" s="85" t="n">
        <f aca="false">SUM('план на 2016'!$L287:V287)-SUM('членские взносы'!$M285:V285)</f>
        <v>20000</v>
      </c>
      <c r="W286" s="85" t="n">
        <f aca="false">SUM('план на 2016'!$L287:W287)-SUM('членские взносы'!$M285:W285)</f>
        <v>20800</v>
      </c>
      <c r="X286" s="85" t="n">
        <f aca="false">SUM('план на 2016'!$L287:X287)-SUM('членские взносы'!$M285:X285)</f>
        <v>21600</v>
      </c>
      <c r="Y286" s="59" t="n">
        <f aca="false">X286</f>
        <v>21600</v>
      </c>
    </row>
    <row collapsed="false" customFormat="false" customHeight="false" hidden="false" ht="15" outlineLevel="0" r="287">
      <c r="A287" s="19" t="n">
        <f aca="false">VLOOKUP(B287,справочник!$B$2:$E$322,4,0)</f>
        <v>135</v>
      </c>
      <c r="B287" s="0" t="e">
        <f aca="false">CONCATENATE(C287;D287)</f>
        <v>#VALUE!</v>
      </c>
      <c r="C287" s="24" t="s">
        <v>647</v>
      </c>
      <c r="D287" s="29" t="s">
        <v>60</v>
      </c>
      <c r="E287" s="24" t="s">
        <v>648</v>
      </c>
      <c r="F287" s="34" t="n">
        <v>40834</v>
      </c>
      <c r="G287" s="34" t="n">
        <v>40817</v>
      </c>
      <c r="H287" s="35" t="n">
        <v>11</v>
      </c>
      <c r="I287" s="36" t="n">
        <f aca="false">H287*1000</f>
        <v>11000</v>
      </c>
      <c r="J287" s="35" t="n">
        <v>1000</v>
      </c>
      <c r="K287" s="35"/>
      <c r="L287" s="66" t="n">
        <f aca="false">I287-J287-K287</f>
        <v>10000</v>
      </c>
      <c r="M287" s="85" t="n">
        <f aca="false">SUM('план на 2016'!$L288:M288)-SUM('членские взносы'!$M286:M286)</f>
        <v>10800</v>
      </c>
      <c r="N287" s="85" t="n">
        <f aca="false">SUM('план на 2016'!$L288:N288)-SUM('членские взносы'!$M286:N286)</f>
        <v>11600</v>
      </c>
      <c r="O287" s="85" t="n">
        <f aca="false">SUM('план на 2016'!$L288:O288)-SUM('членские взносы'!$M286:O286)</f>
        <v>4400</v>
      </c>
      <c r="P287" s="85" t="n">
        <f aca="false">SUM('план на 2016'!$L288:P288)-SUM('членские взносы'!$M286:P286)</f>
        <v>5200</v>
      </c>
      <c r="Q287" s="85" t="n">
        <f aca="false">SUM('план на 2016'!$L288:Q288)-SUM('членские взносы'!$M286:Q286)</f>
        <v>6000</v>
      </c>
      <c r="R287" s="85" t="n">
        <f aca="false">SUM('план на 2016'!$L288:R288)-SUM('членские взносы'!$M286:R286)</f>
        <v>-14200</v>
      </c>
      <c r="S287" s="85" t="n">
        <f aca="false">SUM('план на 2016'!$L288:S288)-SUM('членские взносы'!$M286:S286)</f>
        <v>-13400</v>
      </c>
      <c r="T287" s="85" t="n">
        <f aca="false">SUM('план на 2016'!$L288:T288)-SUM('членские взносы'!$M286:T286)</f>
        <v>-12600</v>
      </c>
      <c r="U287" s="85" t="n">
        <f aca="false">SUM('план на 2016'!$L288:U288)-SUM('членские взносы'!$M286:U286)</f>
        <v>-11800</v>
      </c>
      <c r="V287" s="85" t="n">
        <f aca="false">SUM('план на 2016'!$L288:V288)-SUM('членские взносы'!$M286:V286)</f>
        <v>-11000</v>
      </c>
      <c r="W287" s="85" t="n">
        <f aca="false">SUM('план на 2016'!$L288:W288)-SUM('членские взносы'!$M286:W286)</f>
        <v>-10200</v>
      </c>
      <c r="X287" s="85" t="n">
        <f aca="false">SUM('план на 2016'!$L288:X288)-SUM('членские взносы'!$M286:X286)</f>
        <v>-9400</v>
      </c>
      <c r="Y287" s="59" t="n">
        <f aca="false">X287</f>
        <v>-9400</v>
      </c>
    </row>
    <row collapsed="false" customFormat="false" customHeight="false" hidden="false" ht="15" outlineLevel="0" r="288">
      <c r="A288" s="19" t="n">
        <f aca="false">VLOOKUP(B288,справочник!$B$2:$E$322,4,0)</f>
        <v>135</v>
      </c>
      <c r="B288" s="0" t="e">
        <f aca="false">CONCATENATE(C288;D288)</f>
        <v>#VALUE!</v>
      </c>
      <c r="C288" s="24" t="s">
        <v>647</v>
      </c>
      <c r="D288" s="29" t="s">
        <v>60</v>
      </c>
      <c r="E288" s="24"/>
      <c r="F288" s="34" t="n">
        <v>40834</v>
      </c>
      <c r="G288" s="34" t="n">
        <v>40817</v>
      </c>
      <c r="H288" s="35" t="n">
        <v>11</v>
      </c>
      <c r="I288" s="36" t="n">
        <f aca="false">H288*1000</f>
        <v>11000</v>
      </c>
      <c r="J288" s="35" t="n">
        <v>1000</v>
      </c>
      <c r="K288" s="35"/>
      <c r="L288" s="66" t="n">
        <f aca="false">I288-J288-K288</f>
        <v>10000</v>
      </c>
      <c r="M288" s="85" t="n">
        <f aca="false">SUM('план на 2016'!$L289:M289)-SUM('членские взносы'!$M287:M287)</f>
        <v>10000</v>
      </c>
      <c r="N288" s="85" t="n">
        <f aca="false">SUM('план на 2016'!$L289:N289)-SUM('членские взносы'!$M287:N287)</f>
        <v>10000</v>
      </c>
      <c r="O288" s="85" t="n">
        <f aca="false">SUM('план на 2016'!$L289:O289)-SUM('членские взносы'!$M287:O287)</f>
        <v>10000</v>
      </c>
      <c r="P288" s="85" t="n">
        <f aca="false">SUM('план на 2016'!$L289:P289)-SUM('членские взносы'!$M287:P287)</f>
        <v>10000</v>
      </c>
      <c r="Q288" s="85" t="n">
        <f aca="false">SUM('план на 2016'!$L289:Q289)-SUM('членские взносы'!$M287:Q287)</f>
        <v>10000</v>
      </c>
      <c r="R288" s="85" t="n">
        <f aca="false">SUM('план на 2016'!$L289:R289)-SUM('членские взносы'!$M287:R287)</f>
        <v>10000</v>
      </c>
      <c r="S288" s="85" t="n">
        <f aca="false">SUM('план на 2016'!$L289:S289)-SUM('членские взносы'!$M287:S287)</f>
        <v>10000</v>
      </c>
      <c r="T288" s="85" t="n">
        <f aca="false">SUM('план на 2016'!$L289:T289)-SUM('членские взносы'!$M287:T287)</f>
        <v>10000</v>
      </c>
      <c r="U288" s="85" t="n">
        <f aca="false">SUM('план на 2016'!$L289:U289)-SUM('членские взносы'!$M287:U287)</f>
        <v>10000</v>
      </c>
      <c r="V288" s="85" t="n">
        <f aca="false">SUM('план на 2016'!$L289:V289)-SUM('членские взносы'!$M287:V287)</f>
        <v>10000</v>
      </c>
      <c r="W288" s="85" t="n">
        <f aca="false">SUM('план на 2016'!$L289:W289)-SUM('членские взносы'!$M287:W287)</f>
        <v>10000</v>
      </c>
      <c r="X288" s="85" t="n">
        <f aca="false">SUM('план на 2016'!$L289:X289)-SUM('членские взносы'!$M287:X287)</f>
        <v>10000</v>
      </c>
      <c r="Y288" s="59" t="n">
        <f aca="false">X288</f>
        <v>10000</v>
      </c>
    </row>
    <row collapsed="false" customFormat="false" customHeight="false" hidden="false" ht="15" outlineLevel="0" r="289">
      <c r="A289" s="19" t="n">
        <f aca="false">VLOOKUP(B289,справочник!$B$2:$E$322,4,0)</f>
        <v>135</v>
      </c>
      <c r="B289" s="0" t="e">
        <f aca="false">CONCATENATE(C289;D289)</f>
        <v>#VALUE!</v>
      </c>
      <c r="C289" s="24" t="s">
        <v>647</v>
      </c>
      <c r="D289" s="29" t="s">
        <v>60</v>
      </c>
      <c r="E289" s="24"/>
      <c r="F289" s="34" t="n">
        <v>41183</v>
      </c>
      <c r="G289" s="34" t="n">
        <v>41183</v>
      </c>
      <c r="H289" s="35" t="n">
        <f aca="false">INT(($H$326-G289)/30)</f>
        <v>39</v>
      </c>
      <c r="I289" s="36" t="n">
        <f aca="false">H289*1000</f>
        <v>39000</v>
      </c>
      <c r="J289" s="35"/>
      <c r="K289" s="35"/>
      <c r="L289" s="66" t="n">
        <f aca="false">I289-J289-K289</f>
        <v>39000</v>
      </c>
      <c r="M289" s="85" t="n">
        <f aca="false">SUM('план на 2016'!$L290:M290)-SUM('членские взносы'!$M288:M288)</f>
        <v>39000</v>
      </c>
      <c r="N289" s="85" t="n">
        <f aca="false">SUM('план на 2016'!$L290:N290)-SUM('членские взносы'!$M288:N288)</f>
        <v>39000</v>
      </c>
      <c r="O289" s="85" t="n">
        <f aca="false">SUM('план на 2016'!$L290:O290)-SUM('членские взносы'!$M288:O288)</f>
        <v>39000</v>
      </c>
      <c r="P289" s="85" t="n">
        <f aca="false">SUM('план на 2016'!$L290:P290)-SUM('членские взносы'!$M288:P288)</f>
        <v>39000</v>
      </c>
      <c r="Q289" s="85" t="n">
        <f aca="false">SUM('план на 2016'!$L290:Q290)-SUM('членские взносы'!$M288:Q288)</f>
        <v>39000</v>
      </c>
      <c r="R289" s="85" t="n">
        <f aca="false">SUM('план на 2016'!$L290:R290)-SUM('членские взносы'!$M288:R288)</f>
        <v>39000</v>
      </c>
      <c r="S289" s="85" t="n">
        <f aca="false">SUM('план на 2016'!$L290:S290)-SUM('членские взносы'!$M288:S288)</f>
        <v>39000</v>
      </c>
      <c r="T289" s="85" t="n">
        <f aca="false">SUM('план на 2016'!$L290:T290)-SUM('членские взносы'!$M288:T288)</f>
        <v>39000</v>
      </c>
      <c r="U289" s="85" t="n">
        <f aca="false">SUM('план на 2016'!$L290:U290)-SUM('членские взносы'!$M288:U288)</f>
        <v>39000</v>
      </c>
      <c r="V289" s="85" t="n">
        <f aca="false">SUM('план на 2016'!$L290:V290)-SUM('членские взносы'!$M288:V288)</f>
        <v>39000</v>
      </c>
      <c r="W289" s="85" t="n">
        <f aca="false">SUM('план на 2016'!$L290:W290)-SUM('членские взносы'!$M288:W288)</f>
        <v>39000</v>
      </c>
      <c r="X289" s="85" t="n">
        <f aca="false">SUM('план на 2016'!$L290:X290)-SUM('членские взносы'!$M288:X288)</f>
        <v>39000</v>
      </c>
      <c r="Y289" s="59" t="n">
        <f aca="false">X289</f>
        <v>39000</v>
      </c>
    </row>
    <row collapsed="false" customFormat="false" customHeight="false" hidden="false" ht="15" outlineLevel="0" r="290">
      <c r="A290" s="19" t="n">
        <f aca="false">VLOOKUP(B290,справочник!$B$2:$E$322,4,0)</f>
        <v>59</v>
      </c>
      <c r="B290" s="0" t="e">
        <f aca="false">CONCATENATE(C290;D290)</f>
        <v>#VALUE!</v>
      </c>
      <c r="C290" s="24" t="n">
        <v>61</v>
      </c>
      <c r="D290" s="29" t="s">
        <v>246</v>
      </c>
      <c r="E290" s="24" t="s">
        <v>649</v>
      </c>
      <c r="F290" s="30" t="n">
        <v>40868</v>
      </c>
      <c r="G290" s="30" t="n">
        <v>40848</v>
      </c>
      <c r="H290" s="31" t="n">
        <f aca="false">INT(($H$326-G290)/30)</f>
        <v>50</v>
      </c>
      <c r="I290" s="24" t="n">
        <f aca="false">H290*1000</f>
        <v>50000</v>
      </c>
      <c r="J290" s="31" t="n">
        <f aca="false">1000+49000</f>
        <v>50000</v>
      </c>
      <c r="K290" s="31"/>
      <c r="L290" s="59" t="n">
        <f aca="false">I290-J290-K290</f>
        <v>0</v>
      </c>
      <c r="M290" s="85" t="n">
        <f aca="false">SUM('план на 2016'!$L291:M291)-SUM('членские взносы'!$M289:M289)</f>
        <v>-1600</v>
      </c>
      <c r="N290" s="85" t="n">
        <f aca="false">SUM('план на 2016'!$L291:N291)-SUM('членские взносы'!$M289:N289)</f>
        <v>-800</v>
      </c>
      <c r="O290" s="85" t="n">
        <f aca="false">SUM('план на 2016'!$L291:O291)-SUM('членские взносы'!$M289:O289)</f>
        <v>0</v>
      </c>
      <c r="P290" s="85" t="n">
        <f aca="false">SUM('план на 2016'!$L291:P291)-SUM('членские взносы'!$M289:P289)</f>
        <v>800</v>
      </c>
      <c r="Q290" s="85" t="n">
        <f aca="false">SUM('план на 2016'!$L291:Q291)-SUM('членские взносы'!$M289:Q289)</f>
        <v>1600</v>
      </c>
      <c r="R290" s="85" t="n">
        <f aca="false">SUM('план на 2016'!$L291:R291)-SUM('членские взносы'!$M289:R289)</f>
        <v>2400</v>
      </c>
      <c r="S290" s="85" t="n">
        <f aca="false">SUM('план на 2016'!$L291:S291)-SUM('членские взносы'!$M289:S289)</f>
        <v>3200</v>
      </c>
      <c r="T290" s="85" t="n">
        <f aca="false">SUM('план на 2016'!$L291:T291)-SUM('членские взносы'!$M289:T289)</f>
        <v>4000</v>
      </c>
      <c r="U290" s="85" t="n">
        <f aca="false">SUM('план на 2016'!$L291:U291)-SUM('членские взносы'!$M289:U289)</f>
        <v>4800</v>
      </c>
      <c r="V290" s="85" t="n">
        <f aca="false">SUM('план на 2016'!$L291:V291)-SUM('членские взносы'!$M289:V289)</f>
        <v>5600</v>
      </c>
      <c r="W290" s="85" t="n">
        <f aca="false">SUM('план на 2016'!$L291:W291)-SUM('членские взносы'!$M289:W289)</f>
        <v>6400</v>
      </c>
      <c r="X290" s="85" t="n">
        <f aca="false">SUM('план на 2016'!$L291:X291)-SUM('членские взносы'!$M289:X289)</f>
        <v>7200</v>
      </c>
      <c r="Y290" s="59" t="n">
        <f aca="false">X290</f>
        <v>7200</v>
      </c>
    </row>
    <row collapsed="false" customFormat="false" customHeight="false" hidden="false" ht="15" outlineLevel="0" r="291">
      <c r="A291" s="19" t="n">
        <f aca="false">VLOOKUP(B291,справочник!$B$2:$E$322,4,0)</f>
        <v>60</v>
      </c>
      <c r="B291" s="0" t="e">
        <f aca="false">CONCATENATE(C291;D291)</f>
        <v>#VALUE!</v>
      </c>
      <c r="C291" s="24" t="n">
        <v>62</v>
      </c>
      <c r="D291" s="29" t="s">
        <v>323</v>
      </c>
      <c r="E291" s="24" t="s">
        <v>650</v>
      </c>
      <c r="F291" s="30" t="n">
        <v>40885</v>
      </c>
      <c r="G291" s="30" t="n">
        <v>40878</v>
      </c>
      <c r="H291" s="31" t="n">
        <f aca="false">INT(($H$326-G291)/30)</f>
        <v>49</v>
      </c>
      <c r="I291" s="24" t="n">
        <f aca="false">H291*1000</f>
        <v>49000</v>
      </c>
      <c r="J291" s="31" t="n">
        <f aca="false">8000+54000</f>
        <v>62000</v>
      </c>
      <c r="K291" s="31"/>
      <c r="L291" s="59" t="n">
        <f aca="false">I291-J291-K291</f>
        <v>-13000</v>
      </c>
      <c r="M291" s="85" t="n">
        <f aca="false">SUM('план на 2016'!$L292:M292)-SUM('членские взносы'!$M290:M290)</f>
        <v>-12200</v>
      </c>
      <c r="N291" s="85" t="n">
        <f aca="false">SUM('план на 2016'!$L292:N292)-SUM('членские взносы'!$M290:N290)</f>
        <v>-11400</v>
      </c>
      <c r="O291" s="85" t="n">
        <f aca="false">SUM('план на 2016'!$L292:O292)-SUM('членские взносы'!$M290:O290)</f>
        <v>-10600</v>
      </c>
      <c r="P291" s="85" t="n">
        <f aca="false">SUM('план на 2016'!$L292:P292)-SUM('членские взносы'!$M290:P290)</f>
        <v>-9800</v>
      </c>
      <c r="Q291" s="85" t="n">
        <f aca="false">SUM('план на 2016'!$L292:Q292)-SUM('членские взносы'!$M290:Q290)</f>
        <v>-9000</v>
      </c>
      <c r="R291" s="85" t="n">
        <f aca="false">SUM('план на 2016'!$L292:R292)-SUM('членские взносы'!$M290:R290)</f>
        <v>-8200</v>
      </c>
      <c r="S291" s="85" t="n">
        <f aca="false">SUM('план на 2016'!$L292:S292)-SUM('членские взносы'!$M290:S290)</f>
        <v>-7400</v>
      </c>
      <c r="T291" s="85" t="n">
        <f aca="false">SUM('план на 2016'!$L292:T292)-SUM('членские взносы'!$M290:T290)</f>
        <v>-6600</v>
      </c>
      <c r="U291" s="85" t="n">
        <f aca="false">SUM('план на 2016'!$L292:U292)-SUM('членские взносы'!$M290:U290)</f>
        <v>-5800</v>
      </c>
      <c r="V291" s="85" t="n">
        <f aca="false">SUM('план на 2016'!$L292:V292)-SUM('членские взносы'!$M290:V290)</f>
        <v>-5000</v>
      </c>
      <c r="W291" s="85" t="n">
        <f aca="false">SUM('план на 2016'!$L292:W292)-SUM('членские взносы'!$M290:W290)</f>
        <v>-4200</v>
      </c>
      <c r="X291" s="85" t="n">
        <f aca="false">SUM('план на 2016'!$L292:X292)-SUM('членские взносы'!$M290:X290)</f>
        <v>-3400</v>
      </c>
      <c r="Y291" s="59" t="n">
        <f aca="false">X291</f>
        <v>-3400</v>
      </c>
    </row>
    <row collapsed="false" customFormat="false" customHeight="false" hidden="false" ht="15" outlineLevel="0" r="292">
      <c r="A292" s="19" t="n">
        <f aca="false">VLOOKUP(B292,справочник!$B$2:$E$322,4,0)</f>
        <v>248</v>
      </c>
      <c r="B292" s="0" t="e">
        <f aca="false">CONCATENATE(C292;D292)</f>
        <v>#VALUE!</v>
      </c>
      <c r="C292" s="24" t="n">
        <v>259</v>
      </c>
      <c r="D292" s="29" t="s">
        <v>201</v>
      </c>
      <c r="E292" s="24" t="s">
        <v>651</v>
      </c>
      <c r="F292" s="30" t="n">
        <v>41628</v>
      </c>
      <c r="G292" s="30" t="n">
        <v>41640</v>
      </c>
      <c r="H292" s="31" t="n">
        <f aca="false">INT(($H$326-G292)/30)</f>
        <v>24</v>
      </c>
      <c r="I292" s="24" t="n">
        <f aca="false">H292*1000</f>
        <v>24000</v>
      </c>
      <c r="J292" s="31" t="n">
        <v>21300</v>
      </c>
      <c r="K292" s="31"/>
      <c r="L292" s="59" t="n">
        <f aca="false">I292-J292-K292</f>
        <v>2700</v>
      </c>
      <c r="M292" s="85" t="n">
        <f aca="false">SUM('план на 2016'!$L293:M293)-SUM('членские взносы'!$M291:M291)</f>
        <v>3500</v>
      </c>
      <c r="N292" s="85" t="n">
        <f aca="false">SUM('план на 2016'!$L293:N293)-SUM('членские взносы'!$M291:N291)</f>
        <v>4300</v>
      </c>
      <c r="O292" s="85" t="n">
        <f aca="false">SUM('план на 2016'!$L293:O293)-SUM('членские взносы'!$M291:O291)</f>
        <v>5100</v>
      </c>
      <c r="P292" s="85" t="n">
        <f aca="false">SUM('план на 2016'!$L293:P293)-SUM('членские взносы'!$M291:P291)</f>
        <v>5900</v>
      </c>
      <c r="Q292" s="85" t="n">
        <f aca="false">SUM('план на 2016'!$L293:Q293)-SUM('членские взносы'!$M291:Q291)</f>
        <v>6700</v>
      </c>
      <c r="R292" s="85" t="n">
        <f aca="false">SUM('план на 2016'!$L293:R293)-SUM('членские взносы'!$M291:R291)</f>
        <v>5800</v>
      </c>
      <c r="S292" s="85" t="n">
        <f aca="false">SUM('план на 2016'!$L293:S293)-SUM('членские взносы'!$M291:S291)</f>
        <v>5600</v>
      </c>
      <c r="T292" s="85" t="n">
        <f aca="false">SUM('план на 2016'!$L293:T293)-SUM('членские взносы'!$M291:T291)</f>
        <v>6400</v>
      </c>
      <c r="U292" s="85" t="n">
        <f aca="false">SUM('план на 2016'!$L293:U293)-SUM('членские взносы'!$M291:U291)</f>
        <v>5600</v>
      </c>
      <c r="V292" s="85" t="n">
        <f aca="false">SUM('план на 2016'!$L293:V293)-SUM('членские взносы'!$M291:V291)</f>
        <v>6400</v>
      </c>
      <c r="W292" s="85" t="n">
        <f aca="false">SUM('план на 2016'!$L293:W293)-SUM('членские взносы'!$M291:W291)</f>
        <v>-800</v>
      </c>
      <c r="X292" s="85" t="n">
        <f aca="false">SUM('план на 2016'!$L293:X293)-SUM('членские взносы'!$M291:X291)</f>
        <v>0</v>
      </c>
      <c r="Y292" s="59" t="n">
        <f aca="false">X292</f>
        <v>0</v>
      </c>
    </row>
    <row collapsed="false" customFormat="false" customHeight="false" hidden="false" ht="15" outlineLevel="0" r="293">
      <c r="A293" s="19" t="n">
        <f aca="false">VLOOKUP(B293,справочник!$B$2:$E$322,4,0)</f>
        <v>247</v>
      </c>
      <c r="B293" s="0" t="e">
        <f aca="false">CONCATENATE(C293;D293)</f>
        <v>#VALUE!</v>
      </c>
      <c r="C293" s="24" t="n">
        <v>258</v>
      </c>
      <c r="D293" s="29" t="s">
        <v>147</v>
      </c>
      <c r="E293" s="24" t="s">
        <v>652</v>
      </c>
      <c r="F293" s="30" t="n">
        <v>41628</v>
      </c>
      <c r="G293" s="30" t="n">
        <v>41640</v>
      </c>
      <c r="H293" s="31" t="n">
        <f aca="false">INT(($H$326-G293)/30)</f>
        <v>24</v>
      </c>
      <c r="I293" s="24" t="n">
        <f aca="false">H293*1000</f>
        <v>24000</v>
      </c>
      <c r="J293" s="31" t="n">
        <v>13000</v>
      </c>
      <c r="K293" s="31"/>
      <c r="L293" s="59" t="n">
        <f aca="false">I293-J293-K293</f>
        <v>11000</v>
      </c>
      <c r="M293" s="85" t="n">
        <f aca="false">SUM('план на 2016'!$L294:M294)-SUM('членские взносы'!$M292:M292)</f>
        <v>11800</v>
      </c>
      <c r="N293" s="85" t="n">
        <f aca="false">SUM('план на 2016'!$L294:N294)-SUM('членские взносы'!$M292:N292)</f>
        <v>12600</v>
      </c>
      <c r="O293" s="85" t="n">
        <f aca="false">SUM('план на 2016'!$L294:O294)-SUM('членские взносы'!$M292:O292)</f>
        <v>13400</v>
      </c>
      <c r="P293" s="85" t="n">
        <f aca="false">SUM('план на 2016'!$L294:P294)-SUM('членские взносы'!$M292:P292)</f>
        <v>14200</v>
      </c>
      <c r="Q293" s="85" t="n">
        <f aca="false">SUM('план на 2016'!$L294:Q294)-SUM('членские взносы'!$M292:Q292)</f>
        <v>15000</v>
      </c>
      <c r="R293" s="85" t="n">
        <f aca="false">SUM('план на 2016'!$L294:R294)-SUM('членские взносы'!$M292:R292)</f>
        <v>15800</v>
      </c>
      <c r="S293" s="85" t="n">
        <f aca="false">SUM('план на 2016'!$L294:S294)-SUM('членские взносы'!$M292:S292)</f>
        <v>16600</v>
      </c>
      <c r="T293" s="85" t="n">
        <f aca="false">SUM('план на 2016'!$L294:T294)-SUM('членские взносы'!$M292:T292)</f>
        <v>17400</v>
      </c>
      <c r="U293" s="85" t="n">
        <f aca="false">SUM('план на 2016'!$L294:U294)-SUM('членские взносы'!$M292:U292)</f>
        <v>18200</v>
      </c>
      <c r="V293" s="85" t="n">
        <f aca="false">SUM('план на 2016'!$L294:V294)-SUM('членские взносы'!$M292:V292)</f>
        <v>19000</v>
      </c>
      <c r="W293" s="85" t="n">
        <f aca="false">SUM('план на 2016'!$L294:W294)-SUM('членские взносы'!$M292:W292)</f>
        <v>-200</v>
      </c>
      <c r="X293" s="85" t="n">
        <f aca="false">SUM('план на 2016'!$L294:X294)-SUM('членские взносы'!$M292:X292)</f>
        <v>600</v>
      </c>
      <c r="Y293" s="59" t="n">
        <f aca="false">X293</f>
        <v>600</v>
      </c>
    </row>
    <row collapsed="false" customFormat="false" customHeight="false" hidden="false" ht="15" outlineLevel="0" r="294">
      <c r="A294" s="19" t="n">
        <f aca="false">VLOOKUP(B294,справочник!$B$2:$E$322,4,0)</f>
        <v>103</v>
      </c>
      <c r="B294" s="0" t="e">
        <f aca="false">CONCATENATE(C294;D294)</f>
        <v>#VALUE!</v>
      </c>
      <c r="C294" s="24" t="n">
        <v>108</v>
      </c>
      <c r="D294" s="29" t="s">
        <v>297</v>
      </c>
      <c r="E294" s="24" t="s">
        <v>653</v>
      </c>
      <c r="F294" s="30" t="n">
        <v>40715</v>
      </c>
      <c r="G294" s="30" t="n">
        <v>40725</v>
      </c>
      <c r="H294" s="31" t="n">
        <f aca="false">INT(($H$326-G294)/30)</f>
        <v>54</v>
      </c>
      <c r="I294" s="24" t="n">
        <f aca="false">H294*1000</f>
        <v>54000</v>
      </c>
      <c r="J294" s="31" t="n">
        <f aca="false">2000+45000</f>
        <v>47000</v>
      </c>
      <c r="K294" s="31"/>
      <c r="L294" s="59" t="n">
        <f aca="false">I294-J294-K294</f>
        <v>7000</v>
      </c>
      <c r="M294" s="85" t="n">
        <f aca="false">SUM('план на 2016'!$L295:M295)-SUM('членские взносы'!$M293:M293)</f>
        <v>1800</v>
      </c>
      <c r="N294" s="85" t="n">
        <f aca="false">SUM('план на 2016'!$L295:N295)-SUM('членские взносы'!$M293:N293)</f>
        <v>2600</v>
      </c>
      <c r="O294" s="85" t="n">
        <f aca="false">SUM('план на 2016'!$L295:O295)-SUM('членские взносы'!$M293:O293)</f>
        <v>-2600</v>
      </c>
      <c r="P294" s="85" t="n">
        <f aca="false">SUM('план на 2016'!$L295:P295)-SUM('членские взносы'!$M293:P293)</f>
        <v>-1800</v>
      </c>
      <c r="Q294" s="85" t="n">
        <f aca="false">SUM('план на 2016'!$L295:Q295)-SUM('членские взносы'!$M293:Q293)</f>
        <v>-1000</v>
      </c>
      <c r="R294" s="85" t="n">
        <f aca="false">SUM('план на 2016'!$L295:R295)-SUM('членские взносы'!$M293:R293)</f>
        <v>-200</v>
      </c>
      <c r="S294" s="85" t="n">
        <f aca="false">SUM('план на 2016'!$L295:S295)-SUM('членские взносы'!$M293:S293)</f>
        <v>600</v>
      </c>
      <c r="T294" s="85" t="n">
        <f aca="false">SUM('план на 2016'!$L295:T295)-SUM('членские взносы'!$M293:T293)</f>
        <v>1400</v>
      </c>
      <c r="U294" s="85" t="n">
        <f aca="false">SUM('план на 2016'!$L295:U295)-SUM('членские взносы'!$M293:U293)</f>
        <v>2200</v>
      </c>
      <c r="V294" s="85" t="n">
        <f aca="false">SUM('план на 2016'!$L295:V295)-SUM('членские взносы'!$M293:V293)</f>
        <v>3000</v>
      </c>
      <c r="W294" s="85" t="n">
        <f aca="false">SUM('план на 2016'!$L295:W295)-SUM('членские взносы'!$M293:W293)</f>
        <v>-2200</v>
      </c>
      <c r="X294" s="85" t="n">
        <f aca="false">SUM('план на 2016'!$L295:X295)-SUM('членские взносы'!$M293:X293)</f>
        <v>-1400</v>
      </c>
      <c r="Y294" s="59" t="n">
        <f aca="false">X294</f>
        <v>-1400</v>
      </c>
    </row>
    <row collapsed="false" customFormat="false" customHeight="true" hidden="false" ht="25.5" outlineLevel="0" r="295">
      <c r="A295" s="19" t="n">
        <f aca="false">VLOOKUP(B295,справочник!$B$2:$E$322,4,0)</f>
        <v>275</v>
      </c>
      <c r="B295" s="0" t="e">
        <f aca="false">CONCATENATE(C295;D295)</f>
        <v>#VALUE!</v>
      </c>
      <c r="C295" s="24" t="n">
        <v>288</v>
      </c>
      <c r="D295" s="29" t="s">
        <v>256</v>
      </c>
      <c r="E295" s="24" t="s">
        <v>654</v>
      </c>
      <c r="F295" s="30" t="n">
        <v>41999</v>
      </c>
      <c r="G295" s="30" t="n">
        <v>42005</v>
      </c>
      <c r="H295" s="31" t="n">
        <f aca="false">INT(($H$326-G295)/30)</f>
        <v>12</v>
      </c>
      <c r="I295" s="24" t="n">
        <f aca="false">H295*1000</f>
        <v>12000</v>
      </c>
      <c r="J295" s="31"/>
      <c r="K295" s="31"/>
      <c r="L295" s="59" t="n">
        <f aca="false">I295-J295-K295</f>
        <v>12000</v>
      </c>
      <c r="M295" s="85" t="n">
        <f aca="false">SUM('план на 2016'!$L296:M296)-SUM('членские взносы'!$M294:M294)</f>
        <v>12800</v>
      </c>
      <c r="N295" s="85" t="n">
        <f aca="false">SUM('план на 2016'!$L296:N296)-SUM('членские взносы'!$M294:N294)</f>
        <v>13600</v>
      </c>
      <c r="O295" s="85" t="n">
        <f aca="false">SUM('план на 2016'!$L296:O296)-SUM('членские взносы'!$M294:O294)</f>
        <v>14400</v>
      </c>
      <c r="P295" s="85" t="n">
        <f aca="false">SUM('план на 2016'!$L296:P296)-SUM('членские взносы'!$M294:P294)</f>
        <v>15200</v>
      </c>
      <c r="Q295" s="85" t="n">
        <f aca="false">SUM('план на 2016'!$L296:Q296)-SUM('членские взносы'!$M294:Q294)</f>
        <v>16000</v>
      </c>
      <c r="R295" s="85" t="n">
        <f aca="false">SUM('план на 2016'!$L296:R296)-SUM('членские взносы'!$M294:R294)</f>
        <v>800</v>
      </c>
      <c r="S295" s="85" t="n">
        <f aca="false">SUM('план на 2016'!$L296:S296)-SUM('членские взносы'!$M294:S294)</f>
        <v>800</v>
      </c>
      <c r="T295" s="85" t="n">
        <f aca="false">SUM('план на 2016'!$L296:T296)-SUM('членские взносы'!$M294:T294)</f>
        <v>800</v>
      </c>
      <c r="U295" s="85" t="n">
        <f aca="false">SUM('план на 2016'!$L296:U296)-SUM('членские взносы'!$M294:U294)</f>
        <v>800</v>
      </c>
      <c r="V295" s="85" t="n">
        <f aca="false">SUM('план на 2016'!$L296:V296)-SUM('членские взносы'!$M294:V294)</f>
        <v>800</v>
      </c>
      <c r="W295" s="85" t="n">
        <f aca="false">SUM('план на 2016'!$L296:W296)-SUM('членские взносы'!$M294:W294)</f>
        <v>800</v>
      </c>
      <c r="X295" s="85" t="n">
        <f aca="false">SUM('план на 2016'!$L296:X296)-SUM('членские взносы'!$M294:X294)</f>
        <v>1600</v>
      </c>
      <c r="Y295" s="59" t="n">
        <f aca="false">X295</f>
        <v>1600</v>
      </c>
    </row>
    <row collapsed="false" customFormat="false" customHeight="false" hidden="false" ht="15" outlineLevel="0" r="296">
      <c r="A296" s="19" t="n">
        <f aca="false">VLOOKUP(B296,справочник!$B$2:$E$322,4,0)</f>
        <v>22</v>
      </c>
      <c r="B296" s="0" t="e">
        <f aca="false">CONCATENATE(C296;D296)</f>
        <v>#VALUE!</v>
      </c>
      <c r="C296" s="24" t="n">
        <v>22</v>
      </c>
      <c r="D296" s="29" t="s">
        <v>198</v>
      </c>
      <c r="E296" s="24" t="s">
        <v>655</v>
      </c>
      <c r="F296" s="30" t="n">
        <v>41107</v>
      </c>
      <c r="G296" s="30" t="n">
        <v>41091</v>
      </c>
      <c r="H296" s="31" t="n">
        <f aca="false">INT(($H$326-G296)/30)</f>
        <v>42</v>
      </c>
      <c r="I296" s="24" t="n">
        <f aca="false">H296*1000</f>
        <v>42000</v>
      </c>
      <c r="J296" s="31" t="n">
        <f aca="false">34000+6000</f>
        <v>40000</v>
      </c>
      <c r="K296" s="31"/>
      <c r="L296" s="59" t="n">
        <f aca="false">I296-J296-K296</f>
        <v>2000</v>
      </c>
      <c r="M296" s="85" t="n">
        <f aca="false">SUM('план на 2016'!$L297:M297)-SUM('членские взносы'!$M295:M295)</f>
        <v>2800</v>
      </c>
      <c r="N296" s="85" t="n">
        <f aca="false">SUM('план на 2016'!$L297:N297)-SUM('членские взносы'!$M295:N295)</f>
        <v>3600</v>
      </c>
      <c r="O296" s="85" t="n">
        <f aca="false">SUM('план на 2016'!$L297:O297)-SUM('членские взносы'!$M295:O295)</f>
        <v>4400</v>
      </c>
      <c r="P296" s="85" t="n">
        <f aca="false">SUM('план на 2016'!$L297:P297)-SUM('членские взносы'!$M295:P295)</f>
        <v>5200</v>
      </c>
      <c r="Q296" s="85" t="n">
        <f aca="false">SUM('план на 2016'!$L297:Q297)-SUM('членские взносы'!$M295:Q295)</f>
        <v>6000</v>
      </c>
      <c r="R296" s="85" t="n">
        <f aca="false">SUM('план на 2016'!$L297:R297)-SUM('членские взносы'!$M295:R295)</f>
        <v>6800</v>
      </c>
      <c r="S296" s="85" t="n">
        <f aca="false">SUM('план на 2016'!$L297:S297)-SUM('членские взносы'!$M295:S295)</f>
        <v>7600</v>
      </c>
      <c r="T296" s="85" t="n">
        <f aca="false">SUM('план на 2016'!$L297:T297)-SUM('членские взносы'!$M295:T295)</f>
        <v>8400</v>
      </c>
      <c r="U296" s="85" t="n">
        <f aca="false">SUM('план на 2016'!$L297:U297)-SUM('членские взносы'!$M295:U295)</f>
        <v>-800</v>
      </c>
      <c r="V296" s="85" t="n">
        <f aca="false">SUM('план на 2016'!$L297:V297)-SUM('членские взносы'!$M295:V295)</f>
        <v>0</v>
      </c>
      <c r="W296" s="85" t="n">
        <f aca="false">SUM('план на 2016'!$L297:W297)-SUM('членские взносы'!$M295:W295)</f>
        <v>800</v>
      </c>
      <c r="X296" s="85" t="n">
        <f aca="false">SUM('план на 2016'!$L297:X297)-SUM('членские взносы'!$M295:X295)</f>
        <v>1600</v>
      </c>
      <c r="Y296" s="59" t="n">
        <f aca="false">X296</f>
        <v>1600</v>
      </c>
    </row>
    <row collapsed="false" customFormat="false" customHeight="false" hidden="false" ht="15" outlineLevel="0" r="297">
      <c r="A297" s="19" t="n">
        <f aca="false">VLOOKUP(B297,справочник!$B$2:$E$322,4,0)</f>
        <v>20</v>
      </c>
      <c r="B297" s="0" t="e">
        <f aca="false">CONCATENATE(C297;D297)</f>
        <v>#VALUE!</v>
      </c>
      <c r="C297" s="24" t="n">
        <v>20</v>
      </c>
      <c r="D297" s="29" t="s">
        <v>111</v>
      </c>
      <c r="E297" s="24" t="s">
        <v>656</v>
      </c>
      <c r="F297" s="30" t="n">
        <v>41443</v>
      </c>
      <c r="G297" s="30" t="n">
        <v>41487</v>
      </c>
      <c r="H297" s="31" t="n">
        <f aca="false">INT(($H$326-G297)/30)</f>
        <v>29</v>
      </c>
      <c r="I297" s="24" t="n">
        <f aca="false">H297*1000</f>
        <v>29000</v>
      </c>
      <c r="J297" s="31" t="n">
        <v>12000</v>
      </c>
      <c r="K297" s="31"/>
      <c r="L297" s="59" t="n">
        <f aca="false">I297-J297-K297</f>
        <v>17000</v>
      </c>
      <c r="M297" s="85" t="n">
        <f aca="false">SUM('план на 2016'!$L298:M298)-SUM('членские взносы'!$M296:M296)</f>
        <v>17800</v>
      </c>
      <c r="N297" s="85" t="n">
        <f aca="false">SUM('план на 2016'!$L298:N298)-SUM('членские взносы'!$M296:N296)</f>
        <v>18600</v>
      </c>
      <c r="O297" s="85" t="n">
        <f aca="false">SUM('план на 2016'!$L298:O298)-SUM('членские взносы'!$M296:O296)</f>
        <v>19400</v>
      </c>
      <c r="P297" s="85" t="n">
        <f aca="false">SUM('план на 2016'!$L298:P298)-SUM('членские взносы'!$M296:P296)</f>
        <v>20200</v>
      </c>
      <c r="Q297" s="85" t="n">
        <f aca="false">SUM('план на 2016'!$L298:Q298)-SUM('членские взносы'!$M296:Q296)</f>
        <v>21000</v>
      </c>
      <c r="R297" s="85" t="n">
        <f aca="false">SUM('план на 2016'!$L298:R298)-SUM('членские взносы'!$M296:R296)</f>
        <v>21800</v>
      </c>
      <c r="S297" s="85" t="n">
        <f aca="false">SUM('план на 2016'!$L298:S298)-SUM('членские взносы'!$M296:S296)</f>
        <v>22600</v>
      </c>
      <c r="T297" s="85" t="n">
        <f aca="false">SUM('план на 2016'!$L298:T298)-SUM('членские взносы'!$M296:T296)</f>
        <v>23400</v>
      </c>
      <c r="U297" s="85" t="n">
        <f aca="false">SUM('план на 2016'!$L298:U298)-SUM('членские взносы'!$M296:U296)</f>
        <v>24200</v>
      </c>
      <c r="V297" s="85" t="n">
        <f aca="false">SUM('план на 2016'!$L298:V298)-SUM('членские взносы'!$M296:V296)</f>
        <v>25000</v>
      </c>
      <c r="W297" s="85" t="n">
        <f aca="false">SUM('план на 2016'!$L298:W298)-SUM('членские взносы'!$M296:W296)</f>
        <v>25800</v>
      </c>
      <c r="X297" s="85" t="n">
        <f aca="false">SUM('план на 2016'!$L298:X298)-SUM('членские взносы'!$M296:X296)</f>
        <v>26600</v>
      </c>
      <c r="Y297" s="59" t="n">
        <f aca="false">X297</f>
        <v>26600</v>
      </c>
    </row>
    <row collapsed="false" customFormat="false" customHeight="false" hidden="false" ht="15" outlineLevel="0" r="298">
      <c r="A298" s="19" t="n">
        <f aca="false">VLOOKUP(B298,справочник!$B$2:$E$322,4,0)</f>
        <v>233</v>
      </c>
      <c r="B298" s="0" t="e">
        <f aca="false">CONCATENATE(C298;D298)</f>
        <v>#VALUE!</v>
      </c>
      <c r="C298" s="24" t="n">
        <v>242</v>
      </c>
      <c r="D298" s="29" t="s">
        <v>260</v>
      </c>
      <c r="E298" s="24" t="s">
        <v>657</v>
      </c>
      <c r="F298" s="30" t="n">
        <v>41382</v>
      </c>
      <c r="G298" s="30" t="n">
        <v>41395</v>
      </c>
      <c r="H298" s="31" t="n">
        <f aca="false">INT(($H$326-G298)/30)</f>
        <v>32</v>
      </c>
      <c r="I298" s="24" t="n">
        <f aca="false">H298*1000</f>
        <v>32000</v>
      </c>
      <c r="J298" s="31" t="n">
        <v>29000</v>
      </c>
      <c r="K298" s="31"/>
      <c r="L298" s="59" t="n">
        <f aca="false">I298-J298-K298</f>
        <v>3000</v>
      </c>
      <c r="M298" s="85" t="n">
        <f aca="false">SUM('план на 2016'!$L299:M299)-SUM('членские взносы'!$M297:M297)</f>
        <v>3800</v>
      </c>
      <c r="N298" s="85" t="n">
        <f aca="false">SUM('план на 2016'!$L299:N299)-SUM('членские взносы'!$M297:N297)</f>
        <v>4600</v>
      </c>
      <c r="O298" s="85" t="n">
        <f aca="false">SUM('план на 2016'!$L299:O299)-SUM('членские взносы'!$M297:O297)</f>
        <v>5400</v>
      </c>
      <c r="P298" s="85" t="n">
        <f aca="false">SUM('план на 2016'!$L299:P299)-SUM('членские взносы'!$M297:P297)</f>
        <v>6200</v>
      </c>
      <c r="Q298" s="85" t="n">
        <f aca="false">SUM('план на 2016'!$L299:Q299)-SUM('членские взносы'!$M297:Q297)</f>
        <v>7000</v>
      </c>
      <c r="R298" s="85" t="n">
        <f aca="false">SUM('план на 2016'!$L299:R299)-SUM('членские взносы'!$M297:R297)</f>
        <v>800</v>
      </c>
      <c r="S298" s="85" t="n">
        <f aca="false">SUM('план на 2016'!$L299:S299)-SUM('членские взносы'!$M297:S297)</f>
        <v>1600</v>
      </c>
      <c r="T298" s="85" t="n">
        <f aca="false">SUM('план на 2016'!$L299:T299)-SUM('членские взносы'!$M297:T297)</f>
        <v>2400</v>
      </c>
      <c r="U298" s="85" t="n">
        <f aca="false">SUM('план на 2016'!$L299:U299)-SUM('членские взносы'!$M297:U297)</f>
        <v>3200</v>
      </c>
      <c r="V298" s="85" t="n">
        <f aca="false">SUM('план на 2016'!$L299:V299)-SUM('членские взносы'!$M297:V297)</f>
        <v>4000</v>
      </c>
      <c r="W298" s="85" t="n">
        <f aca="false">SUM('план на 2016'!$L299:W299)-SUM('членские взносы'!$M297:W297)</f>
        <v>800</v>
      </c>
      <c r="X298" s="85" t="n">
        <f aca="false">SUM('план на 2016'!$L299:X299)-SUM('членские взносы'!$M297:X297)</f>
        <v>1600</v>
      </c>
      <c r="Y298" s="59" t="n">
        <f aca="false">X298</f>
        <v>1600</v>
      </c>
    </row>
    <row collapsed="false" customFormat="false" customHeight="false" hidden="false" ht="15" outlineLevel="0" r="299">
      <c r="A299" s="19" t="n">
        <f aca="false">VLOOKUP(B299,справочник!$B$2:$E$322,4,0)</f>
        <v>256</v>
      </c>
      <c r="B299" s="0" t="e">
        <f aca="false">CONCATENATE(C299;D299)</f>
        <v>#VALUE!</v>
      </c>
      <c r="C299" s="24" t="n">
        <v>269</v>
      </c>
      <c r="D299" s="29" t="s">
        <v>234</v>
      </c>
      <c r="E299" s="24" t="s">
        <v>658</v>
      </c>
      <c r="F299" s="30" t="n">
        <v>41012</v>
      </c>
      <c r="G299" s="30" t="n">
        <v>41000</v>
      </c>
      <c r="H299" s="31" t="n">
        <f aca="false">INT(($H$326-G299)/30)</f>
        <v>45</v>
      </c>
      <c r="I299" s="24" t="n">
        <f aca="false">H299*1000</f>
        <v>45000</v>
      </c>
      <c r="J299" s="31" t="n">
        <f aca="false">32000+7000</f>
        <v>39000</v>
      </c>
      <c r="K299" s="31" t="n">
        <v>8000</v>
      </c>
      <c r="L299" s="59" t="n">
        <f aca="false">I299-J299-K299</f>
        <v>-2000</v>
      </c>
      <c r="M299" s="85" t="n">
        <f aca="false">SUM('план на 2016'!$L300:M300)-SUM('членские взносы'!$M298:M298)</f>
        <v>-1200</v>
      </c>
      <c r="N299" s="85" t="n">
        <f aca="false">SUM('план на 2016'!$L300:N300)-SUM('членские взносы'!$M298:N298)</f>
        <v>-400</v>
      </c>
      <c r="O299" s="85" t="n">
        <f aca="false">SUM('план на 2016'!$L300:O300)-SUM('членские взносы'!$M298:O298)</f>
        <v>400</v>
      </c>
      <c r="P299" s="85" t="n">
        <f aca="false">SUM('план на 2016'!$L300:P300)-SUM('членские взносы'!$M298:P298)</f>
        <v>1200</v>
      </c>
      <c r="Q299" s="85" t="n">
        <f aca="false">SUM('план на 2016'!$L300:Q300)-SUM('членские взносы'!$M298:Q298)</f>
        <v>2000</v>
      </c>
      <c r="R299" s="85" t="n">
        <f aca="false">SUM('план на 2016'!$L300:R300)-SUM('членские взносы'!$M298:R298)</f>
        <v>2800</v>
      </c>
      <c r="S299" s="85" t="n">
        <f aca="false">SUM('план на 2016'!$L300:S300)-SUM('членские взносы'!$M298:S298)</f>
        <v>3600</v>
      </c>
      <c r="T299" s="85" t="n">
        <f aca="false">SUM('план на 2016'!$L300:T300)-SUM('членские взносы'!$M298:T298)</f>
        <v>4400</v>
      </c>
      <c r="U299" s="85" t="n">
        <f aca="false">SUM('план на 2016'!$L300:U300)-SUM('членские взносы'!$M298:U298)</f>
        <v>5200</v>
      </c>
      <c r="V299" s="85" t="n">
        <f aca="false">SUM('план на 2016'!$L300:V300)-SUM('членские взносы'!$M298:V298)</f>
        <v>6000</v>
      </c>
      <c r="W299" s="85" t="n">
        <f aca="false">SUM('план на 2016'!$L300:W300)-SUM('членские взносы'!$M298:W298)</f>
        <v>6800</v>
      </c>
      <c r="X299" s="85" t="n">
        <f aca="false">SUM('план на 2016'!$L300:X300)-SUM('членские взносы'!$M298:X298)</f>
        <v>7600</v>
      </c>
      <c r="Y299" s="59" t="n">
        <f aca="false">X299</f>
        <v>7600</v>
      </c>
    </row>
    <row collapsed="false" customFormat="false" customHeight="true" hidden="false" ht="25.5" outlineLevel="0" r="300">
      <c r="A300" s="19" t="n">
        <f aca="false">VLOOKUP(B300,справочник!$B$2:$E$322,4,0)</f>
        <v>113</v>
      </c>
      <c r="B300" s="0" t="e">
        <f aca="false">CONCATENATE(C300;D300)</f>
        <v>#VALUE!</v>
      </c>
      <c r="C300" s="24" t="s">
        <v>659</v>
      </c>
      <c r="D300" s="29" t="s">
        <v>120</v>
      </c>
      <c r="E300" s="24" t="s">
        <v>660</v>
      </c>
      <c r="F300" s="30" t="n">
        <v>41107</v>
      </c>
      <c r="G300" s="30" t="n">
        <v>41122</v>
      </c>
      <c r="H300" s="31" t="n">
        <f aca="false">INT(($H$326-G300)/30)</f>
        <v>41</v>
      </c>
      <c r="I300" s="24" t="n">
        <f aca="false">H300*1000</f>
        <v>41000</v>
      </c>
      <c r="J300" s="31" t="n">
        <v>41000</v>
      </c>
      <c r="K300" s="31"/>
      <c r="L300" s="59" t="n">
        <f aca="false">I300-J300-K300</f>
        <v>0</v>
      </c>
      <c r="M300" s="85" t="n">
        <f aca="false">SUM('план на 2016'!$L301:M301)-SUM('членские взносы'!$M299:M299)</f>
        <v>800</v>
      </c>
      <c r="N300" s="85" t="n">
        <f aca="false">SUM('план на 2016'!$L301:N301)-SUM('членские взносы'!$M299:N299)</f>
        <v>1600</v>
      </c>
      <c r="O300" s="85" t="n">
        <f aca="false">SUM('план на 2016'!$L301:O301)-SUM('членские взносы'!$M299:O299)</f>
        <v>2400</v>
      </c>
      <c r="P300" s="85" t="n">
        <f aca="false">SUM('план на 2016'!$L301:P301)-SUM('членские взносы'!$M299:P299)</f>
        <v>3200</v>
      </c>
      <c r="Q300" s="85" t="n">
        <f aca="false">SUM('план на 2016'!$L301:Q301)-SUM('членские взносы'!$M299:Q299)</f>
        <v>4000</v>
      </c>
      <c r="R300" s="85" t="n">
        <f aca="false">SUM('план на 2016'!$L301:R301)-SUM('членские взносы'!$M299:R299)</f>
        <v>4800</v>
      </c>
      <c r="S300" s="85" t="n">
        <f aca="false">SUM('план на 2016'!$L301:S301)-SUM('членские взносы'!$M299:S299)</f>
        <v>5600</v>
      </c>
      <c r="T300" s="85" t="n">
        <f aca="false">SUM('план на 2016'!$L301:T301)-SUM('членские взносы'!$M299:T299)</f>
        <v>6400</v>
      </c>
      <c r="U300" s="85" t="n">
        <f aca="false">SUM('план на 2016'!$L301:U301)-SUM('членские взносы'!$M299:U299)</f>
        <v>7200</v>
      </c>
      <c r="V300" s="85" t="n">
        <f aca="false">SUM('план на 2016'!$L301:V301)-SUM('членские взносы'!$M299:V299)</f>
        <v>8000</v>
      </c>
      <c r="W300" s="85" t="n">
        <f aca="false">SUM('план на 2016'!$L301:W301)-SUM('членские взносы'!$M299:W299)</f>
        <v>8800</v>
      </c>
      <c r="X300" s="85" t="n">
        <f aca="false">SUM('план на 2016'!$L301:X301)-SUM('членские взносы'!$M299:X299)</f>
        <v>9600</v>
      </c>
      <c r="Y300" s="59" t="n">
        <f aca="false">X300</f>
        <v>9600</v>
      </c>
    </row>
    <row collapsed="false" customFormat="false" customHeight="false" hidden="false" ht="25.5" outlineLevel="0" r="301">
      <c r="A301" s="19" t="n">
        <f aca="false">VLOOKUP(B301,справочник!$B$2:$E$322,4,0)</f>
        <v>113</v>
      </c>
      <c r="B301" s="0" t="e">
        <f aca="false">CONCATENATE(C301;D301)</f>
        <v>#VALUE!</v>
      </c>
      <c r="C301" s="24" t="s">
        <v>659</v>
      </c>
      <c r="D301" s="29" t="s">
        <v>120</v>
      </c>
      <c r="E301" s="24" t="s">
        <v>660</v>
      </c>
      <c r="F301" s="34" t="n">
        <v>41107</v>
      </c>
      <c r="G301" s="34" t="n">
        <v>41122</v>
      </c>
      <c r="H301" s="35" t="n">
        <f aca="false">INT(($H$326-G301)/30)</f>
        <v>41</v>
      </c>
      <c r="I301" s="36" t="n">
        <f aca="false">H301*1000</f>
        <v>41000</v>
      </c>
      <c r="J301" s="35" t="n">
        <v>20000</v>
      </c>
      <c r="K301" s="35"/>
      <c r="L301" s="66" t="n">
        <f aca="false">I301-J301-K301</f>
        <v>21000</v>
      </c>
      <c r="M301" s="85" t="n">
        <f aca="false">SUM('план на 2016'!$L302:M302)-SUM('членские взносы'!$M300:M300)</f>
        <v>21000</v>
      </c>
      <c r="N301" s="85" t="n">
        <f aca="false">SUM('план на 2016'!$L302:N302)-SUM('членские взносы'!$M300:N300)</f>
        <v>21000</v>
      </c>
      <c r="O301" s="85" t="n">
        <f aca="false">SUM('план на 2016'!$L302:O302)-SUM('членские взносы'!$M300:O300)</f>
        <v>21000</v>
      </c>
      <c r="P301" s="85" t="n">
        <f aca="false">SUM('план на 2016'!$L302:P302)-SUM('членские взносы'!$M300:P300)</f>
        <v>21000</v>
      </c>
      <c r="Q301" s="85" t="n">
        <f aca="false">SUM('план на 2016'!$L302:Q302)-SUM('членские взносы'!$M300:Q300)</f>
        <v>21000</v>
      </c>
      <c r="R301" s="85" t="n">
        <f aca="false">SUM('план на 2016'!$L302:R302)-SUM('членские взносы'!$M300:R300)</f>
        <v>21000</v>
      </c>
      <c r="S301" s="85" t="n">
        <f aca="false">SUM('план на 2016'!$L302:S302)-SUM('членские взносы'!$M300:S300)</f>
        <v>21000</v>
      </c>
      <c r="T301" s="85" t="n">
        <f aca="false">SUM('план на 2016'!$L302:T302)-SUM('членские взносы'!$M300:T300)</f>
        <v>21000</v>
      </c>
      <c r="U301" s="85" t="n">
        <f aca="false">SUM('план на 2016'!$L302:U302)-SUM('членские взносы'!$M300:U300)</f>
        <v>21000</v>
      </c>
      <c r="V301" s="85" t="n">
        <f aca="false">SUM('план на 2016'!$L302:V302)-SUM('членские взносы'!$M300:V300)</f>
        <v>21000</v>
      </c>
      <c r="W301" s="85" t="n">
        <f aca="false">SUM('план на 2016'!$L302:W302)-SUM('членские взносы'!$M300:W300)</f>
        <v>21000</v>
      </c>
      <c r="X301" s="85" t="n">
        <f aca="false">SUM('план на 2016'!$L302:X302)-SUM('членские взносы'!$M300:X300)</f>
        <v>21000</v>
      </c>
      <c r="Y301" s="59" t="n">
        <f aca="false">X301</f>
        <v>21000</v>
      </c>
    </row>
    <row collapsed="false" customFormat="false" customHeight="false" hidden="false" ht="25.5" outlineLevel="0" r="302">
      <c r="A302" s="19" t="n">
        <f aca="false">VLOOKUP(B302,справочник!$B$2:$E$322,4,0)</f>
        <v>113</v>
      </c>
      <c r="B302" s="0" t="e">
        <f aca="false">CONCATENATE(C302;D302)</f>
        <v>#VALUE!</v>
      </c>
      <c r="C302" s="24" t="s">
        <v>659</v>
      </c>
      <c r="D302" s="29" t="s">
        <v>120</v>
      </c>
      <c r="E302" s="24" t="s">
        <v>660</v>
      </c>
      <c r="F302" s="34" t="n">
        <v>41107</v>
      </c>
      <c r="G302" s="34" t="n">
        <v>41122</v>
      </c>
      <c r="H302" s="35" t="n">
        <f aca="false">INT(($H$326-G302)/30)</f>
        <v>41</v>
      </c>
      <c r="I302" s="36" t="n">
        <f aca="false">H302*1000</f>
        <v>41000</v>
      </c>
      <c r="J302" s="35"/>
      <c r="K302" s="35"/>
      <c r="L302" s="66" t="n">
        <f aca="false">I302-J302-K302</f>
        <v>41000</v>
      </c>
      <c r="M302" s="85" t="n">
        <f aca="false">SUM('план на 2016'!$L303:M303)-SUM('членские взносы'!$M301:M301)</f>
        <v>35000</v>
      </c>
      <c r="N302" s="85" t="n">
        <f aca="false">SUM('план на 2016'!$L303:N303)-SUM('членские взносы'!$M301:N301)</f>
        <v>35000</v>
      </c>
      <c r="O302" s="85" t="n">
        <f aca="false">SUM('план на 2016'!$L303:O303)-SUM('членские взносы'!$M301:O301)</f>
        <v>35000</v>
      </c>
      <c r="P302" s="85" t="n">
        <f aca="false">SUM('план на 2016'!$L303:P303)-SUM('членские взносы'!$M301:P301)</f>
        <v>32000</v>
      </c>
      <c r="Q302" s="85" t="n">
        <f aca="false">SUM('план на 2016'!$L303:Q303)-SUM('членские взносы'!$M301:Q301)</f>
        <v>32000</v>
      </c>
      <c r="R302" s="85" t="n">
        <f aca="false">SUM('план на 2016'!$L303:R303)-SUM('членские взносы'!$M301:R301)</f>
        <v>29000</v>
      </c>
      <c r="S302" s="85" t="n">
        <f aca="false">SUM('план на 2016'!$L303:S303)-SUM('членские взносы'!$M301:S301)</f>
        <v>29000</v>
      </c>
      <c r="T302" s="85" t="n">
        <f aca="false">SUM('план на 2016'!$L303:T303)-SUM('членские взносы'!$M301:T301)</f>
        <v>29000</v>
      </c>
      <c r="U302" s="85" t="n">
        <f aca="false">SUM('план на 2016'!$L303:U303)-SUM('членские взносы'!$M301:U301)</f>
        <v>29000</v>
      </c>
      <c r="V302" s="85" t="n">
        <f aca="false">SUM('план на 2016'!$L303:V303)-SUM('членские взносы'!$M301:V301)</f>
        <v>29000</v>
      </c>
      <c r="W302" s="85" t="n">
        <f aca="false">SUM('план на 2016'!$L303:W303)-SUM('членские взносы'!$M301:W301)</f>
        <v>26000</v>
      </c>
      <c r="X302" s="85" t="n">
        <f aca="false">SUM('план на 2016'!$L303:X303)-SUM('членские взносы'!$M301:X301)</f>
        <v>26000</v>
      </c>
      <c r="Y302" s="59" t="n">
        <f aca="false">X302</f>
        <v>26000</v>
      </c>
    </row>
    <row collapsed="false" customFormat="false" customHeight="true" hidden="false" ht="25.5" outlineLevel="0" r="303">
      <c r="A303" s="19" t="n">
        <f aca="false">VLOOKUP(B303,справочник!$B$2:$E$322,4,0)</f>
        <v>180</v>
      </c>
      <c r="B303" s="0" t="e">
        <f aca="false">CONCATENATE(C303;D303)</f>
        <v>#VALUE!</v>
      </c>
      <c r="C303" s="24" t="n">
        <v>188</v>
      </c>
      <c r="D303" s="29" t="s">
        <v>282</v>
      </c>
      <c r="E303" s="24" t="s">
        <v>661</v>
      </c>
      <c r="F303" s="30" t="n">
        <v>41786</v>
      </c>
      <c r="G303" s="30" t="n">
        <v>41791</v>
      </c>
      <c r="H303" s="31" t="n">
        <f aca="false">INT(($H$326-G303)/30)</f>
        <v>19</v>
      </c>
      <c r="I303" s="24" t="n">
        <f aca="false">H303*1000</f>
        <v>19000</v>
      </c>
      <c r="J303" s="31" t="n">
        <v>19000</v>
      </c>
      <c r="K303" s="31"/>
      <c r="L303" s="59" t="n">
        <f aca="false">I303-J303-K303</f>
        <v>0</v>
      </c>
      <c r="M303" s="85" t="n">
        <f aca="false">SUM('план на 2016'!$L304:M304)-SUM('членские взносы'!$M302:M302)</f>
        <v>800</v>
      </c>
      <c r="N303" s="85" t="n">
        <f aca="false">SUM('план на 2016'!$L304:N304)-SUM('членские взносы'!$M302:N302)</f>
        <v>1600</v>
      </c>
      <c r="O303" s="85" t="n">
        <f aca="false">SUM('план на 2016'!$L304:O304)-SUM('членские взносы'!$M302:O302)</f>
        <v>2400</v>
      </c>
      <c r="P303" s="85" t="n">
        <f aca="false">SUM('план на 2016'!$L304:P304)-SUM('членские взносы'!$M302:P302)</f>
        <v>3200</v>
      </c>
      <c r="Q303" s="85" t="n">
        <f aca="false">SUM('план на 2016'!$L304:Q304)-SUM('членские взносы'!$M302:Q302)</f>
        <v>-800</v>
      </c>
      <c r="R303" s="85" t="n">
        <f aca="false">SUM('план на 2016'!$L304:R304)-SUM('членские взносы'!$M302:R302)</f>
        <v>0</v>
      </c>
      <c r="S303" s="85" t="n">
        <f aca="false">SUM('план на 2016'!$L304:S304)-SUM('членские взносы'!$M302:S302)</f>
        <v>800</v>
      </c>
      <c r="T303" s="85" t="n">
        <f aca="false">SUM('план на 2016'!$L304:T304)-SUM('членские взносы'!$M302:T302)</f>
        <v>1600</v>
      </c>
      <c r="U303" s="85" t="n">
        <f aca="false">SUM('план на 2016'!$L304:U304)-SUM('членские взносы'!$M302:U302)</f>
        <v>2400</v>
      </c>
      <c r="V303" s="85" t="n">
        <f aca="false">SUM('план на 2016'!$L304:V304)-SUM('членские взносы'!$M302:V302)</f>
        <v>3200</v>
      </c>
      <c r="W303" s="85" t="n">
        <f aca="false">SUM('план на 2016'!$L304:W304)-SUM('членские взносы'!$M302:W302)</f>
        <v>4000</v>
      </c>
      <c r="X303" s="85" t="n">
        <f aca="false">SUM('план на 2016'!$L304:X304)-SUM('членские взносы'!$M302:X302)</f>
        <v>4800</v>
      </c>
      <c r="Y303" s="59" t="n">
        <f aca="false">X303</f>
        <v>4800</v>
      </c>
    </row>
    <row collapsed="false" customFormat="false" customHeight="false" hidden="false" ht="15" outlineLevel="0" r="304">
      <c r="A304" s="19" t="n">
        <f aca="false">VLOOKUP(B304,справочник!$B$2:$E$322,4,0)</f>
        <v>2</v>
      </c>
      <c r="B304" s="0" t="e">
        <f aca="false">CONCATENATE(C304;D304)</f>
        <v>#VALUE!</v>
      </c>
      <c r="C304" s="24" t="n">
        <v>2</v>
      </c>
      <c r="D304" s="29" t="s">
        <v>161</v>
      </c>
      <c r="E304" s="24" t="s">
        <v>662</v>
      </c>
      <c r="F304" s="30" t="n">
        <v>41737</v>
      </c>
      <c r="G304" s="30" t="n">
        <v>41760</v>
      </c>
      <c r="H304" s="31" t="n">
        <f aca="false">INT(($H$326-G304)/30)</f>
        <v>20</v>
      </c>
      <c r="I304" s="24" t="n">
        <f aca="false">H304*1000</f>
        <v>20000</v>
      </c>
      <c r="J304" s="31" t="n">
        <v>11000</v>
      </c>
      <c r="K304" s="31"/>
      <c r="L304" s="59" t="n">
        <f aca="false">I304-J304-K304</f>
        <v>9000</v>
      </c>
      <c r="M304" s="85" t="n">
        <f aca="false">SUM('план на 2016'!$L305:M305)-SUM('членские взносы'!$M303:M303)</f>
        <v>9800</v>
      </c>
      <c r="N304" s="85" t="n">
        <f aca="false">SUM('план на 2016'!$L305:N305)-SUM('членские взносы'!$M303:N303)</f>
        <v>10600</v>
      </c>
      <c r="O304" s="85" t="n">
        <f aca="false">SUM('план на 2016'!$L305:O305)-SUM('членские взносы'!$M303:O303)</f>
        <v>11400</v>
      </c>
      <c r="P304" s="85" t="n">
        <f aca="false">SUM('план на 2016'!$L305:P305)-SUM('членские взносы'!$M303:P303)</f>
        <v>12200</v>
      </c>
      <c r="Q304" s="85" t="n">
        <f aca="false">SUM('план на 2016'!$L305:Q305)-SUM('членские взносы'!$M303:Q303)</f>
        <v>13000</v>
      </c>
      <c r="R304" s="85" t="n">
        <f aca="false">SUM('план на 2016'!$L305:R305)-SUM('членские взносы'!$M303:R303)</f>
        <v>13800</v>
      </c>
      <c r="S304" s="85" t="n">
        <f aca="false">SUM('план на 2016'!$L305:S305)-SUM('членские взносы'!$M303:S303)</f>
        <v>14600</v>
      </c>
      <c r="T304" s="85" t="n">
        <f aca="false">SUM('план на 2016'!$L305:T305)-SUM('членские взносы'!$M303:T303)</f>
        <v>15400</v>
      </c>
      <c r="U304" s="85" t="n">
        <f aca="false">SUM('план на 2016'!$L305:U305)-SUM('членские взносы'!$M303:U303)</f>
        <v>16200</v>
      </c>
      <c r="V304" s="85" t="n">
        <f aca="false">SUM('план на 2016'!$L305:V305)-SUM('членские взносы'!$M303:V303)</f>
        <v>16000</v>
      </c>
      <c r="W304" s="85" t="n">
        <f aca="false">SUM('план на 2016'!$L305:W305)-SUM('членские взносы'!$M303:W303)</f>
        <v>16800</v>
      </c>
      <c r="X304" s="85" t="n">
        <f aca="false">SUM('план на 2016'!$L305:X305)-SUM('членские взносы'!$M303:X303)</f>
        <v>17600</v>
      </c>
      <c r="Y304" s="59" t="n">
        <f aca="false">X304</f>
        <v>17600</v>
      </c>
    </row>
    <row collapsed="false" customFormat="false" customHeight="false" hidden="false" ht="25.5" outlineLevel="0" r="305">
      <c r="A305" s="19" t="n">
        <f aca="false">VLOOKUP(B305,справочник!$B$2:$E$322,4,0)</f>
        <v>23</v>
      </c>
      <c r="B305" s="0" t="e">
        <f aca="false">CONCATENATE(C305;D305)</f>
        <v>#VALUE!</v>
      </c>
      <c r="C305" s="24" t="n">
        <v>23</v>
      </c>
      <c r="D305" s="29" t="s">
        <v>319</v>
      </c>
      <c r="E305" s="24" t="s">
        <v>663</v>
      </c>
      <c r="F305" s="30" t="n">
        <v>41422</v>
      </c>
      <c r="G305" s="30" t="n">
        <v>41456</v>
      </c>
      <c r="H305" s="31" t="n">
        <f aca="false">INT(($H$326-G305)/30)</f>
        <v>30</v>
      </c>
      <c r="I305" s="24" t="n">
        <f aca="false">H305*1000</f>
        <v>30000</v>
      </c>
      <c r="J305" s="31" t="n">
        <v>30000</v>
      </c>
      <c r="K305" s="31"/>
      <c r="L305" s="59" t="n">
        <f aca="false">I305-J305-K305</f>
        <v>0</v>
      </c>
      <c r="M305" s="85" t="n">
        <f aca="false">SUM('план на 2016'!$L306:M306)-SUM('членские взносы'!$M304:M304)</f>
        <v>-10800</v>
      </c>
      <c r="N305" s="85" t="n">
        <f aca="false">SUM('план на 2016'!$L306:N306)-SUM('членские взносы'!$M304:N304)</f>
        <v>-10000</v>
      </c>
      <c r="O305" s="85" t="n">
        <f aca="false">SUM('план на 2016'!$L306:O306)-SUM('членские взносы'!$M304:O304)</f>
        <v>-9200</v>
      </c>
      <c r="P305" s="85" t="n">
        <f aca="false">SUM('план на 2016'!$L306:P306)-SUM('членские взносы'!$M304:P304)</f>
        <v>-8400</v>
      </c>
      <c r="Q305" s="85" t="n">
        <f aca="false">SUM('план на 2016'!$L306:Q306)-SUM('членские взносы'!$M304:Q304)</f>
        <v>-7600</v>
      </c>
      <c r="R305" s="85" t="n">
        <f aca="false">SUM('план на 2016'!$L306:R306)-SUM('членские взносы'!$M304:R304)</f>
        <v>-6800</v>
      </c>
      <c r="S305" s="85" t="n">
        <f aca="false">SUM('план на 2016'!$L306:S306)-SUM('членские взносы'!$M304:S304)</f>
        <v>-6000</v>
      </c>
      <c r="T305" s="85" t="n">
        <f aca="false">SUM('план на 2016'!$L306:T306)-SUM('членские взносы'!$M304:T304)</f>
        <v>-5200</v>
      </c>
      <c r="U305" s="85" t="n">
        <f aca="false">SUM('план на 2016'!$L306:U306)-SUM('членские взносы'!$M304:U304)</f>
        <v>-4400</v>
      </c>
      <c r="V305" s="85" t="n">
        <f aca="false">SUM('план на 2016'!$L306:V306)-SUM('членские взносы'!$M304:V304)</f>
        <v>-3600</v>
      </c>
      <c r="W305" s="85" t="n">
        <f aca="false">SUM('план на 2016'!$L306:W306)-SUM('членские взносы'!$M304:W304)</f>
        <v>-2800</v>
      </c>
      <c r="X305" s="85" t="n">
        <f aca="false">SUM('план на 2016'!$L306:X306)-SUM('членские взносы'!$M304:X304)</f>
        <v>-11600</v>
      </c>
      <c r="Y305" s="59" t="n">
        <f aca="false">X305</f>
        <v>-11600</v>
      </c>
    </row>
    <row collapsed="false" customFormat="false" customHeight="false" hidden="false" ht="15" outlineLevel="0" r="306">
      <c r="A306" s="19" t="n">
        <f aca="false">VLOOKUP(B306,справочник!$B$2:$E$322,4,0)</f>
        <v>168</v>
      </c>
      <c r="B306" s="0" t="e">
        <f aca="false">CONCATENATE(C306;D306)</f>
        <v>#VALUE!</v>
      </c>
      <c r="C306" s="24" t="n">
        <v>176</v>
      </c>
      <c r="D306" s="29" t="s">
        <v>305</v>
      </c>
      <c r="E306" s="24" t="s">
        <v>664</v>
      </c>
      <c r="F306" s="30" t="n">
        <v>41939</v>
      </c>
      <c r="G306" s="30" t="n">
        <v>41974</v>
      </c>
      <c r="H306" s="31" t="n">
        <f aca="false">INT(($H$326-G306)/30)</f>
        <v>13</v>
      </c>
      <c r="I306" s="24" t="n">
        <f aca="false">H306*1000</f>
        <v>13000</v>
      </c>
      <c r="J306" s="31" t="n">
        <v>11000</v>
      </c>
      <c r="K306" s="31" t="n">
        <v>2000</v>
      </c>
      <c r="L306" s="59" t="n">
        <f aca="false">I306-J306-K306</f>
        <v>0</v>
      </c>
      <c r="M306" s="85" t="n">
        <f aca="false">SUM('план на 2016'!$L307:M307)-SUM('членские взносы'!$M305:M305)</f>
        <v>800</v>
      </c>
      <c r="N306" s="85" t="n">
        <f aca="false">SUM('план на 2016'!$L307:N307)-SUM('членские взносы'!$M305:N305)</f>
        <v>-400</v>
      </c>
      <c r="O306" s="85" t="n">
        <f aca="false">SUM('план на 2016'!$L307:O307)-SUM('членские взносы'!$M305:O305)</f>
        <v>400</v>
      </c>
      <c r="P306" s="85" t="n">
        <f aca="false">SUM('план на 2016'!$L307:P307)-SUM('членские взносы'!$M305:P305)</f>
        <v>-800</v>
      </c>
      <c r="Q306" s="85" t="n">
        <f aca="false">SUM('план на 2016'!$L307:Q307)-SUM('членские взносы'!$M305:Q305)</f>
        <v>-2000</v>
      </c>
      <c r="R306" s="85" t="n">
        <f aca="false">SUM('план на 2016'!$L307:R307)-SUM('членские взносы'!$M305:R305)</f>
        <v>-1200</v>
      </c>
      <c r="S306" s="85" t="n">
        <f aca="false">SUM('план на 2016'!$L307:S307)-SUM('членские взносы'!$M305:S305)</f>
        <v>-2400</v>
      </c>
      <c r="T306" s="85" t="n">
        <f aca="false">SUM('план на 2016'!$L307:T307)-SUM('членские взносы'!$M305:T305)</f>
        <v>-1600</v>
      </c>
      <c r="U306" s="85" t="n">
        <f aca="false">SUM('план на 2016'!$L307:U307)-SUM('членские взносы'!$M305:U305)</f>
        <v>-2800</v>
      </c>
      <c r="V306" s="85" t="n">
        <f aca="false">SUM('план на 2016'!$L307:V307)-SUM('членские взносы'!$M305:V305)</f>
        <v>-2000</v>
      </c>
      <c r="W306" s="85" t="n">
        <f aca="false">SUM('план на 2016'!$L307:W307)-SUM('членские взносы'!$M305:W305)</f>
        <v>-3200</v>
      </c>
      <c r="X306" s="85" t="n">
        <f aca="false">SUM('план на 2016'!$L307:X307)-SUM('членские взносы'!$M305:X305)</f>
        <v>-2400</v>
      </c>
      <c r="Y306" s="59" t="n">
        <f aca="false">X306</f>
        <v>-2400</v>
      </c>
    </row>
    <row collapsed="false" customFormat="false" customHeight="true" hidden="false" ht="25.5" outlineLevel="0" r="307">
      <c r="A307" s="19" t="n">
        <f aca="false">VLOOKUP(B307,справочник!$B$2:$E$322,4,0)</f>
        <v>84</v>
      </c>
      <c r="B307" s="0" t="e">
        <f aca="false">CONCATENATE(C307;D307)</f>
        <v>#VALUE!</v>
      </c>
      <c r="C307" s="24" t="n">
        <v>89</v>
      </c>
      <c r="D307" s="29" t="s">
        <v>288</v>
      </c>
      <c r="E307" s="24" t="s">
        <v>665</v>
      </c>
      <c r="F307" s="30" t="n">
        <v>40785</v>
      </c>
      <c r="G307" s="30" t="n">
        <v>40787</v>
      </c>
      <c r="H307" s="31" t="n">
        <f aca="false">INT(($H$326-G307)/30)</f>
        <v>52</v>
      </c>
      <c r="I307" s="24" t="n">
        <f aca="false">H307*1000</f>
        <v>52000</v>
      </c>
      <c r="J307" s="31" t="n">
        <f aca="false">1000+51000</f>
        <v>52000</v>
      </c>
      <c r="K307" s="31"/>
      <c r="L307" s="59" t="n">
        <f aca="false">I307-J307-K307</f>
        <v>0</v>
      </c>
      <c r="M307" s="85" t="n">
        <f aca="false">SUM('план на 2016'!$L308:M308)-SUM('членские взносы'!$M306:M306)</f>
        <v>800</v>
      </c>
      <c r="N307" s="85" t="n">
        <f aca="false">SUM('план на 2016'!$L308:N308)-SUM('членские взносы'!$M306:N306)</f>
        <v>1600</v>
      </c>
      <c r="O307" s="85" t="n">
        <f aca="false">SUM('план на 2016'!$L308:O308)-SUM('членские взносы'!$M306:O306)</f>
        <v>2400</v>
      </c>
      <c r="P307" s="85" t="n">
        <f aca="false">SUM('план на 2016'!$L308:P308)-SUM('членские взносы'!$M306:P306)</f>
        <v>3200</v>
      </c>
      <c r="Q307" s="85" t="n">
        <f aca="false">SUM('план на 2016'!$L308:Q308)-SUM('членские взносы'!$M306:Q306)</f>
        <v>4000</v>
      </c>
      <c r="R307" s="85" t="n">
        <f aca="false">SUM('план на 2016'!$L308:R308)-SUM('членские взносы'!$M306:R306)</f>
        <v>0</v>
      </c>
      <c r="S307" s="85" t="n">
        <f aca="false">SUM('план на 2016'!$L308:S308)-SUM('членские взносы'!$M306:S306)</f>
        <v>800</v>
      </c>
      <c r="T307" s="85" t="n">
        <f aca="false">SUM('план на 2016'!$L308:T308)-SUM('членские взносы'!$M306:T306)</f>
        <v>1600</v>
      </c>
      <c r="U307" s="85" t="n">
        <f aca="false">SUM('план на 2016'!$L308:U308)-SUM('членские взносы'!$M306:U306)</f>
        <v>2400</v>
      </c>
      <c r="V307" s="85" t="n">
        <f aca="false">SUM('план на 2016'!$L308:V308)-SUM('членские взносы'!$M306:V306)</f>
        <v>3200</v>
      </c>
      <c r="W307" s="85" t="n">
        <f aca="false">SUM('план на 2016'!$L308:W308)-SUM('членские взносы'!$M306:W306)</f>
        <v>-800</v>
      </c>
      <c r="X307" s="85" t="n">
        <f aca="false">SUM('план на 2016'!$L308:X308)-SUM('членские взносы'!$M306:X306)</f>
        <v>0</v>
      </c>
      <c r="Y307" s="59" t="n">
        <f aca="false">X307</f>
        <v>0</v>
      </c>
    </row>
    <row collapsed="false" customFormat="false" customHeight="false" hidden="false" ht="15" outlineLevel="0" r="308">
      <c r="A308" s="19" t="n">
        <f aca="false">VLOOKUP(B308,справочник!$B$2:$E$322,4,0)</f>
        <v>88</v>
      </c>
      <c r="B308" s="0" t="e">
        <f aca="false">CONCATENATE(C308;D308)</f>
        <v>#VALUE!</v>
      </c>
      <c r="C308" s="24" t="s">
        <v>666</v>
      </c>
      <c r="D308" s="29" t="s">
        <v>270</v>
      </c>
      <c r="E308" s="24" t="s">
        <v>667</v>
      </c>
      <c r="F308" s="30" t="n">
        <v>40925</v>
      </c>
      <c r="G308" s="30" t="n">
        <v>40909</v>
      </c>
      <c r="H308" s="31" t="n">
        <f aca="false">INT(($H$326-G308)/30)</f>
        <v>48</v>
      </c>
      <c r="I308" s="24" t="n">
        <f aca="false">H308*1000</f>
        <v>48000</v>
      </c>
      <c r="J308" s="31" t="n">
        <v>44000</v>
      </c>
      <c r="K308" s="31"/>
      <c r="L308" s="59" t="n">
        <f aca="false">I308-J308-K308</f>
        <v>4000</v>
      </c>
      <c r="M308" s="85" t="n">
        <f aca="false">SUM('план на 2016'!$L309:M309)-SUM('членские взносы'!$M307:M307)</f>
        <v>-4000</v>
      </c>
      <c r="N308" s="85" t="n">
        <f aca="false">SUM('план на 2016'!$L309:N309)-SUM('членские взносы'!$M307:N307)</f>
        <v>-4000</v>
      </c>
      <c r="O308" s="85" t="n">
        <f aca="false">SUM('план на 2016'!$L309:O309)-SUM('членские взносы'!$M307:O307)</f>
        <v>-4000</v>
      </c>
      <c r="P308" s="85" t="n">
        <f aca="false">SUM('план на 2016'!$L309:P309)-SUM('членские взносы'!$M307:P307)</f>
        <v>-4000</v>
      </c>
      <c r="Q308" s="85" t="n">
        <f aca="false">SUM('план на 2016'!$L309:Q309)-SUM('членские взносы'!$M307:Q307)</f>
        <v>-4000</v>
      </c>
      <c r="R308" s="85" t="n">
        <f aca="false">SUM('план на 2016'!$L309:R309)-SUM('членские взносы'!$M307:R307)</f>
        <v>-4000</v>
      </c>
      <c r="S308" s="85" t="n">
        <f aca="false">SUM('план на 2016'!$L309:S309)-SUM('членские взносы'!$M307:S307)</f>
        <v>-13600</v>
      </c>
      <c r="T308" s="85" t="n">
        <f aca="false">SUM('план на 2016'!$L309:T309)-SUM('членские взносы'!$M307:T307)</f>
        <v>-13600</v>
      </c>
      <c r="U308" s="85" t="n">
        <f aca="false">SUM('план на 2016'!$L309:U309)-SUM('членские взносы'!$M307:U307)</f>
        <v>-13600</v>
      </c>
      <c r="V308" s="85" t="n">
        <f aca="false">SUM('план на 2016'!$L309:V309)-SUM('членские взносы'!$M307:V307)</f>
        <v>-13600</v>
      </c>
      <c r="W308" s="85" t="n">
        <f aca="false">SUM('план на 2016'!$L309:W309)-SUM('членские взносы'!$M307:W307)</f>
        <v>-13600</v>
      </c>
      <c r="X308" s="85" t="n">
        <f aca="false">SUM('план на 2016'!$L309:X309)-SUM('членские взносы'!$M307:X307)</f>
        <v>-13600</v>
      </c>
      <c r="Y308" s="59" t="n">
        <f aca="false">X308</f>
        <v>-13600</v>
      </c>
    </row>
    <row collapsed="false" customFormat="false" customHeight="false" hidden="false" ht="15" outlineLevel="0" r="309">
      <c r="A309" s="19" t="n">
        <f aca="false">VLOOKUP(B309,справочник!$B$2:$E$322,4,0)</f>
        <v>88</v>
      </c>
      <c r="B309" s="0" t="e">
        <f aca="false">CONCATENATE(C309;D309)</f>
        <v>#VALUE!</v>
      </c>
      <c r="C309" s="24" t="s">
        <v>666</v>
      </c>
      <c r="D309" s="29" t="s">
        <v>270</v>
      </c>
      <c r="E309" s="24" t="s">
        <v>668</v>
      </c>
      <c r="F309" s="30" t="n">
        <v>40925</v>
      </c>
      <c r="G309" s="30" t="n">
        <v>40909</v>
      </c>
      <c r="H309" s="31" t="n">
        <f aca="false">INT(($H$326-G309)/30)</f>
        <v>48</v>
      </c>
      <c r="I309" s="24" t="n">
        <f aca="false">H309*1000</f>
        <v>48000</v>
      </c>
      <c r="J309" s="31" t="n">
        <v>44000</v>
      </c>
      <c r="K309" s="31"/>
      <c r="L309" s="59" t="n">
        <f aca="false">I309-J309-K309</f>
        <v>4000</v>
      </c>
      <c r="M309" s="85" t="n">
        <f aca="false">SUM('план на 2016'!$L310:M310)-SUM('членские взносы'!$M308:M308)</f>
        <v>4800</v>
      </c>
      <c r="N309" s="85" t="n">
        <f aca="false">SUM('план на 2016'!$L310:N310)-SUM('членские взносы'!$M308:N308)</f>
        <v>5600</v>
      </c>
      <c r="O309" s="85" t="n">
        <f aca="false">SUM('план на 2016'!$L310:O310)-SUM('членские взносы'!$M308:O308)</f>
        <v>6400</v>
      </c>
      <c r="P309" s="85" t="n">
        <f aca="false">SUM('план на 2016'!$L310:P310)-SUM('членские взносы'!$M308:P308)</f>
        <v>7200</v>
      </c>
      <c r="Q309" s="85" t="n">
        <f aca="false">SUM('план на 2016'!$L310:Q310)-SUM('членские взносы'!$M308:Q308)</f>
        <v>8000</v>
      </c>
      <c r="R309" s="85" t="n">
        <f aca="false">SUM('план на 2016'!$L310:R310)-SUM('членские взносы'!$M308:R308)</f>
        <v>8800</v>
      </c>
      <c r="S309" s="85" t="n">
        <f aca="false">SUM('план на 2016'!$L310:S310)-SUM('членские взносы'!$M308:S308)</f>
        <v>9600</v>
      </c>
      <c r="T309" s="85" t="n">
        <f aca="false">SUM('план на 2016'!$L310:T310)-SUM('членские взносы'!$M308:T308)</f>
        <v>10400</v>
      </c>
      <c r="U309" s="85" t="n">
        <f aca="false">SUM('план на 2016'!$L310:U310)-SUM('членские взносы'!$M308:U308)</f>
        <v>11200</v>
      </c>
      <c r="V309" s="85" t="n">
        <f aca="false">SUM('план на 2016'!$L310:V310)-SUM('членские взносы'!$M308:V308)</f>
        <v>12000</v>
      </c>
      <c r="W309" s="85" t="n">
        <f aca="false">SUM('план на 2016'!$L310:W310)-SUM('членские взносы'!$M308:W308)</f>
        <v>12800</v>
      </c>
      <c r="X309" s="85" t="n">
        <f aca="false">SUM('план на 2016'!$L310:X310)-SUM('членские взносы'!$M308:X308)</f>
        <v>13600</v>
      </c>
      <c r="Y309" s="59" t="n">
        <f aca="false">X309</f>
        <v>13600</v>
      </c>
    </row>
    <row collapsed="false" customFormat="false" customHeight="false" hidden="false" ht="15" outlineLevel="0" r="310">
      <c r="A310" s="19" t="n">
        <f aca="false">VLOOKUP(B310,справочник!$B$2:$E$322,4,0)</f>
        <v>78</v>
      </c>
      <c r="B310" s="0" t="e">
        <f aca="false">CONCATENATE(C310;D310)</f>
        <v>#VALUE!</v>
      </c>
      <c r="C310" s="24" t="n">
        <v>83</v>
      </c>
      <c r="D310" s="29" t="s">
        <v>61</v>
      </c>
      <c r="E310" s="24"/>
      <c r="F310" s="30" t="n">
        <v>41456</v>
      </c>
      <c r="G310" s="30" t="n">
        <v>41457</v>
      </c>
      <c r="H310" s="31" t="n">
        <f aca="false">INT(($H$326-G310)/30)</f>
        <v>30</v>
      </c>
      <c r="I310" s="24" t="n">
        <v>30000</v>
      </c>
      <c r="J310" s="31" t="n">
        <v>0</v>
      </c>
      <c r="K310" s="31"/>
      <c r="L310" s="59" t="n">
        <v>30000</v>
      </c>
      <c r="M310" s="85" t="n">
        <f aca="false">SUM('план на 2016'!$L311:M311)-SUM('членские взносы'!$M309:M309)</f>
        <v>30800</v>
      </c>
      <c r="N310" s="85" t="n">
        <f aca="false">SUM('план на 2016'!$L311:N311)-SUM('членские взносы'!$M309:N309)</f>
        <v>31600</v>
      </c>
      <c r="O310" s="85" t="n">
        <f aca="false">SUM('план на 2016'!$L311:O311)-SUM('членские взносы'!$M309:O309)</f>
        <v>32400</v>
      </c>
      <c r="P310" s="85" t="n">
        <f aca="false">SUM('план на 2016'!$L311:P311)-SUM('членские взносы'!$M309:P309)</f>
        <v>33200</v>
      </c>
      <c r="Q310" s="85" t="n">
        <f aca="false">SUM('план на 2016'!$L311:Q311)-SUM('членские взносы'!$M309:Q309)</f>
        <v>34000</v>
      </c>
      <c r="R310" s="85" t="n">
        <f aca="false">SUM('план на 2016'!$L311:R311)-SUM('членские взносы'!$M309:R309)</f>
        <v>34800</v>
      </c>
      <c r="S310" s="85" t="n">
        <f aca="false">SUM('план на 2016'!$L311:S311)-SUM('членские взносы'!$M309:S309)</f>
        <v>35600</v>
      </c>
      <c r="T310" s="85" t="n">
        <f aca="false">SUM('план на 2016'!$L311:T311)-SUM('членские взносы'!$M309:T309)</f>
        <v>36400</v>
      </c>
      <c r="U310" s="85" t="n">
        <f aca="false">SUM('план на 2016'!$L311:U311)-SUM('членские взносы'!$M309:U309)</f>
        <v>12200</v>
      </c>
      <c r="V310" s="85" t="n">
        <f aca="false">SUM('план на 2016'!$L311:V311)-SUM('членские взносы'!$M309:V309)</f>
        <v>13000</v>
      </c>
      <c r="W310" s="85" t="n">
        <f aca="false">SUM('план на 2016'!$L311:W311)-SUM('членские взносы'!$M309:W309)</f>
        <v>13800</v>
      </c>
      <c r="X310" s="85" t="n">
        <f aca="false">SUM('план на 2016'!$L311:X311)-SUM('членские взносы'!$M309:X309)</f>
        <v>14600</v>
      </c>
      <c r="Y310" s="59" t="n">
        <f aca="false">X310</f>
        <v>14600</v>
      </c>
    </row>
    <row collapsed="false" customFormat="false" customHeight="false" hidden="false" ht="15" outlineLevel="0" r="311">
      <c r="A311" s="19" t="n">
        <f aca="false">VLOOKUP(B311,справочник!$B$2:$E$322,4,0)</f>
        <v>77</v>
      </c>
      <c r="B311" s="0" t="e">
        <f aca="false">CONCATENATE(C311;D311)</f>
        <v>#VALUE!</v>
      </c>
      <c r="C311" s="24" t="n">
        <v>83</v>
      </c>
      <c r="D311" s="29" t="s">
        <v>54</v>
      </c>
      <c r="E311" s="24" t="s">
        <v>669</v>
      </c>
      <c r="F311" s="30" t="n">
        <v>40932</v>
      </c>
      <c r="G311" s="30" t="n">
        <v>40909</v>
      </c>
      <c r="H311" s="31" t="n">
        <f aca="false">INT(($H$326-G311)/30)</f>
        <v>48</v>
      </c>
      <c r="I311" s="24" t="n">
        <f aca="false">H311*1000</f>
        <v>48000</v>
      </c>
      <c r="J311" s="31" t="n">
        <v>15000</v>
      </c>
      <c r="K311" s="31"/>
      <c r="L311" s="59" t="n">
        <f aca="false">I311-J311-K311</f>
        <v>33000</v>
      </c>
      <c r="M311" s="85" t="n">
        <f aca="false">SUM('план на 2016'!$L312:M312)-SUM('членские взносы'!$M310:M310)</f>
        <v>33800</v>
      </c>
      <c r="N311" s="85" t="n">
        <f aca="false">SUM('план на 2016'!$L312:N312)-SUM('членские взносы'!$M310:N310)</f>
        <v>34600</v>
      </c>
      <c r="O311" s="85" t="n">
        <f aca="false">SUM('план на 2016'!$L312:O312)-SUM('членские взносы'!$M310:O310)</f>
        <v>35400</v>
      </c>
      <c r="P311" s="85" t="n">
        <f aca="false">SUM('план на 2016'!$L312:P312)-SUM('членские взносы'!$M310:P310)</f>
        <v>36200</v>
      </c>
      <c r="Q311" s="85" t="n">
        <f aca="false">SUM('план на 2016'!$L312:Q312)-SUM('членские взносы'!$M310:Q310)</f>
        <v>37000</v>
      </c>
      <c r="R311" s="85" t="n">
        <f aca="false">SUM('план на 2016'!$L312:R312)-SUM('членские взносы'!$M310:R310)</f>
        <v>37800</v>
      </c>
      <c r="S311" s="85" t="n">
        <f aca="false">SUM('план на 2016'!$L312:S312)-SUM('членские взносы'!$M310:S310)</f>
        <v>38600</v>
      </c>
      <c r="T311" s="85" t="n">
        <f aca="false">SUM('план на 2016'!$L312:T312)-SUM('членские взносы'!$M310:T310)</f>
        <v>39400</v>
      </c>
      <c r="U311" s="85" t="n">
        <f aca="false">SUM('план на 2016'!$L312:U312)-SUM('членские взносы'!$M310:U310)</f>
        <v>40200</v>
      </c>
      <c r="V311" s="85" t="n">
        <f aca="false">SUM('план на 2016'!$L312:V312)-SUM('членские взносы'!$M310:V310)</f>
        <v>41000</v>
      </c>
      <c r="W311" s="85" t="n">
        <f aca="false">SUM('план на 2016'!$L312:W312)-SUM('членские взносы'!$M310:W310)</f>
        <v>41800</v>
      </c>
      <c r="X311" s="85" t="n">
        <f aca="false">SUM('план на 2016'!$L312:X312)-SUM('членские взносы'!$M310:X310)</f>
        <v>42600</v>
      </c>
      <c r="Y311" s="59" t="n">
        <f aca="false">X311</f>
        <v>42600</v>
      </c>
    </row>
    <row collapsed="false" customFormat="false" customHeight="true" hidden="false" ht="25.5" outlineLevel="0" r="312">
      <c r="A312" s="19" t="n">
        <f aca="false">VLOOKUP(B312,справочник!$B$2:$E$322,4,0)</f>
        <v>306</v>
      </c>
      <c r="B312" s="0" t="e">
        <f aca="false">CONCATENATE(C312;D312)</f>
        <v>#VALUE!</v>
      </c>
      <c r="C312" s="24" t="n">
        <v>321</v>
      </c>
      <c r="D312" s="29" t="s">
        <v>57</v>
      </c>
      <c r="E312" s="24" t="s">
        <v>670</v>
      </c>
      <c r="F312" s="30" t="n">
        <v>41093</v>
      </c>
      <c r="G312" s="30" t="n">
        <v>41091</v>
      </c>
      <c r="H312" s="31" t="n">
        <f aca="false">INT(($H$326-G312)/30)</f>
        <v>42</v>
      </c>
      <c r="I312" s="24" t="n">
        <f aca="false">H312*1000</f>
        <v>42000</v>
      </c>
      <c r="J312" s="31" t="n">
        <v>11000</v>
      </c>
      <c r="K312" s="31"/>
      <c r="L312" s="59" t="n">
        <f aca="false">I312-J312-K312</f>
        <v>31000</v>
      </c>
      <c r="M312" s="85" t="n">
        <f aca="false">SUM('план на 2016'!$L313:M313)-SUM('членские взносы'!$M311:M311)</f>
        <v>31800</v>
      </c>
      <c r="N312" s="85" t="n">
        <f aca="false">SUM('план на 2016'!$L313:N313)-SUM('членские взносы'!$M311:N311)</f>
        <v>32600</v>
      </c>
      <c r="O312" s="85" t="n">
        <f aca="false">SUM('план на 2016'!$L313:O313)-SUM('членские взносы'!$M311:O311)</f>
        <v>33400</v>
      </c>
      <c r="P312" s="85" t="n">
        <f aca="false">SUM('план на 2016'!$L313:P313)-SUM('членские взносы'!$M311:P311)</f>
        <v>34200</v>
      </c>
      <c r="Q312" s="85" t="n">
        <f aca="false">SUM('план на 2016'!$L313:Q313)-SUM('членские взносы'!$M311:Q311)</f>
        <v>35000</v>
      </c>
      <c r="R312" s="85" t="n">
        <f aca="false">SUM('план на 2016'!$L313:R313)-SUM('членские взносы'!$M311:R311)</f>
        <v>35800</v>
      </c>
      <c r="S312" s="85" t="n">
        <f aca="false">SUM('план на 2016'!$L313:S313)-SUM('членские взносы'!$M311:S311)</f>
        <v>36600</v>
      </c>
      <c r="T312" s="85" t="n">
        <f aca="false">SUM('план на 2016'!$L313:T313)-SUM('членские взносы'!$M311:T311)</f>
        <v>37400</v>
      </c>
      <c r="U312" s="85" t="n">
        <f aca="false">SUM('план на 2016'!$L313:U313)-SUM('членские взносы'!$M311:U311)</f>
        <v>38200</v>
      </c>
      <c r="V312" s="85" t="n">
        <f aca="false">SUM('план на 2016'!$L313:V313)-SUM('членские взносы'!$M311:V311)</f>
        <v>39000</v>
      </c>
      <c r="W312" s="85" t="n">
        <f aca="false">SUM('план на 2016'!$L313:W313)-SUM('членские взносы'!$M311:W311)</f>
        <v>39800</v>
      </c>
      <c r="X312" s="85" t="n">
        <f aca="false">SUM('план на 2016'!$L313:X313)-SUM('членские взносы'!$M311:X311)</f>
        <v>40600</v>
      </c>
      <c r="Y312" s="59" t="n">
        <f aca="false">X312</f>
        <v>40600</v>
      </c>
    </row>
    <row collapsed="false" customFormat="false" customHeight="true" hidden="false" ht="25.5" outlineLevel="0" r="313">
      <c r="A313" s="19" t="n">
        <f aca="false">VLOOKUP(B313,справочник!$B$2:$E$322,4,0)</f>
        <v>182</v>
      </c>
      <c r="B313" s="0" t="e">
        <f aca="false">CONCATENATE(C313;D313)</f>
        <v>#VALUE!</v>
      </c>
      <c r="C313" s="24" t="n">
        <v>190</v>
      </c>
      <c r="D313" s="29" t="s">
        <v>251</v>
      </c>
      <c r="E313" s="24" t="s">
        <v>671</v>
      </c>
      <c r="F313" s="30" t="n">
        <v>41734</v>
      </c>
      <c r="G313" s="30" t="n">
        <v>41760</v>
      </c>
      <c r="H313" s="31" t="n">
        <f aca="false">INT(($H$326-G313)/30)</f>
        <v>20</v>
      </c>
      <c r="I313" s="24" t="n">
        <f aca="false">H313*1000</f>
        <v>20000</v>
      </c>
      <c r="J313" s="31" t="n">
        <v>14000</v>
      </c>
      <c r="K313" s="31"/>
      <c r="L313" s="59" t="n">
        <f aca="false">I313-J313-K313</f>
        <v>6000</v>
      </c>
      <c r="M313" s="85" t="n">
        <f aca="false">SUM('план на 2016'!$L314:M314)-SUM('членские взносы'!$M312:M312)</f>
        <v>6800</v>
      </c>
      <c r="N313" s="85" t="n">
        <f aca="false">SUM('план на 2016'!$L314:N314)-SUM('членские взносы'!$M312:N312)</f>
        <v>7600</v>
      </c>
      <c r="O313" s="85" t="n">
        <f aca="false">SUM('план на 2016'!$L314:O314)-SUM('членские взносы'!$M312:O312)</f>
        <v>8400</v>
      </c>
      <c r="P313" s="85" t="n">
        <f aca="false">SUM('план на 2016'!$L314:P314)-SUM('членские взносы'!$M312:P312)</f>
        <v>9200</v>
      </c>
      <c r="Q313" s="85" t="n">
        <f aca="false">SUM('план на 2016'!$L314:Q314)-SUM('членские взносы'!$M312:Q312)</f>
        <v>800</v>
      </c>
      <c r="R313" s="85" t="n">
        <f aca="false">SUM('план на 2016'!$L314:R314)-SUM('членские взносы'!$M312:R312)</f>
        <v>1600</v>
      </c>
      <c r="S313" s="85" t="n">
        <f aca="false">SUM('план на 2016'!$L314:S314)-SUM('членские взносы'!$M312:S312)</f>
        <v>2400</v>
      </c>
      <c r="T313" s="85" t="n">
        <f aca="false">SUM('план на 2016'!$L314:T314)-SUM('членские взносы'!$M312:T312)</f>
        <v>3200</v>
      </c>
      <c r="U313" s="85" t="n">
        <f aca="false">SUM('план на 2016'!$L314:U314)-SUM('членские взносы'!$M312:U312)</f>
        <v>4000</v>
      </c>
      <c r="V313" s="85" t="n">
        <f aca="false">SUM('план на 2016'!$L314:V314)-SUM('членские взносы'!$M312:V312)</f>
        <v>4800</v>
      </c>
      <c r="W313" s="85" t="n">
        <f aca="false">SUM('план на 2016'!$L314:W314)-SUM('членские взносы'!$M312:W312)</f>
        <v>5600</v>
      </c>
      <c r="X313" s="85" t="n">
        <f aca="false">SUM('план на 2016'!$L314:X314)-SUM('членские взносы'!$M312:X312)</f>
        <v>6400</v>
      </c>
      <c r="Y313" s="59" t="n">
        <f aca="false">X313</f>
        <v>6400</v>
      </c>
    </row>
    <row collapsed="false" customFormat="false" customHeight="false" hidden="false" ht="15" outlineLevel="0" r="314">
      <c r="A314" s="19" t="n">
        <f aca="false">VLOOKUP(B314,справочник!$B$2:$E$322,4,0)</f>
        <v>95</v>
      </c>
      <c r="B314" s="0" t="e">
        <f aca="false">CONCATENATE(C314;D314)</f>
        <v>#VALUE!</v>
      </c>
      <c r="C314" s="24" t="n">
        <v>100</v>
      </c>
      <c r="D314" s="29" t="s">
        <v>269</v>
      </c>
      <c r="E314" s="24" t="s">
        <v>672</v>
      </c>
      <c r="F314" s="30" t="n">
        <v>41401</v>
      </c>
      <c r="G314" s="30" t="n">
        <v>41609</v>
      </c>
      <c r="H314" s="31" t="n">
        <f aca="false">INT(($H$326-G314)/30)</f>
        <v>25</v>
      </c>
      <c r="I314" s="24" t="n">
        <f aca="false">H314*1000</f>
        <v>25000</v>
      </c>
      <c r="J314" s="31" t="n">
        <v>20000</v>
      </c>
      <c r="K314" s="31"/>
      <c r="L314" s="59" t="n">
        <f aca="false">I314-J314-K314</f>
        <v>5000</v>
      </c>
      <c r="M314" s="85" t="n">
        <f aca="false">SUM('план на 2016'!$L315:M315)-SUM('членские взносы'!$M313:M313)</f>
        <v>5800</v>
      </c>
      <c r="N314" s="85" t="n">
        <f aca="false">SUM('план на 2016'!$L315:N315)-SUM('членские взносы'!$M313:N313)</f>
        <v>6600</v>
      </c>
      <c r="O314" s="85" t="n">
        <f aca="false">SUM('план на 2016'!$L315:O315)-SUM('членские взносы'!$M313:O313)</f>
        <v>7400</v>
      </c>
      <c r="P314" s="85" t="n">
        <f aca="false">SUM('план на 2016'!$L315:P315)-SUM('членские взносы'!$M313:P313)</f>
        <v>8200</v>
      </c>
      <c r="Q314" s="85" t="n">
        <f aca="false">SUM('план на 2016'!$L315:Q315)-SUM('членские взносы'!$M313:Q313)</f>
        <v>9000</v>
      </c>
      <c r="R314" s="85" t="n">
        <f aca="false">SUM('план на 2016'!$L315:R315)-SUM('членские взносы'!$M313:R313)</f>
        <v>800</v>
      </c>
      <c r="S314" s="85" t="n">
        <f aca="false">SUM('план на 2016'!$L315:S315)-SUM('членские взносы'!$M313:S313)</f>
        <v>1600</v>
      </c>
      <c r="T314" s="85" t="n">
        <f aca="false">SUM('план на 2016'!$L315:T315)-SUM('членские взносы'!$M313:T313)</f>
        <v>2400</v>
      </c>
      <c r="U314" s="85" t="n">
        <f aca="false">SUM('план на 2016'!$L315:U315)-SUM('членские взносы'!$M313:U313)</f>
        <v>3200</v>
      </c>
      <c r="V314" s="85" t="n">
        <f aca="false">SUM('план на 2016'!$L315:V315)-SUM('членские взносы'!$M313:V313)</f>
        <v>4000</v>
      </c>
      <c r="W314" s="85" t="n">
        <f aca="false">SUM('план на 2016'!$L315:W315)-SUM('членские взносы'!$M313:W313)</f>
        <v>4800</v>
      </c>
      <c r="X314" s="85" t="n">
        <f aca="false">SUM('план на 2016'!$L315:X315)-SUM('членские взносы'!$M313:X313)</f>
        <v>5600</v>
      </c>
      <c r="Y314" s="59" t="n">
        <f aca="false">X314</f>
        <v>5600</v>
      </c>
    </row>
    <row collapsed="false" customFormat="false" customHeight="false" hidden="false" ht="15" outlineLevel="0" r="315">
      <c r="A315" s="19" t="n">
        <f aca="false">VLOOKUP(B315,справочник!$B$2:$E$322,4,0)</f>
        <v>108</v>
      </c>
      <c r="B315" s="0" t="e">
        <f aca="false">CONCATENATE(C315;D315)</f>
        <v>#VALUE!</v>
      </c>
      <c r="C315" s="24" t="n">
        <v>113</v>
      </c>
      <c r="D315" s="29" t="s">
        <v>285</v>
      </c>
      <c r="E315" s="24" t="s">
        <v>673</v>
      </c>
      <c r="F315" s="30" t="n">
        <v>40938</v>
      </c>
      <c r="G315" s="30" t="n">
        <v>40940</v>
      </c>
      <c r="H315" s="31" t="n">
        <f aca="false">INT(($H$326-G315)/30)</f>
        <v>47</v>
      </c>
      <c r="I315" s="24" t="n">
        <f aca="false">H315*1000</f>
        <v>47000</v>
      </c>
      <c r="J315" s="31" t="n">
        <f aca="false">24000+11000</f>
        <v>35000</v>
      </c>
      <c r="K315" s="31" t="n">
        <v>8000</v>
      </c>
      <c r="L315" s="59" t="n">
        <f aca="false">I315-J315-K315</f>
        <v>4000</v>
      </c>
      <c r="M315" s="85" t="n">
        <f aca="false">SUM('план на 2016'!$L316:M316)-SUM('членские взносы'!$M314:M314)</f>
        <v>4800</v>
      </c>
      <c r="N315" s="85" t="n">
        <f aca="false">SUM('план на 2016'!$L316:N316)-SUM('членские взносы'!$M314:N314)</f>
        <v>1600</v>
      </c>
      <c r="O315" s="85" t="n">
        <f aca="false">SUM('план на 2016'!$L316:O316)-SUM('членские взносы'!$M314:O314)</f>
        <v>0</v>
      </c>
      <c r="P315" s="85" t="n">
        <f aca="false">SUM('план на 2016'!$L316:P316)-SUM('членские взносы'!$M314:P314)</f>
        <v>800</v>
      </c>
      <c r="Q315" s="85" t="n">
        <f aca="false">SUM('план на 2016'!$L316:Q316)-SUM('членские взносы'!$M314:Q314)</f>
        <v>1600</v>
      </c>
      <c r="R315" s="85" t="n">
        <f aca="false">SUM('план на 2016'!$L316:R316)-SUM('членские взносы'!$M314:R314)</f>
        <v>0</v>
      </c>
      <c r="S315" s="85" t="n">
        <f aca="false">SUM('план на 2016'!$L316:S316)-SUM('членские взносы'!$M314:S314)</f>
        <v>800</v>
      </c>
      <c r="T315" s="85" t="n">
        <f aca="false">SUM('план на 2016'!$L316:T316)-SUM('членские взносы'!$M314:T314)</f>
        <v>1600</v>
      </c>
      <c r="U315" s="85" t="n">
        <f aca="false">SUM('план на 2016'!$L316:U316)-SUM('членские взносы'!$M314:U314)</f>
        <v>0</v>
      </c>
      <c r="V315" s="85" t="n">
        <f aca="false">SUM('план на 2016'!$L316:V316)-SUM('членские взносы'!$M314:V314)</f>
        <v>800</v>
      </c>
      <c r="W315" s="85" t="n">
        <f aca="false">SUM('план на 2016'!$L316:W316)-SUM('членские взносы'!$M314:W314)</f>
        <v>1600</v>
      </c>
      <c r="X315" s="85" t="n">
        <f aca="false">SUM('план на 2016'!$L316:X316)-SUM('членские взносы'!$M314:X314)</f>
        <v>0</v>
      </c>
      <c r="Y315" s="59" t="n">
        <f aca="false">X315</f>
        <v>0</v>
      </c>
    </row>
    <row collapsed="false" customFormat="false" customHeight="false" hidden="false" ht="15" outlineLevel="0" r="316">
      <c r="A316" s="19" t="n">
        <f aca="false">VLOOKUP(B316,справочник!$B$2:$E$322,4,0)</f>
        <v>41</v>
      </c>
      <c r="B316" s="0" t="e">
        <f aca="false">CONCATENATE(C316;D316)</f>
        <v>#VALUE!</v>
      </c>
      <c r="C316" s="24" t="n">
        <v>41</v>
      </c>
      <c r="D316" s="29" t="s">
        <v>122</v>
      </c>
      <c r="E316" s="24" t="s">
        <v>674</v>
      </c>
      <c r="F316" s="30" t="n">
        <v>40772</v>
      </c>
      <c r="G316" s="30" t="n">
        <v>40756</v>
      </c>
      <c r="H316" s="31" t="n">
        <f aca="false">INT(($H$326-G316)/30)</f>
        <v>53</v>
      </c>
      <c r="I316" s="24" t="n">
        <f aca="false">H316*1000</f>
        <v>53000</v>
      </c>
      <c r="J316" s="31" t="n">
        <f aca="false">1000+37000</f>
        <v>38000</v>
      </c>
      <c r="K316" s="31"/>
      <c r="L316" s="59" t="n">
        <f aca="false">I316-J316-K316</f>
        <v>15000</v>
      </c>
      <c r="M316" s="85" t="n">
        <f aca="false">SUM('план на 2016'!$L317:M317)-SUM('членские взносы'!$M315:M315)</f>
        <v>15800</v>
      </c>
      <c r="N316" s="85" t="n">
        <f aca="false">SUM('план на 2016'!$L317:N317)-SUM('членские взносы'!$M315:N315)</f>
        <v>16600</v>
      </c>
      <c r="O316" s="85" t="n">
        <f aca="false">SUM('план на 2016'!$L317:O317)-SUM('членские взносы'!$M315:O315)</f>
        <v>17400</v>
      </c>
      <c r="P316" s="85" t="n">
        <f aca="false">SUM('план на 2016'!$L317:P317)-SUM('членские взносы'!$M315:P315)</f>
        <v>18200</v>
      </c>
      <c r="Q316" s="85" t="n">
        <f aca="false">SUM('план на 2016'!$L317:Q317)-SUM('членские взносы'!$M315:Q315)</f>
        <v>19000</v>
      </c>
      <c r="R316" s="85" t="n">
        <f aca="false">SUM('план на 2016'!$L317:R317)-SUM('членские взносы'!$M315:R315)</f>
        <v>19800</v>
      </c>
      <c r="S316" s="85" t="n">
        <f aca="false">SUM('план на 2016'!$L317:S317)-SUM('членские взносы'!$M315:S315)</f>
        <v>20600</v>
      </c>
      <c r="T316" s="85" t="n">
        <f aca="false">SUM('план на 2016'!$L317:T317)-SUM('членские взносы'!$M315:T315)</f>
        <v>21400</v>
      </c>
      <c r="U316" s="85" t="n">
        <f aca="false">SUM('план на 2016'!$L317:U317)-SUM('членские взносы'!$M315:U315)</f>
        <v>800</v>
      </c>
      <c r="V316" s="85" t="n">
        <f aca="false">SUM('план на 2016'!$L317:V317)-SUM('членские взносы'!$M315:V315)</f>
        <v>1600</v>
      </c>
      <c r="W316" s="85" t="n">
        <f aca="false">SUM('план на 2016'!$L317:W317)-SUM('членские взносы'!$M315:W315)</f>
        <v>2400</v>
      </c>
      <c r="X316" s="85" t="n">
        <f aca="false">SUM('план на 2016'!$L317:X317)-SUM('членские взносы'!$M315:X315)</f>
        <v>3200</v>
      </c>
      <c r="Y316" s="59" t="n">
        <f aca="false">X316</f>
        <v>3200</v>
      </c>
    </row>
    <row collapsed="false" customFormat="false" customHeight="true" hidden="false" ht="25.5" outlineLevel="0" r="317">
      <c r="A317" s="19" t="n">
        <f aca="false">VLOOKUP(B317,справочник!$B$2:$E$322,4,0)</f>
        <v>152</v>
      </c>
      <c r="B317" s="0" t="e">
        <f aca="false">CONCATENATE(C317;D317)</f>
        <v>#VALUE!</v>
      </c>
      <c r="C317" s="24" t="n">
        <v>160</v>
      </c>
      <c r="D317" s="29" t="s">
        <v>185</v>
      </c>
      <c r="E317" s="24" t="s">
        <v>675</v>
      </c>
      <c r="F317" s="30" t="n">
        <v>40850</v>
      </c>
      <c r="G317" s="30" t="n">
        <v>40848</v>
      </c>
      <c r="H317" s="31" t="n">
        <f aca="false">INT(($H$326-G317)/30)</f>
        <v>50</v>
      </c>
      <c r="I317" s="24" t="n">
        <f aca="false">H317*1000</f>
        <v>50000</v>
      </c>
      <c r="J317" s="31" t="n">
        <f aca="false">46000+1000</f>
        <v>47000</v>
      </c>
      <c r="K317" s="31"/>
      <c r="L317" s="59" t="n">
        <f aca="false">I317-J317-K317</f>
        <v>3000</v>
      </c>
      <c r="M317" s="85" t="n">
        <f aca="false">SUM('план на 2016'!$L318:M318)-SUM('членские взносы'!$M316:M316)</f>
        <v>3800</v>
      </c>
      <c r="N317" s="85" t="n">
        <f aca="false">SUM('план на 2016'!$L318:N318)-SUM('членские взносы'!$M316:N316)</f>
        <v>4600</v>
      </c>
      <c r="O317" s="85" t="n">
        <f aca="false">SUM('план на 2016'!$L318:O318)-SUM('членские взносы'!$M316:O316)</f>
        <v>5400</v>
      </c>
      <c r="P317" s="85" t="n">
        <f aca="false">SUM('план на 2016'!$L318:P318)-SUM('членские взносы'!$M316:P316)</f>
        <v>6200</v>
      </c>
      <c r="Q317" s="85" t="n">
        <f aca="false">SUM('план на 2016'!$L318:Q318)-SUM('членские взносы'!$M316:Q316)</f>
        <v>7000</v>
      </c>
      <c r="R317" s="85" t="n">
        <f aca="false">SUM('план на 2016'!$L318:R318)-SUM('членские взносы'!$M316:R316)</f>
        <v>7800</v>
      </c>
      <c r="S317" s="85" t="n">
        <f aca="false">SUM('план на 2016'!$L318:S318)-SUM('членские взносы'!$M316:S316)</f>
        <v>8600</v>
      </c>
      <c r="T317" s="85" t="n">
        <f aca="false">SUM('план на 2016'!$L318:T318)-SUM('членские взносы'!$M316:T316)</f>
        <v>9400</v>
      </c>
      <c r="U317" s="85" t="n">
        <f aca="false">SUM('план на 2016'!$L318:U318)-SUM('членские взносы'!$M316:U316)</f>
        <v>10200</v>
      </c>
      <c r="V317" s="85" t="n">
        <f aca="false">SUM('план на 2016'!$L318:V318)-SUM('членские взносы'!$M316:V316)</f>
        <v>11000</v>
      </c>
      <c r="W317" s="85" t="n">
        <f aca="false">SUM('план на 2016'!$L318:W318)-SUM('членские взносы'!$M316:W316)</f>
        <v>11800</v>
      </c>
      <c r="X317" s="85" t="n">
        <f aca="false">SUM('план на 2016'!$L318:X318)-SUM('членские взносы'!$M316:X316)</f>
        <v>12600</v>
      </c>
      <c r="Y317" s="59" t="n">
        <f aca="false">X317</f>
        <v>12600</v>
      </c>
    </row>
    <row collapsed="false" customFormat="false" customHeight="false" hidden="false" ht="15" outlineLevel="0" r="318">
      <c r="A318" s="19" t="n">
        <f aca="false">VLOOKUP(B318,справочник!$B$2:$E$322,4,0)</f>
        <v>227</v>
      </c>
      <c r="B318" s="0" t="e">
        <f aca="false">CONCATENATE(C318;D318)</f>
        <v>#VALUE!</v>
      </c>
      <c r="C318" s="24" t="n">
        <v>236</v>
      </c>
      <c r="D318" s="29" t="s">
        <v>191</v>
      </c>
      <c r="E318" s="24" t="s">
        <v>676</v>
      </c>
      <c r="F318" s="30" t="n">
        <v>41738</v>
      </c>
      <c r="G318" s="30" t="n">
        <v>41760</v>
      </c>
      <c r="H318" s="31" t="n">
        <f aca="false">INT(($H$326-G318)/30)</f>
        <v>20</v>
      </c>
      <c r="I318" s="24" t="n">
        <f aca="false">H318*1000</f>
        <v>20000</v>
      </c>
      <c r="J318" s="31" t="n">
        <v>9000</v>
      </c>
      <c r="K318" s="31"/>
      <c r="L318" s="59" t="n">
        <f aca="false">I318-J318-K318</f>
        <v>11000</v>
      </c>
      <c r="M318" s="85" t="n">
        <f aca="false">SUM('план на 2016'!$L319:M319)-SUM('членские взносы'!$M317:M317)</f>
        <v>11800</v>
      </c>
      <c r="N318" s="85" t="n">
        <f aca="false">SUM('план на 2016'!$L319:N319)-SUM('членские взносы'!$M317:N317)</f>
        <v>8800</v>
      </c>
      <c r="O318" s="85" t="n">
        <f aca="false">SUM('план на 2016'!$L319:O319)-SUM('членские взносы'!$M317:O317)</f>
        <v>4800</v>
      </c>
      <c r="P318" s="85" t="n">
        <f aca="false">SUM('план на 2016'!$L319:P319)-SUM('членские взносы'!$M317:P317)</f>
        <v>5600</v>
      </c>
      <c r="Q318" s="85" t="n">
        <f aca="false">SUM('план на 2016'!$L319:Q319)-SUM('членские взносы'!$M317:Q317)</f>
        <v>6400</v>
      </c>
      <c r="R318" s="85" t="n">
        <f aca="false">SUM('план на 2016'!$L319:R319)-SUM('членские взносы'!$M317:R317)</f>
        <v>7200</v>
      </c>
      <c r="S318" s="85" t="n">
        <f aca="false">SUM('план на 2016'!$L319:S319)-SUM('членские взносы'!$M317:S317)</f>
        <v>8000</v>
      </c>
      <c r="T318" s="85" t="n">
        <f aca="false">SUM('план на 2016'!$L319:T319)-SUM('членские взносы'!$M317:T317)</f>
        <v>8800</v>
      </c>
      <c r="U318" s="85" t="n">
        <f aca="false">SUM('план на 2016'!$L319:U319)-SUM('членские взносы'!$M317:U317)</f>
        <v>9600</v>
      </c>
      <c r="V318" s="85" t="n">
        <f aca="false">SUM('план на 2016'!$L319:V319)-SUM('членские взносы'!$M317:V317)</f>
        <v>10400</v>
      </c>
      <c r="W318" s="85" t="n">
        <f aca="false">SUM('план на 2016'!$L319:W319)-SUM('членские взносы'!$M317:W317)</f>
        <v>11200</v>
      </c>
      <c r="X318" s="85" t="n">
        <f aca="false">SUM('план на 2016'!$L319:X319)-SUM('членские взносы'!$M317:X317)</f>
        <v>12000</v>
      </c>
      <c r="Y318" s="59" t="n">
        <f aca="false">X318</f>
        <v>12000</v>
      </c>
    </row>
    <row collapsed="false" customFormat="false" customHeight="false" hidden="false" ht="15" outlineLevel="0" r="319">
      <c r="A319" s="19" t="n">
        <f aca="false">VLOOKUP(B319,справочник!$B$2:$E$322,4,0)</f>
        <v>15</v>
      </c>
      <c r="B319" s="0" t="e">
        <f aca="false">CONCATENATE(C319;D319)</f>
        <v>#VALUE!</v>
      </c>
      <c r="C319" s="24" t="n">
        <v>15</v>
      </c>
      <c r="D319" s="29" t="s">
        <v>292</v>
      </c>
      <c r="E319" s="24" t="s">
        <v>677</v>
      </c>
      <c r="F319" s="30" t="n">
        <v>41261</v>
      </c>
      <c r="G319" s="30" t="n">
        <v>41275</v>
      </c>
      <c r="H319" s="31" t="n">
        <f aca="false">INT(($H$326-G319)/30)</f>
        <v>36</v>
      </c>
      <c r="I319" s="24" t="n">
        <f aca="false">H319*1000</f>
        <v>36000</v>
      </c>
      <c r="J319" s="31" t="n">
        <v>32000</v>
      </c>
      <c r="K319" s="31"/>
      <c r="L319" s="59" t="n">
        <f aca="false">I319-J319-K319</f>
        <v>4000</v>
      </c>
      <c r="M319" s="85" t="n">
        <f aca="false">SUM('план на 2016'!$L320:M320)-SUM('членские взносы'!$M318:M318)</f>
        <v>4800</v>
      </c>
      <c r="N319" s="85" t="n">
        <f aca="false">SUM('план на 2016'!$L320:N320)-SUM('членские взносы'!$M318:N318)</f>
        <v>1600</v>
      </c>
      <c r="O319" s="85" t="n">
        <f aca="false">SUM('план на 2016'!$L320:O320)-SUM('членские взносы'!$M318:O318)</f>
        <v>2400</v>
      </c>
      <c r="P319" s="85" t="n">
        <f aca="false">SUM('план на 2016'!$L320:P320)-SUM('членские взносы'!$M318:P318)</f>
        <v>3200</v>
      </c>
      <c r="Q319" s="85" t="n">
        <f aca="false">SUM('план на 2016'!$L320:Q320)-SUM('членские взносы'!$M318:Q318)</f>
        <v>4000</v>
      </c>
      <c r="R319" s="85" t="n">
        <f aca="false">SUM('план на 2016'!$L320:R320)-SUM('членские взносы'!$M318:R318)</f>
        <v>0</v>
      </c>
      <c r="S319" s="85" t="n">
        <f aca="false">SUM('план на 2016'!$L320:S320)-SUM('членские взносы'!$M318:S318)</f>
        <v>800</v>
      </c>
      <c r="T319" s="85" t="n">
        <f aca="false">SUM('план на 2016'!$L320:T320)-SUM('членские взносы'!$M318:T318)</f>
        <v>1600</v>
      </c>
      <c r="U319" s="85" t="n">
        <f aca="false">SUM('план на 2016'!$L320:U320)-SUM('членские взносы'!$M318:U318)</f>
        <v>0</v>
      </c>
      <c r="V319" s="85" t="n">
        <f aca="false">SUM('план на 2016'!$L320:V320)-SUM('членские взносы'!$M318:V318)</f>
        <v>800</v>
      </c>
      <c r="W319" s="85" t="n">
        <f aca="false">SUM('план на 2016'!$L320:W320)-SUM('членские взносы'!$M318:W318)</f>
        <v>1600</v>
      </c>
      <c r="X319" s="85" t="n">
        <f aca="false">SUM('план на 2016'!$L320:X320)-SUM('членские взносы'!$M318:X318)</f>
        <v>2400</v>
      </c>
      <c r="Y319" s="59" t="n">
        <f aca="false">X319</f>
        <v>2400</v>
      </c>
    </row>
    <row collapsed="false" customFormat="false" customHeight="false" hidden="false" ht="15" outlineLevel="0" r="320">
      <c r="A320" s="19" t="n">
        <f aca="false">VLOOKUP(B320,справочник!$B$2:$E$322,4,0)</f>
        <v>240</v>
      </c>
      <c r="B320" s="0" t="e">
        <f aca="false">CONCATENATE(C320;D320)</f>
        <v>#VALUE!</v>
      </c>
      <c r="C320" s="24" t="n">
        <v>251</v>
      </c>
      <c r="D320" s="43" t="s">
        <v>225</v>
      </c>
      <c r="E320" s="24" t="s">
        <v>678</v>
      </c>
      <c r="F320" s="30" t="n">
        <v>40799</v>
      </c>
      <c r="G320" s="30" t="n">
        <v>40787</v>
      </c>
      <c r="H320" s="31" t="n">
        <f aca="false">INT(($H$326-G320)/30)</f>
        <v>52</v>
      </c>
      <c r="I320" s="24" t="n">
        <f aca="false">H320*1000</f>
        <v>52000</v>
      </c>
      <c r="J320" s="31" t="n">
        <f aca="false">1000+49000</f>
        <v>50000</v>
      </c>
      <c r="K320" s="31" t="n">
        <v>3000</v>
      </c>
      <c r="L320" s="59" t="n">
        <f aca="false">I320-J320-K320</f>
        <v>-1000</v>
      </c>
      <c r="M320" s="85" t="n">
        <f aca="false">SUM('план на 2016'!$L321:M321)-SUM('членские взносы'!$M319:M319)</f>
        <v>-200</v>
      </c>
      <c r="N320" s="85" t="n">
        <f aca="false">SUM('план на 2016'!$L321:N321)-SUM('членские взносы'!$M319:N319)</f>
        <v>600</v>
      </c>
      <c r="O320" s="85" t="n">
        <f aca="false">SUM('план на 2016'!$L321:O321)-SUM('членские взносы'!$M319:O319)</f>
        <v>1400</v>
      </c>
      <c r="P320" s="85" t="n">
        <f aca="false">SUM('план на 2016'!$L321:P321)-SUM('членские взносы'!$M319:P319)</f>
        <v>2200</v>
      </c>
      <c r="Q320" s="85" t="n">
        <f aca="false">SUM('план на 2016'!$L321:Q321)-SUM('членские взносы'!$M319:Q319)</f>
        <v>3000</v>
      </c>
      <c r="R320" s="85" t="n">
        <f aca="false">SUM('план на 2016'!$L321:R321)-SUM('членские взносы'!$M319:R319)</f>
        <v>3800</v>
      </c>
      <c r="S320" s="85" t="n">
        <f aca="false">SUM('план на 2016'!$L321:S321)-SUM('членские взносы'!$M319:S319)</f>
        <v>4600</v>
      </c>
      <c r="T320" s="85" t="n">
        <f aca="false">SUM('план на 2016'!$L321:T321)-SUM('членские взносы'!$M319:T319)</f>
        <v>5400</v>
      </c>
      <c r="U320" s="85" t="n">
        <f aca="false">SUM('план на 2016'!$L321:U321)-SUM('членские взносы'!$M319:U319)</f>
        <v>1200</v>
      </c>
      <c r="V320" s="85" t="n">
        <f aca="false">SUM('план на 2016'!$L321:V321)-SUM('членские взносы'!$M319:V319)</f>
        <v>2000</v>
      </c>
      <c r="W320" s="85" t="n">
        <f aca="false">SUM('план на 2016'!$L321:W321)-SUM('членские взносы'!$M319:W319)</f>
        <v>1200</v>
      </c>
      <c r="X320" s="85" t="n">
        <f aca="false">SUM('план на 2016'!$L321:X321)-SUM('членские взносы'!$M319:X319)</f>
        <v>2000</v>
      </c>
      <c r="Y320" s="59" t="n">
        <f aca="false">X320</f>
        <v>2000</v>
      </c>
    </row>
    <row collapsed="false" customFormat="false" customHeight="false" hidden="false" ht="15" outlineLevel="0" r="321">
      <c r="A321" s="19" t="n">
        <f aca="false">VLOOKUP(B321,справочник!$B$2:$E$322,4,0)</f>
        <v>10</v>
      </c>
      <c r="B321" s="0" t="e">
        <f aca="false">CONCATENATE(C321;D321)</f>
        <v>#VALUE!</v>
      </c>
      <c r="C321" s="24" t="n">
        <v>10</v>
      </c>
      <c r="D321" s="29" t="s">
        <v>221</v>
      </c>
      <c r="E321" s="24" t="s">
        <v>679</v>
      </c>
      <c r="F321" s="30" t="n">
        <v>42023</v>
      </c>
      <c r="G321" s="24"/>
      <c r="H321" s="31" t="n">
        <v>0</v>
      </c>
      <c r="I321" s="24" t="n">
        <f aca="false">H321*1000</f>
        <v>0</v>
      </c>
      <c r="J321" s="31"/>
      <c r="K321" s="31"/>
      <c r="L321" s="59" t="n">
        <f aca="false">I321-J321-K321</f>
        <v>0</v>
      </c>
      <c r="M321" s="85" t="n">
        <f aca="false">SUM('план на 2016'!$L322:M322)-SUM('членские взносы'!$M320:M320)</f>
        <v>800</v>
      </c>
      <c r="N321" s="85" t="n">
        <f aca="false">SUM('план на 2016'!$L322:N322)-SUM('членские взносы'!$M320:N320)</f>
        <v>1600</v>
      </c>
      <c r="O321" s="85" t="n">
        <f aca="false">SUM('план на 2016'!$L322:O322)-SUM('членские взносы'!$M320:O320)</f>
        <v>2400</v>
      </c>
      <c r="P321" s="85" t="n">
        <f aca="false">SUM('план на 2016'!$L322:P322)-SUM('членские взносы'!$M320:P320)</f>
        <v>3200</v>
      </c>
      <c r="Q321" s="85" t="n">
        <f aca="false">SUM('план на 2016'!$L322:Q322)-SUM('членские взносы'!$M320:Q320)</f>
        <v>4000</v>
      </c>
      <c r="R321" s="85" t="n">
        <f aca="false">SUM('план на 2016'!$L322:R322)-SUM('членские взносы'!$M320:R320)</f>
        <v>4800</v>
      </c>
      <c r="S321" s="85" t="n">
        <f aca="false">SUM('план на 2016'!$L322:S322)-SUM('членские взносы'!$M320:S320)</f>
        <v>5600</v>
      </c>
      <c r="T321" s="85" t="n">
        <f aca="false">SUM('план на 2016'!$L322:T322)-SUM('членские взносы'!$M320:T320)</f>
        <v>6400</v>
      </c>
      <c r="U321" s="85" t="n">
        <f aca="false">SUM('план на 2016'!$L322:U322)-SUM('членские взносы'!$M320:U320)</f>
        <v>7200</v>
      </c>
      <c r="V321" s="85" t="n">
        <f aca="false">SUM('план на 2016'!$L322:V322)-SUM('членские взносы'!$M320:V320)</f>
        <v>8000</v>
      </c>
      <c r="W321" s="85" t="n">
        <f aca="false">SUM('план на 2016'!$L322:W322)-SUM('членские взносы'!$M320:W320)</f>
        <v>8800</v>
      </c>
      <c r="X321" s="85" t="n">
        <f aca="false">SUM('план на 2016'!$L322:X322)-SUM('членские взносы'!$M320:X320)</f>
        <v>9600</v>
      </c>
      <c r="Y321" s="59" t="n">
        <f aca="false">X321</f>
        <v>9600</v>
      </c>
    </row>
    <row collapsed="false" customFormat="false" customHeight="false" hidden="false" ht="15" outlineLevel="0" r="322">
      <c r="A322" s="19" t="n">
        <f aca="false">VLOOKUP(B322,справочник!$B$2:$E$322,4,0)</f>
        <v>55</v>
      </c>
      <c r="B322" s="0" t="e">
        <f aca="false">CONCATENATE(C322;D322)</f>
        <v>#VALUE!</v>
      </c>
      <c r="C322" s="24" t="n">
        <v>57</v>
      </c>
      <c r="D322" s="29" t="s">
        <v>313</v>
      </c>
      <c r="E322" s="24" t="s">
        <v>680</v>
      </c>
      <c r="F322" s="30" t="n">
        <v>40772</v>
      </c>
      <c r="G322" s="30" t="n">
        <v>40756</v>
      </c>
      <c r="H322" s="31" t="n">
        <f aca="false">INT(($H$326-G322)/30)</f>
        <v>53</v>
      </c>
      <c r="I322" s="24" t="n">
        <f aca="false">H322*1000</f>
        <v>53000</v>
      </c>
      <c r="J322" s="31" t="n">
        <f aca="false">1000+53000</f>
        <v>54000</v>
      </c>
      <c r="K322" s="31" t="n">
        <v>3000</v>
      </c>
      <c r="L322" s="59" t="n">
        <f aca="false">I322-J322-K322</f>
        <v>-4000</v>
      </c>
      <c r="M322" s="85" t="n">
        <f aca="false">SUM('план на 2016'!$L323:M323)-SUM('членские взносы'!$M321:M321)</f>
        <v>-3200</v>
      </c>
      <c r="N322" s="85" t="n">
        <f aca="false">SUM('план на 2016'!$L323:N323)-SUM('членские взносы'!$M321:N321)</f>
        <v>-2400</v>
      </c>
      <c r="O322" s="85" t="n">
        <f aca="false">SUM('план на 2016'!$L323:O323)-SUM('членские взносы'!$M321:O321)</f>
        <v>-4800</v>
      </c>
      <c r="P322" s="85" t="n">
        <f aca="false">SUM('план на 2016'!$L323:P323)-SUM('членские взносы'!$M321:P321)</f>
        <v>-4000</v>
      </c>
      <c r="Q322" s="85" t="n">
        <f aca="false">SUM('план на 2016'!$L323:Q323)-SUM('членские взносы'!$M321:Q321)</f>
        <v>-3200</v>
      </c>
      <c r="R322" s="85" t="n">
        <f aca="false">SUM('план на 2016'!$L323:R323)-SUM('членские взносы'!$M321:R321)</f>
        <v>-2400</v>
      </c>
      <c r="S322" s="85" t="n">
        <f aca="false">SUM('план на 2016'!$L323:S323)-SUM('членские взносы'!$M321:S321)</f>
        <v>-4800</v>
      </c>
      <c r="T322" s="85" t="n">
        <f aca="false">SUM('план на 2016'!$L323:T323)-SUM('членские взносы'!$M321:T321)</f>
        <v>-4000</v>
      </c>
      <c r="U322" s="85" t="n">
        <f aca="false">SUM('план на 2016'!$L323:U323)-SUM('членские взносы'!$M321:U321)</f>
        <v>-3200</v>
      </c>
      <c r="V322" s="85" t="n">
        <f aca="false">SUM('план на 2016'!$L323:V323)-SUM('членские взносы'!$M321:V321)</f>
        <v>-2400</v>
      </c>
      <c r="W322" s="85" t="n">
        <f aca="false">SUM('план на 2016'!$L323:W323)-SUM('членские взносы'!$M321:W321)</f>
        <v>-4800</v>
      </c>
      <c r="X322" s="85" t="n">
        <f aca="false">SUM('план на 2016'!$L323:X323)-SUM('членские взносы'!$M321:X321)</f>
        <v>-4000</v>
      </c>
      <c r="Y322" s="59" t="n">
        <f aca="false">X322</f>
        <v>-4000</v>
      </c>
    </row>
    <row collapsed="false" customFormat="false" customHeight="false" hidden="false" ht="15" outlineLevel="0" r="323">
      <c r="A323" s="19" t="n">
        <f aca="false">VLOOKUP(B323,справочник!$B$2:$E$322,4,0)</f>
        <v>309</v>
      </c>
      <c r="B323" s="0" t="e">
        <f aca="false">CONCATENATE(C323;D323)</f>
        <v>#VALUE!</v>
      </c>
      <c r="C323" s="24" t="n">
        <v>324</v>
      </c>
      <c r="D323" s="29" t="s">
        <v>82</v>
      </c>
      <c r="E323" s="24" t="s">
        <v>681</v>
      </c>
      <c r="F323" s="30" t="n">
        <v>41002</v>
      </c>
      <c r="G323" s="30" t="n">
        <v>41000</v>
      </c>
      <c r="H323" s="31" t="n">
        <f aca="false">INT(($H$326-G323)/30)</f>
        <v>45</v>
      </c>
      <c r="I323" s="24" t="n">
        <f aca="false">H323*1000</f>
        <v>45000</v>
      </c>
      <c r="J323" s="31" t="n">
        <f aca="false">17000+1000</f>
        <v>18000</v>
      </c>
      <c r="K323" s="31" t="n">
        <v>5000</v>
      </c>
      <c r="L323" s="59" t="n">
        <f aca="false">I323-J323-K323</f>
        <v>22000</v>
      </c>
      <c r="M323" s="85" t="n">
        <f aca="false">SUM('план на 2016'!$L324:M324)-SUM('членские взносы'!$M322:M322)</f>
        <v>22800</v>
      </c>
      <c r="N323" s="85" t="n">
        <f aca="false">SUM('план на 2016'!$L324:N324)-SUM('членские взносы'!$M322:N322)</f>
        <v>23600</v>
      </c>
      <c r="O323" s="85" t="n">
        <f aca="false">SUM('план на 2016'!$L324:O324)-SUM('членские взносы'!$M322:O322)</f>
        <v>24400</v>
      </c>
      <c r="P323" s="85" t="n">
        <f aca="false">SUM('план на 2016'!$L324:P324)-SUM('членские взносы'!$M322:P322)</f>
        <v>25200</v>
      </c>
      <c r="Q323" s="85" t="n">
        <f aca="false">SUM('план на 2016'!$L324:Q324)-SUM('членские взносы'!$M322:Q322)</f>
        <v>26000</v>
      </c>
      <c r="R323" s="85" t="n">
        <f aca="false">SUM('план на 2016'!$L324:R324)-SUM('членские взносы'!$M322:R322)</f>
        <v>26800</v>
      </c>
      <c r="S323" s="85" t="n">
        <f aca="false">SUM('план на 2016'!$L324:S324)-SUM('членские взносы'!$M322:S322)</f>
        <v>27600</v>
      </c>
      <c r="T323" s="85" t="n">
        <f aca="false">SUM('план на 2016'!$L324:T324)-SUM('членские взносы'!$M322:T322)</f>
        <v>28400</v>
      </c>
      <c r="U323" s="85" t="n">
        <f aca="false">SUM('план на 2016'!$L324:U324)-SUM('членские взносы'!$M322:U322)</f>
        <v>29200</v>
      </c>
      <c r="V323" s="85" t="n">
        <f aca="false">SUM('план на 2016'!$L324:V324)-SUM('членские взносы'!$M322:V322)</f>
        <v>30000</v>
      </c>
      <c r="W323" s="85" t="n">
        <f aca="false">SUM('план на 2016'!$L324:W324)-SUM('членские взносы'!$M322:W322)</f>
        <v>30800</v>
      </c>
      <c r="X323" s="85" t="n">
        <f aca="false">SUM('план на 2016'!$L324:X324)-SUM('членские взносы'!$M322:X322)</f>
        <v>31600</v>
      </c>
      <c r="Y323" s="59" t="n">
        <f aca="false">X323</f>
        <v>31600</v>
      </c>
    </row>
    <row collapsed="false" customFormat="false" customHeight="false" hidden="false" ht="15" outlineLevel="0" r="324">
      <c r="A324" s="19" t="n">
        <f aca="false">VLOOKUP(B324,справочник!$B$2:$E$322,4,0)</f>
        <v>17</v>
      </c>
      <c r="B324" s="0" t="e">
        <f aca="false">CONCATENATE(C324;D324)</f>
        <v>#VALUE!</v>
      </c>
      <c r="C324" s="24" t="n">
        <v>17</v>
      </c>
      <c r="D324" s="29" t="s">
        <v>239</v>
      </c>
      <c r="E324" s="24" t="s">
        <v>682</v>
      </c>
      <c r="F324" s="30" t="n">
        <v>41254</v>
      </c>
      <c r="G324" s="30" t="n">
        <v>41275</v>
      </c>
      <c r="H324" s="31" t="n">
        <f aca="false">INT(($H$326-G324)/30)</f>
        <v>36</v>
      </c>
      <c r="I324" s="24" t="n">
        <f aca="false">H324*1000</f>
        <v>36000</v>
      </c>
      <c r="J324" s="31" t="n">
        <v>31000</v>
      </c>
      <c r="K324" s="31"/>
      <c r="L324" s="59" t="n">
        <f aca="false">I324-J324-K324</f>
        <v>5000</v>
      </c>
      <c r="M324" s="85" t="n">
        <f aca="false">SUM('план на 2016'!$L325:M325)-SUM('членские взносы'!$M323:M323)</f>
        <v>2800</v>
      </c>
      <c r="N324" s="85" t="n">
        <f aca="false">SUM('план на 2016'!$L325:N325)-SUM('членские взносы'!$M323:N323)</f>
        <v>3600</v>
      </c>
      <c r="O324" s="85" t="n">
        <f aca="false">SUM('план на 2016'!$L325:O325)-SUM('членские взносы'!$M323:O323)</f>
        <v>2400</v>
      </c>
      <c r="P324" s="85" t="n">
        <f aca="false">SUM('план на 2016'!$L325:P325)-SUM('членские взносы'!$M323:P323)</f>
        <v>3200</v>
      </c>
      <c r="Q324" s="85" t="n">
        <f aca="false">SUM('план на 2016'!$L325:Q325)-SUM('членские взносы'!$M323:Q323)</f>
        <v>4000</v>
      </c>
      <c r="R324" s="85" t="n">
        <f aca="false">SUM('план на 2016'!$L325:R325)-SUM('членские взносы'!$M323:R323)</f>
        <v>2800</v>
      </c>
      <c r="S324" s="85" t="n">
        <f aca="false">SUM('план на 2016'!$L325:S325)-SUM('членские взносы'!$M323:S323)</f>
        <v>3600</v>
      </c>
      <c r="T324" s="85" t="n">
        <f aca="false">SUM('план на 2016'!$L325:T325)-SUM('членские взносы'!$M323:T323)</f>
        <v>1400</v>
      </c>
      <c r="U324" s="85" t="n">
        <f aca="false">SUM('план на 2016'!$L325:U325)-SUM('членские взносы'!$M323:U323)</f>
        <v>2200</v>
      </c>
      <c r="V324" s="85" t="n">
        <f aca="false">SUM('план на 2016'!$L325:V325)-SUM('членские взносы'!$M323:V323)</f>
        <v>-1600</v>
      </c>
      <c r="W324" s="85" t="n">
        <f aca="false">SUM('план на 2016'!$L325:W325)-SUM('членские взносы'!$M323:W323)</f>
        <v>-800</v>
      </c>
      <c r="X324" s="85" t="n">
        <f aca="false">SUM('план на 2016'!$L325:X325)-SUM('членские взносы'!$M323:X323)</f>
        <v>0</v>
      </c>
      <c r="Y324" s="59" t="n">
        <f aca="false">X324</f>
        <v>0</v>
      </c>
    </row>
    <row collapsed="false" customFormat="false" customHeight="false" hidden="false" ht="15" outlineLevel="0" r="325">
      <c r="A325" s="19" t="n">
        <f aca="false">VLOOKUP(B325,справочник!$B$2:$E$322,4,0)</f>
        <v>40</v>
      </c>
      <c r="B325" s="0" t="e">
        <f aca="false">CONCATENATE(C325;D325)</f>
        <v>#VALUE!</v>
      </c>
      <c r="C325" s="24" t="n">
        <v>40</v>
      </c>
      <c r="D325" s="29" t="s">
        <v>123</v>
      </c>
      <c r="E325" s="24" t="s">
        <v>683</v>
      </c>
      <c r="F325" s="30" t="n">
        <v>40772</v>
      </c>
      <c r="G325" s="30" t="n">
        <v>40756</v>
      </c>
      <c r="H325" s="31" t="n">
        <f aca="false">INT(($H$326-G325)/30)</f>
        <v>53</v>
      </c>
      <c r="I325" s="24" t="n">
        <f aca="false">H325*1000</f>
        <v>53000</v>
      </c>
      <c r="J325" s="31" t="n">
        <f aca="false">1000+37000</f>
        <v>38000</v>
      </c>
      <c r="K325" s="31"/>
      <c r="L325" s="59" t="n">
        <f aca="false">I325-J325-K325</f>
        <v>15000</v>
      </c>
      <c r="M325" s="85" t="n">
        <f aca="false">SUM('план на 2016'!$L326:M326)-SUM('членские взносы'!$M324:M324)</f>
        <v>15800</v>
      </c>
      <c r="N325" s="85" t="n">
        <f aca="false">SUM('план на 2016'!$L326:N326)-SUM('членские взносы'!$M324:N324)</f>
        <v>16600</v>
      </c>
      <c r="O325" s="85" t="n">
        <f aca="false">SUM('план на 2016'!$L326:O326)-SUM('членские взносы'!$M324:O324)</f>
        <v>17400</v>
      </c>
      <c r="P325" s="85" t="n">
        <f aca="false">SUM('план на 2016'!$L326:P326)-SUM('членские взносы'!$M324:P324)</f>
        <v>18200</v>
      </c>
      <c r="Q325" s="85" t="n">
        <f aca="false">SUM('план на 2016'!$L326:Q326)-SUM('членские взносы'!$M324:Q324)</f>
        <v>19000</v>
      </c>
      <c r="R325" s="85" t="n">
        <f aca="false">SUM('план на 2016'!$L326:R326)-SUM('членские взносы'!$M324:R324)</f>
        <v>19800</v>
      </c>
      <c r="S325" s="85" t="n">
        <f aca="false">SUM('план на 2016'!$L326:S326)-SUM('членские взносы'!$M324:S324)</f>
        <v>20600</v>
      </c>
      <c r="T325" s="85" t="n">
        <f aca="false">SUM('план на 2016'!$L326:T326)-SUM('членские взносы'!$M324:T324)</f>
        <v>21400</v>
      </c>
      <c r="U325" s="85" t="n">
        <f aca="false">SUM('план на 2016'!$L326:U326)-SUM('членские взносы'!$M324:U324)</f>
        <v>800</v>
      </c>
      <c r="V325" s="85" t="n">
        <f aca="false">SUM('план на 2016'!$L326:V326)-SUM('членские взносы'!$M324:V324)</f>
        <v>1600</v>
      </c>
      <c r="W325" s="85" t="n">
        <f aca="false">SUM('план на 2016'!$L326:W326)-SUM('членские взносы'!$M324:W324)</f>
        <v>2400</v>
      </c>
      <c r="X325" s="85" t="n">
        <f aca="false">SUM('план на 2016'!$L326:X326)-SUM('членские взносы'!$M324:X324)</f>
        <v>3200</v>
      </c>
      <c r="Y325" s="59" t="n">
        <f aca="false">X325</f>
        <v>3200</v>
      </c>
    </row>
    <row collapsed="false" customFormat="false" customHeight="false" hidden="false" ht="15" outlineLevel="0" r="326">
      <c r="H326" s="54" t="n">
        <v>42369</v>
      </c>
      <c r="M326" s="85" t="e">
        <f aca="false">SUM(M4:M325)</f>
        <v>#VALUE!</v>
      </c>
      <c r="N326" s="85" t="e">
        <f aca="false">SUM(N4:N325)</f>
        <v>#VALUE!</v>
      </c>
      <c r="O326" s="85" t="e">
        <f aca="false">SUM(O4:O325)</f>
        <v>#VALUE!</v>
      </c>
      <c r="P326" s="85" t="e">
        <f aca="false">SUM(P4:P325)</f>
        <v>#VALUE!</v>
      </c>
      <c r="Q326" s="85" t="e">
        <f aca="false">SUM(Q4:Q325)</f>
        <v>#VALUE!</v>
      </c>
      <c r="R326" s="85" t="e">
        <f aca="false">SUM(R4:R325)</f>
        <v>#VALUE!</v>
      </c>
      <c r="S326" s="85" t="e">
        <f aca="false">SUM(S4:S325)</f>
        <v>#VALUE!</v>
      </c>
      <c r="T326" s="85" t="e">
        <f aca="false">SUM(T4:T325)</f>
        <v>#VALUE!</v>
      </c>
      <c r="U326" s="85" t="e">
        <f aca="false">SUM(U4:U325)</f>
        <v>#VALUE!</v>
      </c>
      <c r="V326" s="85" t="e">
        <f aca="false">SUM(V4:V325)</f>
        <v>#VALUE!</v>
      </c>
      <c r="W326" s="85" t="e">
        <f aca="false">SUM(W4:W325)</f>
        <v>#VALUE!</v>
      </c>
      <c r="X326" s="85" t="e">
        <f aca="false">SUM(X4:X325)</f>
        <v>#VALUE!</v>
      </c>
      <c r="Y326" s="85" t="e">
        <f aca="false">SUM(Y4:Y325)</f>
        <v>#VALUE!</v>
      </c>
    </row>
  </sheetData>
  <autoFilter ref="A3:Y326"/>
  <conditionalFormatting sqref="S4:S325">
    <cfRule aboveAverage="0" bottom="0" dxfId="0" equalAverage="0" operator="between" percent="0" priority="2" rank="0" text="" type="cellIs">
      <formula>5000</formula>
      <formula>10000</formula>
    </cfRule>
    <cfRule aboveAverage="0" bottom="0" dxfId="1" equalAverage="0" operator="greaterThan" percent="0" priority="3" rank="0" text="" type="cellIs">
      <formula>10000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Y327"/>
  <sheetViews>
    <sheetView colorId="64" defaultGridColor="true" rightToLeft="false" showFormulas="false" showGridLines="true" showOutlineSymbols="true" showRowColHeaders="true" showZeros="true" tabSelected="false" topLeftCell="A1" view="normal" windowProtection="true" workbookViewId="0" zoomScale="100" zoomScaleNormal="100" zoomScalePageLayoutView="100">
      <pane activePane="bottomRight" state="frozen" topLeftCell="F5" xSplit="5" ySplit="4"/>
      <selection activeCell="A1" activeCellId="0" pane="topLeft" sqref="A1"/>
      <selection activeCell="F1" activeCellId="0" pane="topRight" sqref="F1"/>
      <selection activeCell="A5" activeCellId="0" pane="bottomLeft" sqref="A5"/>
      <selection activeCell="D8" activeCellId="0" pane="bottomRight" sqref="D8"/>
    </sheetView>
  </sheetViews>
  <sheetFormatPr defaultRowHeight="15"/>
  <cols>
    <col collapsed="false" hidden="false" max="2" min="1" style="0" width="8.72959183673469"/>
    <col collapsed="false" hidden="false" max="3" min="3" style="0" width="8.29081632653061"/>
    <col collapsed="false" hidden="false" max="4" min="4" style="0" width="37.5714285714286"/>
    <col collapsed="false" hidden="true" max="5" min="5" style="0" width="0"/>
    <col collapsed="false" hidden="false" max="6" min="6" style="0" width="18.1428571428571"/>
    <col collapsed="false" hidden="false" max="7" min="7" style="0" width="15.5714285714286"/>
    <col collapsed="false" hidden="false" max="8" min="8" style="0" width="13.4285714285714"/>
    <col collapsed="false" hidden="false" max="9" min="9" style="0" width="19.5714285714286"/>
    <col collapsed="false" hidden="false" max="10" min="10" style="0" width="22.0051020408163"/>
    <col collapsed="false" hidden="false" max="11" min="11" style="0" width="12.8622448979592"/>
    <col collapsed="false" hidden="false" max="25" min="12" style="0" width="13.8571428571429"/>
    <col collapsed="false" hidden="false" max="1025" min="26" style="0" width="8.72959183673469"/>
  </cols>
  <sheetData>
    <row collapsed="false" customFormat="false" customHeight="false" hidden="false" ht="15" outlineLevel="0" r="1">
      <c r="C1" s="22" t="s">
        <v>360</v>
      </c>
      <c r="D1" s="22"/>
      <c r="E1" s="22"/>
      <c r="F1" s="22"/>
      <c r="G1" s="22"/>
      <c r="H1" s="23"/>
      <c r="I1" s="22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</row>
    <row collapsed="false" customFormat="false" customHeight="false" hidden="false" ht="15" outlineLevel="0" r="2">
      <c r="C2" s="22" t="s">
        <v>361</v>
      </c>
      <c r="D2" s="22"/>
      <c r="E2" s="22"/>
      <c r="F2" s="22"/>
      <c r="G2" s="22"/>
      <c r="H2" s="23"/>
      <c r="I2" s="22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</row>
    <row collapsed="false" customFormat="false" customHeight="true" hidden="false" ht="15" outlineLevel="0" r="3">
      <c r="C3" s="24" t="s">
        <v>362</v>
      </c>
      <c r="D3" s="24" t="s">
        <v>5</v>
      </c>
      <c r="E3" s="24" t="s">
        <v>363</v>
      </c>
      <c r="F3" s="24"/>
      <c r="G3" s="24"/>
      <c r="H3" s="25" t="s">
        <v>364</v>
      </c>
      <c r="I3" s="25"/>
      <c r="J3" s="25"/>
      <c r="K3" s="25"/>
      <c r="L3" s="25"/>
    </row>
    <row collapsed="false" customFormat="false" customHeight="false" hidden="false" ht="76.5" outlineLevel="0" r="4">
      <c r="A4" s="17" t="s">
        <v>4</v>
      </c>
      <c r="B4" s="18" t="s">
        <v>365</v>
      </c>
      <c r="C4" s="24"/>
      <c r="D4" s="24"/>
      <c r="E4" s="24"/>
      <c r="F4" s="24" t="s">
        <v>366</v>
      </c>
      <c r="G4" s="24" t="s">
        <v>367</v>
      </c>
      <c r="H4" s="24" t="s">
        <v>368</v>
      </c>
      <c r="I4" s="24" t="s">
        <v>369</v>
      </c>
      <c r="J4" s="26" t="s">
        <v>370</v>
      </c>
      <c r="K4" s="26" t="s">
        <v>371</v>
      </c>
      <c r="L4" s="27" t="s">
        <v>372</v>
      </c>
      <c r="M4" s="28" t="n">
        <v>42370</v>
      </c>
      <c r="N4" s="28" t="n">
        <v>42401</v>
      </c>
      <c r="O4" s="28" t="n">
        <v>42430</v>
      </c>
      <c r="P4" s="28" t="n">
        <v>42461</v>
      </c>
      <c r="Q4" s="28" t="n">
        <v>42491</v>
      </c>
      <c r="R4" s="28" t="n">
        <v>42522</v>
      </c>
      <c r="S4" s="28" t="n">
        <v>42552</v>
      </c>
      <c r="T4" s="28" t="n">
        <v>42583</v>
      </c>
      <c r="U4" s="28" t="n">
        <v>42614</v>
      </c>
      <c r="V4" s="28" t="n">
        <v>42644</v>
      </c>
      <c r="W4" s="28" t="n">
        <v>42675</v>
      </c>
      <c r="X4" s="28" t="n">
        <v>42705</v>
      </c>
      <c r="Y4" s="27" t="s">
        <v>373</v>
      </c>
    </row>
    <row collapsed="false" customFormat="false" customHeight="false" hidden="false" ht="15" outlineLevel="0" r="5">
      <c r="A5" s="19" t="n">
        <f aca="false">VLOOKUP(B5,справочник!$B$2:$E$322,4,0)</f>
        <v>79</v>
      </c>
      <c r="B5" s="0" t="str">
        <f aca="false">CONCATENATE(C5,D5)</f>
        <v>84Абу Махади Мохаммед Ибрагим</v>
      </c>
      <c r="C5" s="24" t="n">
        <v>84</v>
      </c>
      <c r="D5" s="29" t="s">
        <v>55</v>
      </c>
      <c r="E5" s="24" t="s">
        <v>375</v>
      </c>
      <c r="F5" s="30" t="n">
        <v>40716</v>
      </c>
      <c r="G5" s="30" t="n">
        <v>40725</v>
      </c>
      <c r="H5" s="31" t="n">
        <f aca="false">INT(($H$327-G5)/30)</f>
        <v>54</v>
      </c>
      <c r="I5" s="24" t="n">
        <f aca="false">H5*1000</f>
        <v>54000</v>
      </c>
      <c r="J5" s="31" t="n">
        <f aca="false">49000+1000</f>
        <v>50000</v>
      </c>
      <c r="K5" s="31"/>
      <c r="L5" s="59" t="n">
        <f aca="false">I5-J5-K5</f>
        <v>4000</v>
      </c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59" t="n">
        <f aca="false">V5-W5-X5</f>
        <v>0</v>
      </c>
    </row>
    <row collapsed="false" customFormat="false" customHeight="false" hidden="false" ht="15" outlineLevel="0" r="6">
      <c r="A6" s="19" t="n">
        <f aca="false">VLOOKUP(B6,справочник!$B$2:$E$322,4,0)</f>
        <v>35</v>
      </c>
      <c r="B6" s="0" t="e">
        <f aca="false">CONCATENATE(C6;D6)</f>
        <v>#VALUE!</v>
      </c>
      <c r="C6" s="24" t="n">
        <v>35</v>
      </c>
      <c r="D6" s="93" t="s">
        <v>115</v>
      </c>
      <c r="E6" s="24" t="s">
        <v>376</v>
      </c>
      <c r="F6" s="30" t="n">
        <v>40970</v>
      </c>
      <c r="G6" s="30" t="n">
        <v>40969</v>
      </c>
      <c r="H6" s="31" t="n">
        <f aca="false">INT(($H$327-G6)/30)</f>
        <v>46</v>
      </c>
      <c r="I6" s="24" t="n">
        <f aca="false">H6*1000</f>
        <v>46000</v>
      </c>
      <c r="J6" s="31" t="n">
        <v>30000</v>
      </c>
      <c r="K6" s="31"/>
      <c r="L6" s="59" t="n">
        <f aca="false">I6-J6-K6</f>
        <v>16000</v>
      </c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59" t="n">
        <f aca="false">V6-W6-X6</f>
        <v>0</v>
      </c>
    </row>
    <row collapsed="false" customFormat="false" customHeight="false" hidden="false" ht="15" outlineLevel="0" r="7">
      <c r="A7" s="19" t="n">
        <f aca="false">VLOOKUP(B7,справочник!$B$2:$E$322,4,0)</f>
        <v>260</v>
      </c>
      <c r="B7" s="0" t="e">
        <f aca="false">CONCATENATE(C7;D7)</f>
        <v>#VALUE!</v>
      </c>
      <c r="C7" s="24" t="n">
        <v>273</v>
      </c>
      <c r="D7" s="93" t="s">
        <v>182</v>
      </c>
      <c r="E7" s="24" t="s">
        <v>377</v>
      </c>
      <c r="F7" s="30" t="n">
        <v>41540</v>
      </c>
      <c r="G7" s="30" t="n">
        <v>41548</v>
      </c>
      <c r="H7" s="31" t="n">
        <f aca="false">INT(($H$327-G7)/30)</f>
        <v>27</v>
      </c>
      <c r="I7" s="24" t="n">
        <f aca="false">H7*1000</f>
        <v>27000</v>
      </c>
      <c r="J7" s="31" t="n">
        <v>19000</v>
      </c>
      <c r="K7" s="31"/>
      <c r="L7" s="59" t="n">
        <f aca="false">I7-J7-K7</f>
        <v>8000</v>
      </c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59" t="n">
        <f aca="false">V7-W7-X7</f>
        <v>0</v>
      </c>
    </row>
    <row collapsed="false" customFormat="false" customHeight="false" hidden="false" ht="15" outlineLevel="0" r="8">
      <c r="A8" s="19" t="n">
        <f aca="false">VLOOKUP(B8,справочник!$B$2:$E$322,4,0)</f>
        <v>203</v>
      </c>
      <c r="B8" s="0" t="e">
        <f aca="false">CONCATENATE(C8;D8)</f>
        <v>#VALUE!</v>
      </c>
      <c r="C8" s="24" t="n">
        <v>213</v>
      </c>
      <c r="D8" s="29" t="s">
        <v>300</v>
      </c>
      <c r="E8" s="24" t="s">
        <v>378</v>
      </c>
      <c r="F8" s="30" t="n">
        <v>41520</v>
      </c>
      <c r="G8" s="30" t="n">
        <v>41548</v>
      </c>
      <c r="H8" s="31" t="n">
        <f aca="false">INT(($H$327-G8)/30)</f>
        <v>27</v>
      </c>
      <c r="I8" s="24" t="n">
        <f aca="false">H8*1000</f>
        <v>27000</v>
      </c>
      <c r="J8" s="31" t="n">
        <v>26000</v>
      </c>
      <c r="K8" s="31"/>
      <c r="L8" s="59" t="n">
        <f aca="false">I8-J8-K8</f>
        <v>1000</v>
      </c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59" t="n">
        <f aca="false">V8-W8-X8</f>
        <v>0</v>
      </c>
    </row>
    <row collapsed="false" customFormat="false" customHeight="false" hidden="false" ht="15" outlineLevel="0" r="9">
      <c r="A9" s="19" t="n">
        <f aca="false">VLOOKUP(B9,справочник!$B$2:$E$322,4,0)</f>
        <v>316</v>
      </c>
      <c r="B9" s="0" t="e">
        <f aca="false">CONCATENATE(C9;D9)</f>
        <v>#VALUE!</v>
      </c>
      <c r="C9" s="94" t="s">
        <v>379</v>
      </c>
      <c r="D9" s="93" t="s">
        <v>112</v>
      </c>
      <c r="E9" s="24" t="s">
        <v>380</v>
      </c>
      <c r="F9" s="34" t="n">
        <v>40893</v>
      </c>
      <c r="G9" s="34" t="n">
        <v>40878</v>
      </c>
      <c r="H9" s="35" t="n">
        <f aca="false">INT(($H$327-G9)/30)</f>
        <v>49</v>
      </c>
      <c r="I9" s="36" t="n">
        <f aca="false">H9*1000</f>
        <v>49000</v>
      </c>
      <c r="J9" s="35" t="n">
        <f aca="false">30000+1000+1000</f>
        <v>32000</v>
      </c>
      <c r="K9" s="35"/>
      <c r="L9" s="66" t="n">
        <f aca="false">I9-J9-K9</f>
        <v>17000</v>
      </c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6" t="n">
        <f aca="false">V9-W9-X9</f>
        <v>0</v>
      </c>
    </row>
    <row collapsed="false" customFormat="false" customHeight="false" hidden="false" ht="15" outlineLevel="0" r="10">
      <c r="A10" s="19" t="n">
        <f aca="false">VLOOKUP(B10,справочник!$B$2:$E$322,4,0)</f>
        <v>232</v>
      </c>
      <c r="B10" s="0" t="e">
        <f aca="false">CONCATENATE(C10;D10)</f>
        <v>#VALUE!</v>
      </c>
      <c r="C10" s="24" t="n">
        <v>241</v>
      </c>
      <c r="D10" s="93" t="s">
        <v>76</v>
      </c>
      <c r="E10" s="24" t="s">
        <v>381</v>
      </c>
      <c r="F10" s="30" t="n">
        <v>41429</v>
      </c>
      <c r="G10" s="30" t="n">
        <v>41456</v>
      </c>
      <c r="H10" s="31" t="n">
        <f aca="false">INT(($H$327-G10)/30)</f>
        <v>30</v>
      </c>
      <c r="I10" s="24" t="n">
        <f aca="false">H10*1000</f>
        <v>30000</v>
      </c>
      <c r="J10" s="31" t="n">
        <v>6000</v>
      </c>
      <c r="K10" s="31"/>
      <c r="L10" s="59" t="n">
        <f aca="false">I10-J10-K10</f>
        <v>24000</v>
      </c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59" t="n">
        <f aca="false">V10-W10-X10</f>
        <v>0</v>
      </c>
    </row>
    <row collapsed="false" customFormat="false" customHeight="false" hidden="false" ht="25.5" outlineLevel="0" r="11">
      <c r="A11" s="19" t="n">
        <f aca="false">VLOOKUP(B11,справочник!$B$2:$E$322,4,0)</f>
        <v>277</v>
      </c>
      <c r="B11" s="0" t="e">
        <f aca="false">CONCATENATE(C11;D11)</f>
        <v>#VALUE!</v>
      </c>
      <c r="C11" s="24" t="n">
        <v>290</v>
      </c>
      <c r="D11" s="29" t="s">
        <v>232</v>
      </c>
      <c r="E11" s="24"/>
      <c r="F11" s="30" t="n">
        <v>41827</v>
      </c>
      <c r="G11" s="30" t="n">
        <v>41821</v>
      </c>
      <c r="H11" s="31" t="n">
        <f aca="false">INT(($H$327-G11)/30)</f>
        <v>18</v>
      </c>
      <c r="I11" s="24" t="n">
        <f aca="false">H11*1000</f>
        <v>18000</v>
      </c>
      <c r="J11" s="31" t="n">
        <v>20000</v>
      </c>
      <c r="K11" s="31"/>
      <c r="L11" s="59" t="n">
        <f aca="false">I11-J11-K11</f>
        <v>-2000</v>
      </c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59" t="n">
        <f aca="false">V11-W11-X11</f>
        <v>0</v>
      </c>
    </row>
    <row collapsed="false" customFormat="false" customHeight="false" hidden="false" ht="15" outlineLevel="0" r="12">
      <c r="A12" s="19" t="n">
        <f aca="false">VLOOKUP(B12,справочник!$B$2:$E$322,4,0)</f>
        <v>221</v>
      </c>
      <c r="B12" s="0" t="e">
        <f aca="false">CONCATENATE(C12;D12)</f>
        <v>#VALUE!</v>
      </c>
      <c r="C12" s="24" t="n">
        <v>230</v>
      </c>
      <c r="D12" s="93" t="s">
        <v>194</v>
      </c>
      <c r="E12" s="24"/>
      <c r="F12" s="30" t="n">
        <v>41912</v>
      </c>
      <c r="G12" s="30" t="n">
        <v>41913</v>
      </c>
      <c r="H12" s="31" t="n">
        <f aca="false">INT(($H$327-G12)/30)</f>
        <v>15</v>
      </c>
      <c r="I12" s="24" t="n">
        <f aca="false">H12*1000</f>
        <v>15000</v>
      </c>
      <c r="J12" s="31" t="n">
        <v>1000</v>
      </c>
      <c r="K12" s="31"/>
      <c r="L12" s="59" t="n">
        <f aca="false">I12-J12-K12</f>
        <v>14000</v>
      </c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59" t="n">
        <f aca="false">V12-W12-X12</f>
        <v>0</v>
      </c>
    </row>
    <row collapsed="false" customFormat="false" customHeight="false" hidden="false" ht="15" outlineLevel="0" r="13">
      <c r="A13" s="19" t="n">
        <f aca="false">VLOOKUP(B13,справочник!$B$2:$E$322,4,0)</f>
        <v>259</v>
      </c>
      <c r="B13" s="0" t="e">
        <f aca="false">CONCATENATE(C13;D13)</f>
        <v>#VALUE!</v>
      </c>
      <c r="C13" s="24" t="n">
        <v>272</v>
      </c>
      <c r="D13" s="93" t="s">
        <v>178</v>
      </c>
      <c r="E13" s="24" t="s">
        <v>382</v>
      </c>
      <c r="F13" s="30" t="n">
        <v>41457</v>
      </c>
      <c r="G13" s="30" t="n">
        <v>41487</v>
      </c>
      <c r="H13" s="31" t="n">
        <f aca="false">INT(($H$327-G13)/30)</f>
        <v>29</v>
      </c>
      <c r="I13" s="24" t="n">
        <f aca="false">H13*1000</f>
        <v>29000</v>
      </c>
      <c r="J13" s="31" t="n">
        <v>25000</v>
      </c>
      <c r="K13" s="31"/>
      <c r="L13" s="59" t="n">
        <f aca="false">I13-J13-K13</f>
        <v>4000</v>
      </c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59" t="n">
        <f aca="false">V13-W13-X13</f>
        <v>0</v>
      </c>
    </row>
    <row collapsed="false" customFormat="false" customHeight="false" hidden="false" ht="15" outlineLevel="0" r="14">
      <c r="A14" s="19" t="n">
        <f aca="false">VLOOKUP(B14,справочник!$B$2:$E$322,4,0)</f>
        <v>109</v>
      </c>
      <c r="B14" s="0" t="e">
        <f aca="false">CONCATENATE(C14;D14)</f>
        <v>#VALUE!</v>
      </c>
      <c r="C14" s="24" t="n">
        <v>114</v>
      </c>
      <c r="D14" s="93" t="s">
        <v>102</v>
      </c>
      <c r="E14" s="24" t="s">
        <v>383</v>
      </c>
      <c r="F14" s="30" t="n">
        <v>41414</v>
      </c>
      <c r="G14" s="30" t="n">
        <v>41426</v>
      </c>
      <c r="H14" s="31" t="n">
        <f aca="false">INT(($H$327-G14)/30)</f>
        <v>31</v>
      </c>
      <c r="I14" s="24" t="n">
        <f aca="false">H14*1000</f>
        <v>31000</v>
      </c>
      <c r="J14" s="31" t="n">
        <v>10000</v>
      </c>
      <c r="K14" s="31"/>
      <c r="L14" s="59" t="n">
        <f aca="false">I14-J14-K14</f>
        <v>21000</v>
      </c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59" t="n">
        <f aca="false">V14-W14-X14</f>
        <v>0</v>
      </c>
    </row>
    <row collapsed="false" customFormat="false" customHeight="false" hidden="false" ht="15" outlineLevel="0" r="15">
      <c r="A15" s="19" t="n">
        <f aca="false">VLOOKUP(B15,справочник!$B$2:$E$322,4,0)</f>
        <v>130</v>
      </c>
      <c r="B15" s="0" t="e">
        <f aca="false">CONCATENATE(C15;D15)</f>
        <v>#VALUE!</v>
      </c>
      <c r="C15" s="24" t="n">
        <v>137</v>
      </c>
      <c r="D15" s="29" t="s">
        <v>36</v>
      </c>
      <c r="E15" s="24" t="s">
        <v>384</v>
      </c>
      <c r="F15" s="30" t="n">
        <v>40841</v>
      </c>
      <c r="G15" s="30" t="n">
        <v>40848</v>
      </c>
      <c r="H15" s="31" t="n">
        <f aca="false">INT(($H$327-G15)/30)</f>
        <v>50</v>
      </c>
      <c r="I15" s="24" t="n">
        <f aca="false">H15*1000</f>
        <v>50000</v>
      </c>
      <c r="J15" s="31" t="n">
        <f aca="false">44000+1000</f>
        <v>45000</v>
      </c>
      <c r="K15" s="31" t="n">
        <v>5000</v>
      </c>
      <c r="L15" s="59" t="n">
        <f aca="false">I15-J15-K15</f>
        <v>0</v>
      </c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59" t="n">
        <f aca="false">V15-W15-X15</f>
        <v>0</v>
      </c>
    </row>
    <row collapsed="false" customFormat="false" customHeight="false" hidden="false" ht="15" outlineLevel="0" r="16">
      <c r="A16" s="19" t="n">
        <f aca="false">VLOOKUP(B16,справочник!$B$2:$E$322,4,0)</f>
        <v>7</v>
      </c>
      <c r="B16" s="0" t="e">
        <f aca="false">CONCATENATE(C16;D16)</f>
        <v>#VALUE!</v>
      </c>
      <c r="C16" s="24" t="n">
        <v>7</v>
      </c>
      <c r="D16" s="93" t="s">
        <v>46</v>
      </c>
      <c r="E16" s="24" t="s">
        <v>385</v>
      </c>
      <c r="F16" s="30" t="n">
        <v>41467</v>
      </c>
      <c r="G16" s="30" t="n">
        <v>41518</v>
      </c>
      <c r="H16" s="31" t="n">
        <f aca="false">INT(($H$327-G16)/30)</f>
        <v>28</v>
      </c>
      <c r="I16" s="24" t="n">
        <f aca="false">H16*1000</f>
        <v>28000</v>
      </c>
      <c r="J16" s="31"/>
      <c r="K16" s="31"/>
      <c r="L16" s="59" t="n">
        <f aca="false">I16-J16-K16</f>
        <v>28000</v>
      </c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59" t="n">
        <f aca="false">V16-W16-X16</f>
        <v>0</v>
      </c>
    </row>
    <row collapsed="false" customFormat="false" customHeight="false" hidden="false" ht="15" outlineLevel="0" r="17">
      <c r="A17" s="19" t="n">
        <f aca="false">VLOOKUP(B17,справочник!$B$2:$E$322,4,0)</f>
        <v>7</v>
      </c>
      <c r="B17" s="0" t="e">
        <f aca="false">CONCATENATE(C17;D17)</f>
        <v>#VALUE!</v>
      </c>
      <c r="C17" s="24" t="n">
        <v>14</v>
      </c>
      <c r="D17" s="93" t="s">
        <v>46</v>
      </c>
      <c r="E17" s="24" t="s">
        <v>386</v>
      </c>
      <c r="F17" s="30" t="n">
        <v>41204</v>
      </c>
      <c r="G17" s="30" t="n">
        <v>41214</v>
      </c>
      <c r="H17" s="31" t="n">
        <f aca="false">INT(($H$327-G17)/30)</f>
        <v>38</v>
      </c>
      <c r="I17" s="24" t="n">
        <f aca="false">H17*1000</f>
        <v>38000</v>
      </c>
      <c r="J17" s="31" t="n">
        <v>27000</v>
      </c>
      <c r="K17" s="31"/>
      <c r="L17" s="59" t="n">
        <f aca="false">I17-J17-K17</f>
        <v>11000</v>
      </c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59" t="n">
        <f aca="false">V17-W17-X17</f>
        <v>0</v>
      </c>
    </row>
    <row collapsed="false" customFormat="false" customHeight="false" hidden="false" ht="15" outlineLevel="0" r="18">
      <c r="A18" s="19" t="n">
        <f aca="false">VLOOKUP(B18,справочник!$B$2:$E$322,4,0)</f>
        <v>193</v>
      </c>
      <c r="B18" s="0" t="e">
        <f aca="false">CONCATENATE(C18;D18)</f>
        <v>#VALUE!</v>
      </c>
      <c r="C18" s="24" t="n">
        <v>201</v>
      </c>
      <c r="D18" s="29" t="s">
        <v>212</v>
      </c>
      <c r="E18" s="24" t="s">
        <v>387</v>
      </c>
      <c r="F18" s="24"/>
      <c r="G18" s="24"/>
      <c r="H18" s="31"/>
      <c r="I18" s="24" t="n">
        <f aca="false">H18*1000</f>
        <v>0</v>
      </c>
      <c r="J18" s="31"/>
      <c r="K18" s="31"/>
      <c r="L18" s="59" t="n">
        <f aca="false">I18-J18-K18</f>
        <v>0</v>
      </c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59" t="n">
        <f aca="false">V18-W18-X18</f>
        <v>0</v>
      </c>
    </row>
    <row collapsed="false" customFormat="false" customHeight="false" hidden="false" ht="15" outlineLevel="0" r="19">
      <c r="A19" s="19" t="n">
        <f aca="false">VLOOKUP(B19,справочник!$B$2:$E$322,4,0)</f>
        <v>178</v>
      </c>
      <c r="B19" s="0" t="e">
        <f aca="false">CONCATENATE(C19;D19)</f>
        <v>#VALUE!</v>
      </c>
      <c r="C19" s="24" t="n">
        <v>186</v>
      </c>
      <c r="D19" s="93" t="s">
        <v>128</v>
      </c>
      <c r="E19" s="24" t="s">
        <v>388</v>
      </c>
      <c r="F19" s="30" t="n">
        <v>41898</v>
      </c>
      <c r="G19" s="30" t="n">
        <v>41944</v>
      </c>
      <c r="H19" s="31" t="n">
        <f aca="false">INT(($H$327-G19)/30)</f>
        <v>14</v>
      </c>
      <c r="I19" s="24" t="n">
        <f aca="false">H19*1000</f>
        <v>14000</v>
      </c>
      <c r="J19" s="31" t="n">
        <v>1000</v>
      </c>
      <c r="K19" s="31"/>
      <c r="L19" s="59" t="n">
        <f aca="false">I19-J19-K19</f>
        <v>13000</v>
      </c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59" t="n">
        <f aca="false">V19-W19-X19</f>
        <v>0</v>
      </c>
    </row>
    <row collapsed="false" customFormat="false" customHeight="false" hidden="false" ht="15" outlineLevel="0" r="20">
      <c r="A20" s="19" t="n">
        <f aca="false">VLOOKUP(B20,справочник!$B$2:$E$322,4,0)</f>
        <v>119</v>
      </c>
      <c r="B20" s="0" t="e">
        <f aca="false">CONCATENATE(C20;D20)</f>
        <v>#VALUE!</v>
      </c>
      <c r="C20" s="24" t="n">
        <v>124</v>
      </c>
      <c r="D20" s="93" t="s">
        <v>110</v>
      </c>
      <c r="E20" s="24" t="s">
        <v>389</v>
      </c>
      <c r="F20" s="30" t="n">
        <v>41401</v>
      </c>
      <c r="G20" s="30" t="n">
        <v>41426</v>
      </c>
      <c r="H20" s="31" t="n">
        <f aca="false">INT(($H$327-G20)/30)</f>
        <v>31</v>
      </c>
      <c r="I20" s="24" t="n">
        <f aca="false">H20*1000</f>
        <v>31000</v>
      </c>
      <c r="J20" s="31" t="n">
        <v>11000</v>
      </c>
      <c r="K20" s="31"/>
      <c r="L20" s="59" t="n">
        <f aca="false">I20-J20-K20</f>
        <v>20000</v>
      </c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59" t="n">
        <f aca="false">V20-W20-X20</f>
        <v>0</v>
      </c>
    </row>
    <row collapsed="false" customFormat="false" customHeight="false" hidden="false" ht="15" outlineLevel="0" r="21">
      <c r="A21" s="19" t="n">
        <f aca="false">VLOOKUP(B21,справочник!$B$2:$E$322,4,0)</f>
        <v>293</v>
      </c>
      <c r="B21" s="0" t="e">
        <f aca="false">CONCATENATE(C21;D21)</f>
        <v>#VALUE!</v>
      </c>
      <c r="C21" s="24" t="n">
        <v>308</v>
      </c>
      <c r="D21" s="93" t="s">
        <v>135</v>
      </c>
      <c r="E21" s="24" t="s">
        <v>390</v>
      </c>
      <c r="F21" s="30" t="n">
        <v>40928</v>
      </c>
      <c r="G21" s="30" t="n">
        <v>40909</v>
      </c>
      <c r="H21" s="31" t="n">
        <f aca="false">INT(($H$327-G21)/30)</f>
        <v>48</v>
      </c>
      <c r="I21" s="24" t="n">
        <f aca="false">H21*1000</f>
        <v>48000</v>
      </c>
      <c r="J21" s="31" t="n">
        <f aca="false">11500+24500</f>
        <v>36000</v>
      </c>
      <c r="K21" s="31"/>
      <c r="L21" s="59" t="n">
        <f aca="false">I21-J21-K21</f>
        <v>12000</v>
      </c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59" t="n">
        <f aca="false">V21-W21-X21</f>
        <v>0</v>
      </c>
    </row>
    <row collapsed="false" customFormat="false" customHeight="false" hidden="false" ht="15" outlineLevel="0" r="22">
      <c r="A22" s="19" t="n">
        <f aca="false">VLOOKUP(B22,справочник!$B$2:$E$322,4,0)</f>
        <v>191</v>
      </c>
      <c r="B22" s="0" t="e">
        <f aca="false">CONCATENATE(C22;D22)</f>
        <v>#VALUE!</v>
      </c>
      <c r="C22" s="24" t="n">
        <v>199</v>
      </c>
      <c r="D22" s="29" t="s">
        <v>213</v>
      </c>
      <c r="E22" s="24" t="s">
        <v>391</v>
      </c>
      <c r="F22" s="24"/>
      <c r="G22" s="24"/>
      <c r="H22" s="31"/>
      <c r="I22" s="24" t="n">
        <f aca="false">H22*1000</f>
        <v>0</v>
      </c>
      <c r="J22" s="31"/>
      <c r="K22" s="31"/>
      <c r="L22" s="59" t="n">
        <f aca="false">I22-J22-K22</f>
        <v>0</v>
      </c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59" t="n">
        <f aca="false">V22-W22-X22</f>
        <v>0</v>
      </c>
    </row>
    <row collapsed="false" customFormat="false" customHeight="false" hidden="false" ht="25.5" outlineLevel="0" r="23">
      <c r="A23" s="19" t="n">
        <f aca="false">VLOOKUP(B23,справочник!$B$2:$E$322,4,0)</f>
        <v>249</v>
      </c>
      <c r="B23" s="0" t="e">
        <f aca="false">CONCATENATE(C23;D23)</f>
        <v>#VALUE!</v>
      </c>
      <c r="C23" s="24" t="n">
        <v>260</v>
      </c>
      <c r="D23" s="93" t="s">
        <v>75</v>
      </c>
      <c r="E23" s="24" t="s">
        <v>392</v>
      </c>
      <c r="F23" s="30" t="n">
        <v>41604</v>
      </c>
      <c r="G23" s="30" t="n">
        <v>41609</v>
      </c>
      <c r="H23" s="31" t="n">
        <f aca="false">INT(($H$327-G23)/30)</f>
        <v>25</v>
      </c>
      <c r="I23" s="24" t="n">
        <f aca="false">H23*1000</f>
        <v>25000</v>
      </c>
      <c r="J23" s="31" t="n">
        <f aca="false">1000</f>
        <v>1000</v>
      </c>
      <c r="K23" s="31"/>
      <c r="L23" s="59" t="n">
        <f aca="false">I23-J23-K23</f>
        <v>24000</v>
      </c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59" t="n">
        <f aca="false">V23-W23-X23</f>
        <v>0</v>
      </c>
    </row>
    <row collapsed="false" customFormat="false" customHeight="false" hidden="false" ht="15" outlineLevel="0" r="24">
      <c r="A24" s="19" t="n">
        <f aca="false">VLOOKUP(B24,справочник!$B$2:$E$322,4,0)</f>
        <v>72</v>
      </c>
      <c r="B24" s="0" t="e">
        <f aca="false">CONCATENATE(C24;D24)</f>
        <v>#VALUE!</v>
      </c>
      <c r="C24" s="24" t="n">
        <v>78</v>
      </c>
      <c r="D24" s="93" t="s">
        <v>174</v>
      </c>
      <c r="E24" s="24" t="s">
        <v>393</v>
      </c>
      <c r="F24" s="30" t="n">
        <v>40793</v>
      </c>
      <c r="G24" s="30" t="n">
        <v>40787</v>
      </c>
      <c r="H24" s="31" t="n">
        <f aca="false">INT(($H$327-G24)/30)</f>
        <v>52</v>
      </c>
      <c r="I24" s="24" t="n">
        <f aca="false">H24*1000</f>
        <v>52000</v>
      </c>
      <c r="J24" s="31" t="n">
        <f aca="false">19000+1500+2500+23000</f>
        <v>46000</v>
      </c>
      <c r="K24" s="31"/>
      <c r="L24" s="59" t="n">
        <f aca="false">I24-J24-K24</f>
        <v>6000</v>
      </c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59" t="n">
        <f aca="false">V24-W24-X24</f>
        <v>0</v>
      </c>
    </row>
    <row collapsed="false" customFormat="false" customHeight="false" hidden="false" ht="15" outlineLevel="0" r="25">
      <c r="A25" s="19" t="n">
        <f aca="false">VLOOKUP(B25,справочник!$B$2:$E$322,4,0)</f>
        <v>125</v>
      </c>
      <c r="B25" s="0" t="e">
        <f aca="false">CONCATENATE(C25;D25)</f>
        <v>#VALUE!</v>
      </c>
      <c r="C25" s="24" t="n">
        <v>130</v>
      </c>
      <c r="D25" s="93" t="s">
        <v>195</v>
      </c>
      <c r="E25" s="24" t="s">
        <v>394</v>
      </c>
      <c r="F25" s="30" t="n">
        <v>41948</v>
      </c>
      <c r="G25" s="30" t="n">
        <v>41974</v>
      </c>
      <c r="H25" s="31" t="n">
        <f aca="false">INT(($H$327-G25)/30)</f>
        <v>13</v>
      </c>
      <c r="I25" s="24" t="n">
        <f aca="false">H25*1000</f>
        <v>13000</v>
      </c>
      <c r="J25" s="31" t="n">
        <v>8000</v>
      </c>
      <c r="K25" s="31"/>
      <c r="L25" s="59" t="n">
        <f aca="false">I25-J25-K25</f>
        <v>5000</v>
      </c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59" t="n">
        <f aca="false">V25-W25-X25</f>
        <v>0</v>
      </c>
    </row>
    <row collapsed="false" customFormat="false" customHeight="false" hidden="false" ht="15" outlineLevel="0" r="26">
      <c r="A26" s="19" t="n">
        <f aca="false">VLOOKUP(B26,справочник!$B$2:$E$322,4,0)</f>
        <v>229</v>
      </c>
      <c r="B26" s="0" t="e">
        <f aca="false">CONCATENATE(C26;D26)</f>
        <v>#VALUE!</v>
      </c>
      <c r="C26" s="24" t="n">
        <v>238</v>
      </c>
      <c r="D26" s="93" t="s">
        <v>79</v>
      </c>
      <c r="E26" s="24" t="s">
        <v>395</v>
      </c>
      <c r="F26" s="30" t="n">
        <v>41373</v>
      </c>
      <c r="G26" s="30" t="n">
        <v>41395</v>
      </c>
      <c r="H26" s="31" t="n">
        <f aca="false">INT(($H$327-G26)/30)</f>
        <v>32</v>
      </c>
      <c r="I26" s="24" t="n">
        <f aca="false">H26*1000</f>
        <v>32000</v>
      </c>
      <c r="J26" s="31" t="n">
        <v>9000</v>
      </c>
      <c r="K26" s="31"/>
      <c r="L26" s="59" t="n">
        <f aca="false">I26-J26-K26</f>
        <v>23000</v>
      </c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59" t="n">
        <f aca="false">V26-W26-X26</f>
        <v>0</v>
      </c>
    </row>
    <row collapsed="false" customFormat="false" customHeight="false" hidden="false" ht="15" outlineLevel="0" r="27">
      <c r="A27" s="19" t="n">
        <f aca="false">VLOOKUP(B27,справочник!$B$2:$E$322,4,0)</f>
        <v>296</v>
      </c>
      <c r="B27" s="0" t="e">
        <f aca="false">CONCATENATE(C27;D27)</f>
        <v>#VALUE!</v>
      </c>
      <c r="C27" s="24" t="n">
        <v>311</v>
      </c>
      <c r="D27" s="93" t="s">
        <v>39</v>
      </c>
      <c r="E27" s="24" t="s">
        <v>396</v>
      </c>
      <c r="F27" s="30" t="n">
        <v>41008</v>
      </c>
      <c r="G27" s="30" t="n">
        <v>41000</v>
      </c>
      <c r="H27" s="31" t="n">
        <f aca="false">INT(($H$327-G27)/30)</f>
        <v>45</v>
      </c>
      <c r="I27" s="24" t="n">
        <f aca="false">H27*1000</f>
        <v>45000</v>
      </c>
      <c r="J27" s="31" t="n">
        <v>1000</v>
      </c>
      <c r="K27" s="31"/>
      <c r="L27" s="59" t="n">
        <f aca="false">I27-J27-K27</f>
        <v>44000</v>
      </c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59" t="n">
        <f aca="false">V27-W27-X27</f>
        <v>0</v>
      </c>
    </row>
    <row collapsed="false" customFormat="false" customHeight="false" hidden="false" ht="15" outlineLevel="0" r="28">
      <c r="A28" s="19" t="n">
        <f aca="false">VLOOKUP(B28,справочник!$B$2:$E$322,4,0)</f>
        <v>281</v>
      </c>
      <c r="B28" s="0" t="e">
        <f aca="false">CONCATENATE(C28;D28)</f>
        <v>#VALUE!</v>
      </c>
      <c r="C28" s="24" t="n">
        <v>293</v>
      </c>
      <c r="D28" s="93" t="s">
        <v>105</v>
      </c>
      <c r="E28" s="24" t="s">
        <v>397</v>
      </c>
      <c r="F28" s="30" t="n">
        <v>41766</v>
      </c>
      <c r="G28" s="30" t="n">
        <v>41791</v>
      </c>
      <c r="H28" s="31" t="n">
        <f aca="false">INT(($H$327-G28)/30)</f>
        <v>19</v>
      </c>
      <c r="I28" s="24" t="n">
        <f aca="false">H28*1000</f>
        <v>19000</v>
      </c>
      <c r="J28" s="31" t="n">
        <v>1000</v>
      </c>
      <c r="K28" s="31"/>
      <c r="L28" s="59" t="n">
        <f aca="false">I28-J28-K28</f>
        <v>18000</v>
      </c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59" t="n">
        <f aca="false">V28-W28-X28</f>
        <v>0</v>
      </c>
    </row>
    <row collapsed="false" customFormat="false" customHeight="false" hidden="false" ht="15" outlineLevel="0" r="29">
      <c r="A29" s="19" t="n">
        <f aca="false">VLOOKUP(B29,справочник!$B$2:$E$322,4,0)</f>
        <v>198</v>
      </c>
      <c r="B29" s="0" t="e">
        <f aca="false">CONCATENATE(C29;D29)</f>
        <v>#VALUE!</v>
      </c>
      <c r="C29" s="24" t="n">
        <v>206</v>
      </c>
      <c r="D29" s="29" t="s">
        <v>262</v>
      </c>
      <c r="E29" s="24" t="s">
        <v>398</v>
      </c>
      <c r="F29" s="30" t="n">
        <v>40816</v>
      </c>
      <c r="G29" s="30" t="n">
        <v>40787</v>
      </c>
      <c r="H29" s="31" t="n">
        <f aca="false">INT(($H$327-G29)/30)</f>
        <v>52</v>
      </c>
      <c r="I29" s="24" t="n">
        <f aca="false">H29*1000</f>
        <v>52000</v>
      </c>
      <c r="J29" s="31" t="n">
        <f aca="false">50000+1000</f>
        <v>51000</v>
      </c>
      <c r="K29" s="31" t="n">
        <v>1000</v>
      </c>
      <c r="L29" s="59" t="n">
        <f aca="false">I29-J29-K29</f>
        <v>0</v>
      </c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59" t="n">
        <f aca="false">V29-W29-X29</f>
        <v>0</v>
      </c>
    </row>
    <row collapsed="false" customFormat="false" customHeight="false" hidden="false" ht="25.5" outlineLevel="0" r="30">
      <c r="A30" s="19" t="n">
        <f aca="false">VLOOKUP(B30,справочник!$B$2:$E$322,4,0)</f>
        <v>52</v>
      </c>
      <c r="B30" s="0" t="e">
        <f aca="false">CONCATENATE(C30;D30)</f>
        <v>#VALUE!</v>
      </c>
      <c r="C30" s="24" t="n">
        <v>54</v>
      </c>
      <c r="D30" s="29" t="s">
        <v>247</v>
      </c>
      <c r="E30" s="24" t="s">
        <v>399</v>
      </c>
      <c r="F30" s="30" t="n">
        <v>41016</v>
      </c>
      <c r="G30" s="30" t="n">
        <v>41000</v>
      </c>
      <c r="H30" s="31" t="n">
        <f aca="false">INT(($H$327-G30)/30)</f>
        <v>45</v>
      </c>
      <c r="I30" s="24" t="n">
        <f aca="false">H30*1000</f>
        <v>45000</v>
      </c>
      <c r="J30" s="31" t="n">
        <v>40000</v>
      </c>
      <c r="K30" s="31" t="n">
        <v>5000</v>
      </c>
      <c r="L30" s="59" t="n">
        <v>5000</v>
      </c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59" t="n">
        <v>5000</v>
      </c>
    </row>
    <row collapsed="false" customFormat="false" customHeight="false" hidden="false" ht="25.5" outlineLevel="0" r="31">
      <c r="A31" s="19" t="n">
        <f aca="false">VLOOKUP(B31,справочник!$B$2:$E$322,4,0)</f>
        <v>51</v>
      </c>
      <c r="B31" s="0" t="e">
        <f aca="false">CONCATENATE(C31;D31)</f>
        <v>#VALUE!</v>
      </c>
      <c r="C31" s="24" t="n">
        <v>53</v>
      </c>
      <c r="D31" s="29" t="s">
        <v>248</v>
      </c>
      <c r="E31" s="24" t="s">
        <v>400</v>
      </c>
      <c r="F31" s="30" t="n">
        <v>41016</v>
      </c>
      <c r="G31" s="30" t="n">
        <v>41000</v>
      </c>
      <c r="H31" s="31" t="n">
        <f aca="false">INT(($H$327-G31)/30)</f>
        <v>45</v>
      </c>
      <c r="I31" s="24" t="n">
        <f aca="false">H31*1000</f>
        <v>45000</v>
      </c>
      <c r="J31" s="31" t="n">
        <v>28000</v>
      </c>
      <c r="K31" s="31" t="n">
        <v>7000</v>
      </c>
      <c r="L31" s="59" t="n">
        <v>5000</v>
      </c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59" t="n">
        <v>5000</v>
      </c>
    </row>
    <row collapsed="false" customFormat="false" customHeight="false" hidden="false" ht="15" outlineLevel="0" r="32">
      <c r="A32" s="19" t="n">
        <f aca="false">VLOOKUP(B32,справочник!$B$2:$E$322,4,0)</f>
        <v>136</v>
      </c>
      <c r="B32" s="0" t="e">
        <f aca="false">CONCATENATE(C32;D32)</f>
        <v>#VALUE!</v>
      </c>
      <c r="C32" s="24" t="n">
        <v>144</v>
      </c>
      <c r="D32" s="93" t="s">
        <v>152</v>
      </c>
      <c r="E32" s="24" t="s">
        <v>401</v>
      </c>
      <c r="F32" s="30" t="n">
        <v>41204</v>
      </c>
      <c r="G32" s="30" t="n">
        <v>41214</v>
      </c>
      <c r="H32" s="31" t="n">
        <f aca="false">INT(($H$327-G32)/30)</f>
        <v>38</v>
      </c>
      <c r="I32" s="24" t="n">
        <f aca="false">H32*1000</f>
        <v>38000</v>
      </c>
      <c r="J32" s="31" t="n">
        <v>28000</v>
      </c>
      <c r="K32" s="31"/>
      <c r="L32" s="59" t="n">
        <f aca="false">I32-J32-K32</f>
        <v>10000</v>
      </c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59" t="n">
        <f aca="false">V32-W32-X32</f>
        <v>0</v>
      </c>
    </row>
    <row collapsed="false" customFormat="false" customHeight="false" hidden="false" ht="15" outlineLevel="0" r="33">
      <c r="A33" s="19" t="n">
        <f aca="false">VLOOKUP(B33,справочник!$B$2:$E$322,4,0)</f>
        <v>11</v>
      </c>
      <c r="B33" s="0" t="e">
        <f aca="false">CONCATENATE(C33;D33)</f>
        <v>#VALUE!</v>
      </c>
      <c r="C33" s="24" t="n">
        <v>11</v>
      </c>
      <c r="D33" s="93" t="s">
        <v>142</v>
      </c>
      <c r="E33" s="24" t="s">
        <v>402</v>
      </c>
      <c r="F33" s="30" t="n">
        <v>41204</v>
      </c>
      <c r="G33" s="30" t="n">
        <v>41214</v>
      </c>
      <c r="H33" s="31" t="n">
        <f aca="false">INT(($H$327-G33)/30)</f>
        <v>38</v>
      </c>
      <c r="I33" s="24" t="n">
        <f aca="false">H33*1000</f>
        <v>38000</v>
      </c>
      <c r="J33" s="31" t="n">
        <v>26000</v>
      </c>
      <c r="K33" s="31"/>
      <c r="L33" s="59" t="n">
        <f aca="false">I33-J33-K33</f>
        <v>12000</v>
      </c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59" t="n">
        <f aca="false">V33-W33-X33</f>
        <v>0</v>
      </c>
    </row>
    <row collapsed="false" customFormat="false" customHeight="false" hidden="false" ht="15" outlineLevel="0" r="34">
      <c r="A34" s="19" t="n">
        <f aca="false">VLOOKUP(B34,справочник!$B$2:$E$322,4,0)</f>
        <v>114</v>
      </c>
      <c r="B34" s="0" t="e">
        <f aca="false">CONCATENATE(C34;D34)</f>
        <v>#VALUE!</v>
      </c>
      <c r="C34" s="24" t="n">
        <v>119</v>
      </c>
      <c r="D34" s="93" t="s">
        <v>48</v>
      </c>
      <c r="E34" s="24" t="s">
        <v>403</v>
      </c>
      <c r="F34" s="30" t="n">
        <v>41262</v>
      </c>
      <c r="G34" s="30" t="n">
        <v>41275</v>
      </c>
      <c r="H34" s="31" t="n">
        <f aca="false">INT(($H$327-G34)/30)</f>
        <v>36</v>
      </c>
      <c r="I34" s="24" t="n">
        <f aca="false">H34*1000</f>
        <v>36000</v>
      </c>
      <c r="J34" s="31" t="n">
        <v>1000</v>
      </c>
      <c r="K34" s="31"/>
      <c r="L34" s="59" t="n">
        <f aca="false">I34-J34-K34</f>
        <v>35000</v>
      </c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59" t="n">
        <f aca="false">V34-W34-X34</f>
        <v>0</v>
      </c>
    </row>
    <row collapsed="false" customFormat="false" customHeight="false" hidden="false" ht="15" outlineLevel="0" r="35">
      <c r="A35" s="19" t="n">
        <f aca="false">VLOOKUP(B35,справочник!$B$2:$E$322,4,0)</f>
        <v>151</v>
      </c>
      <c r="B35" s="0" t="e">
        <f aca="false">CONCATENATE(C35;D35)</f>
        <v>#VALUE!</v>
      </c>
      <c r="C35" s="24" t="n">
        <v>159</v>
      </c>
      <c r="D35" s="93" t="s">
        <v>78</v>
      </c>
      <c r="E35" s="24" t="s">
        <v>404</v>
      </c>
      <c r="F35" s="30" t="n">
        <v>41121</v>
      </c>
      <c r="G35" s="30" t="n">
        <v>41122</v>
      </c>
      <c r="H35" s="31" t="n">
        <f aca="false">INT(($H$327-G35)/30)</f>
        <v>41</v>
      </c>
      <c r="I35" s="24" t="n">
        <f aca="false">H35*1000</f>
        <v>41000</v>
      </c>
      <c r="J35" s="31" t="n">
        <v>17000</v>
      </c>
      <c r="K35" s="31"/>
      <c r="L35" s="59" t="n">
        <f aca="false">I35-J35-K35</f>
        <v>24000</v>
      </c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59" t="n">
        <f aca="false">V35-W35-X35</f>
        <v>0</v>
      </c>
    </row>
    <row collapsed="false" customFormat="false" customHeight="false" hidden="false" ht="15" outlineLevel="0" r="36">
      <c r="A36" s="19" t="n">
        <f aca="false">VLOOKUP(B36,справочник!$B$2:$E$322,4,0)</f>
        <v>142</v>
      </c>
      <c r="B36" s="0" t="e">
        <f aca="false">CONCATENATE(C36;D36)</f>
        <v>#VALUE!</v>
      </c>
      <c r="C36" s="24" t="n">
        <v>150</v>
      </c>
      <c r="D36" s="29" t="s">
        <v>216</v>
      </c>
      <c r="E36" s="24" t="s">
        <v>405</v>
      </c>
      <c r="F36" s="30" t="n">
        <v>40771</v>
      </c>
      <c r="G36" s="30" t="n">
        <v>40787</v>
      </c>
      <c r="H36" s="31" t="n">
        <f aca="false">INT(($H$327-G36)/30)</f>
        <v>52</v>
      </c>
      <c r="I36" s="24" t="n">
        <f aca="false">H36*1000</f>
        <v>52000</v>
      </c>
      <c r="J36" s="31" t="n">
        <f aca="false">32000+1000</f>
        <v>33000</v>
      </c>
      <c r="K36" s="31" t="n">
        <v>19000</v>
      </c>
      <c r="L36" s="59" t="n">
        <f aca="false">I36-J36-K36</f>
        <v>0</v>
      </c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59" t="n">
        <f aca="false">V36-W36-X36</f>
        <v>0</v>
      </c>
    </row>
    <row collapsed="false" customFormat="false" customHeight="false" hidden="false" ht="15" outlineLevel="0" r="37">
      <c r="A37" s="19" t="n">
        <f aca="false">VLOOKUP(B37,справочник!$B$2:$E$322,4,0)</f>
        <v>245</v>
      </c>
      <c r="B37" s="0" t="e">
        <f aca="false">CONCATENATE(C37;D37)</f>
        <v>#VALUE!</v>
      </c>
      <c r="C37" s="24" t="n">
        <v>256</v>
      </c>
      <c r="D37" s="93" t="s">
        <v>259</v>
      </c>
      <c r="E37" s="24" t="s">
        <v>406</v>
      </c>
      <c r="F37" s="30" t="n">
        <v>41930</v>
      </c>
      <c r="G37" s="30" t="n">
        <v>41944</v>
      </c>
      <c r="H37" s="31" t="n">
        <f aca="false">INT(($H$327-G37)/30)</f>
        <v>14</v>
      </c>
      <c r="I37" s="24" t="n">
        <f aca="false">H37*1000</f>
        <v>14000</v>
      </c>
      <c r="J37" s="31" t="n">
        <v>9000</v>
      </c>
      <c r="K37" s="31"/>
      <c r="L37" s="59" t="n">
        <f aca="false">I37-J37-K37</f>
        <v>5000</v>
      </c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59" t="n">
        <f aca="false">V37-W37-X37</f>
        <v>0</v>
      </c>
    </row>
    <row collapsed="false" customFormat="false" customHeight="false" hidden="false" ht="15" outlineLevel="0" r="38">
      <c r="A38" s="19" t="n">
        <f aca="false">VLOOKUP(B38,справочник!$B$2:$E$322,4,0)</f>
        <v>188</v>
      </c>
      <c r="B38" s="0" t="e">
        <f aca="false">CONCATENATE(C38;D38)</f>
        <v>#VALUE!</v>
      </c>
      <c r="C38" s="36" t="n">
        <v>196</v>
      </c>
      <c r="D38" s="93" t="s">
        <v>53</v>
      </c>
      <c r="E38" s="24" t="s">
        <v>407</v>
      </c>
      <c r="F38" s="34" t="n">
        <v>41674</v>
      </c>
      <c r="G38" s="34" t="n">
        <v>41699</v>
      </c>
      <c r="H38" s="35" t="n">
        <f aca="false">INT(($H$327-G38)/30)</f>
        <v>22</v>
      </c>
      <c r="I38" s="36" t="n">
        <f aca="false">H38*1000</f>
        <v>22000</v>
      </c>
      <c r="J38" s="35" t="n">
        <v>10000</v>
      </c>
      <c r="K38" s="35"/>
      <c r="L38" s="66" t="n">
        <f aca="false">I38-J38-K38</f>
        <v>12000</v>
      </c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6" t="n">
        <f aca="false">V38-W38-X38</f>
        <v>0</v>
      </c>
    </row>
    <row collapsed="false" customFormat="false" customHeight="false" hidden="false" ht="15" outlineLevel="0" r="39">
      <c r="A39" s="19" t="n">
        <f aca="false">VLOOKUP(B39,справочник!$B$2:$E$322,4,0)</f>
        <v>188</v>
      </c>
      <c r="B39" s="0" t="e">
        <f aca="false">CONCATENATE(C39;D39)</f>
        <v>#VALUE!</v>
      </c>
      <c r="C39" s="36" t="n">
        <v>197</v>
      </c>
      <c r="D39" s="93" t="s">
        <v>53</v>
      </c>
      <c r="E39" s="24"/>
      <c r="F39" s="34" t="n">
        <v>41674</v>
      </c>
      <c r="G39" s="34" t="n">
        <v>41699</v>
      </c>
      <c r="H39" s="35" t="n">
        <f aca="false">INT(($H$327-G39)/30)</f>
        <v>22</v>
      </c>
      <c r="I39" s="36" t="n">
        <f aca="false">H39*1000</f>
        <v>22000</v>
      </c>
      <c r="J39" s="35"/>
      <c r="K39" s="35"/>
      <c r="L39" s="66" t="n">
        <f aca="false">I39-J39-K39</f>
        <v>22000</v>
      </c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6" t="n">
        <f aca="false">V39-W39-X39</f>
        <v>0</v>
      </c>
    </row>
    <row collapsed="false" customFormat="false" customHeight="false" hidden="false" ht="15" outlineLevel="0" r="40">
      <c r="A40" s="19" t="n">
        <f aca="false">VLOOKUP(B40,справочник!$B$2:$E$322,4,0)</f>
        <v>219</v>
      </c>
      <c r="B40" s="0" t="e">
        <f aca="false">CONCATENATE(C40;D40)</f>
        <v>#VALUE!</v>
      </c>
      <c r="C40" s="24" t="n">
        <v>228</v>
      </c>
      <c r="D40" s="29" t="s">
        <v>304</v>
      </c>
      <c r="E40" s="24" t="s">
        <v>408</v>
      </c>
      <c r="F40" s="30" t="n">
        <v>41848</v>
      </c>
      <c r="G40" s="30" t="n">
        <v>41883</v>
      </c>
      <c r="H40" s="31" t="n">
        <f aca="false">INT(($H$327-G40)/30)</f>
        <v>16</v>
      </c>
      <c r="I40" s="24" t="n">
        <f aca="false">H40*1000</f>
        <v>16000</v>
      </c>
      <c r="J40" s="31" t="n">
        <v>13000</v>
      </c>
      <c r="K40" s="31" t="n">
        <v>3000</v>
      </c>
      <c r="L40" s="59" t="n">
        <f aca="false">I40-J40-K40</f>
        <v>0</v>
      </c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59" t="n">
        <f aca="false">V40-W40-X40</f>
        <v>0</v>
      </c>
    </row>
    <row collapsed="false" customFormat="false" customHeight="false" hidden="false" ht="15" outlineLevel="0" r="41">
      <c r="A41" s="19" t="n">
        <f aca="false">VLOOKUP(B41,справочник!$B$2:$E$322,4,0)</f>
        <v>223</v>
      </c>
      <c r="B41" s="0" t="e">
        <f aca="false">CONCATENATE(C41;D41)</f>
        <v>#VALUE!</v>
      </c>
      <c r="C41" s="94" t="n">
        <v>232</v>
      </c>
      <c r="D41" s="95" t="s">
        <v>26</v>
      </c>
      <c r="E41" s="24" t="s">
        <v>409</v>
      </c>
      <c r="F41" s="30" t="n">
        <v>40955</v>
      </c>
      <c r="G41" s="30" t="n">
        <v>40940</v>
      </c>
      <c r="H41" s="31" t="n">
        <f aca="false">INT(($H$327-G41)/30)</f>
        <v>47</v>
      </c>
      <c r="I41" s="24" t="n">
        <f aca="false">H41*1000</f>
        <v>47000</v>
      </c>
      <c r="J41" s="31" t="n">
        <v>1000</v>
      </c>
      <c r="K41" s="31"/>
      <c r="L41" s="59" t="n">
        <f aca="false">I41-J41-K41</f>
        <v>46000</v>
      </c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59" t="n">
        <f aca="false">V41-W41-X41</f>
        <v>0</v>
      </c>
    </row>
    <row collapsed="false" customFormat="false" customHeight="false" hidden="false" ht="15" outlineLevel="0" r="42">
      <c r="A42" s="19" t="n">
        <f aca="false">VLOOKUP(B42,справочник!$B$2:$E$322,4,0)</f>
        <v>137</v>
      </c>
      <c r="B42" s="0" t="e">
        <f aca="false">CONCATENATE(C42;D42)</f>
        <v>#VALUE!</v>
      </c>
      <c r="C42" s="24" t="n">
        <v>145</v>
      </c>
      <c r="D42" s="29" t="s">
        <v>242</v>
      </c>
      <c r="E42" s="24" t="s">
        <v>410</v>
      </c>
      <c r="F42" s="30" t="n">
        <v>41030</v>
      </c>
      <c r="G42" s="30" t="n">
        <v>41030</v>
      </c>
      <c r="H42" s="31" t="n">
        <f aca="false">INT(($H$327-G42)/30)</f>
        <v>44</v>
      </c>
      <c r="I42" s="24" t="n">
        <f aca="false">H42*1000</f>
        <v>44000</v>
      </c>
      <c r="J42" s="31" t="n">
        <v>44000</v>
      </c>
      <c r="K42" s="31"/>
      <c r="L42" s="59" t="n">
        <f aca="false">I42-J42-K42</f>
        <v>0</v>
      </c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59" t="n">
        <f aca="false">V42-W42-X42</f>
        <v>0</v>
      </c>
    </row>
    <row collapsed="false" customFormat="false" customHeight="false" hidden="false" ht="15" outlineLevel="0" r="43">
      <c r="A43" s="19" t="n">
        <f aca="false">VLOOKUP(B43,справочник!$B$2:$E$322,4,0)</f>
        <v>105</v>
      </c>
      <c r="B43" s="0" t="e">
        <f aca="false">CONCATENATE(C43;D43)</f>
        <v>#VALUE!</v>
      </c>
      <c r="C43" s="24" t="n">
        <v>110</v>
      </c>
      <c r="D43" s="93" t="s">
        <v>113</v>
      </c>
      <c r="E43" s="24" t="s">
        <v>411</v>
      </c>
      <c r="F43" s="30" t="n">
        <v>40925</v>
      </c>
      <c r="G43" s="30" t="n">
        <v>40909</v>
      </c>
      <c r="H43" s="31" t="n">
        <f aca="false">INT(($H$327-G43)/30)</f>
        <v>48</v>
      </c>
      <c r="I43" s="24" t="n">
        <f aca="false">H43*1000</f>
        <v>48000</v>
      </c>
      <c r="J43" s="31" t="n">
        <v>28000</v>
      </c>
      <c r="K43" s="31"/>
      <c r="L43" s="59" t="n">
        <f aca="false">I43-J43-K43</f>
        <v>20000</v>
      </c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59" t="n">
        <f aca="false">V43-W43-X43</f>
        <v>0</v>
      </c>
    </row>
    <row collapsed="false" customFormat="false" customHeight="false" hidden="false" ht="15" outlineLevel="0" r="44">
      <c r="A44" s="19" t="n">
        <f aca="false">VLOOKUP(B44,справочник!$B$2:$E$322,4,0)</f>
        <v>98</v>
      </c>
      <c r="B44" s="0" t="e">
        <f aca="false">CONCATENATE(C44;D44)</f>
        <v>#VALUE!</v>
      </c>
      <c r="C44" s="24" t="n">
        <v>103</v>
      </c>
      <c r="D44" s="93" t="s">
        <v>103</v>
      </c>
      <c r="E44" s="24" t="s">
        <v>412</v>
      </c>
      <c r="F44" s="30" t="n">
        <v>40897</v>
      </c>
      <c r="G44" s="30" t="n">
        <v>40878</v>
      </c>
      <c r="H44" s="31" t="n">
        <f aca="false">INT(($H$327-G44)/30)</f>
        <v>49</v>
      </c>
      <c r="I44" s="24" t="n">
        <f aca="false">H44*1000</f>
        <v>49000</v>
      </c>
      <c r="J44" s="31" t="n">
        <f aca="false">29000+1000</f>
        <v>30000</v>
      </c>
      <c r="K44" s="31"/>
      <c r="L44" s="59" t="n">
        <f aca="false">I44-J44-K44</f>
        <v>19000</v>
      </c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59" t="n">
        <f aca="false">V44-W44-X44</f>
        <v>0</v>
      </c>
    </row>
    <row collapsed="false" customFormat="false" customHeight="false" hidden="false" ht="15" outlineLevel="0" r="45">
      <c r="A45" s="19" t="n">
        <f aca="false">VLOOKUP(B45,справочник!$B$2:$E$322,4,0)</f>
        <v>274</v>
      </c>
      <c r="B45" s="0" t="e">
        <f aca="false">CONCATENATE(C45;D45)</f>
        <v>#VALUE!</v>
      </c>
      <c r="C45" s="36" t="n">
        <v>287</v>
      </c>
      <c r="D45" s="65" t="s">
        <v>314</v>
      </c>
      <c r="E45" s="36"/>
      <c r="F45" s="34" t="n">
        <v>42023</v>
      </c>
      <c r="G45" s="34" t="n">
        <v>42036</v>
      </c>
      <c r="H45" s="35" t="n">
        <f aca="false">INT(($H$327-G45)/30)</f>
        <v>11</v>
      </c>
      <c r="I45" s="36" t="n">
        <f aca="false">H45*1000</f>
        <v>11000</v>
      </c>
      <c r="J45" s="35" t="n">
        <v>2000</v>
      </c>
      <c r="K45" s="35"/>
      <c r="L45" s="66" t="n">
        <f aca="false">I45-J45-K45</f>
        <v>9000</v>
      </c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6" t="n">
        <f aca="false">V45-W45-X45</f>
        <v>0</v>
      </c>
    </row>
    <row collapsed="false" customFormat="false" customHeight="false" hidden="false" ht="15" outlineLevel="0" r="46">
      <c r="A46" s="19" t="n">
        <f aca="false">VLOOKUP(B46,справочник!$B$2:$E$322,4,0)</f>
        <v>274</v>
      </c>
      <c r="B46" s="0" t="e">
        <f aca="false">CONCATENATE(C46;D46)</f>
        <v>#VALUE!</v>
      </c>
      <c r="C46" s="36" t="n">
        <v>295</v>
      </c>
      <c r="D46" s="65" t="s">
        <v>314</v>
      </c>
      <c r="E46" s="36"/>
      <c r="F46" s="34" t="n">
        <v>42023</v>
      </c>
      <c r="G46" s="34" t="n">
        <v>42036</v>
      </c>
      <c r="H46" s="35" t="n">
        <f aca="false">INT(($H$327-G46)/30)</f>
        <v>11</v>
      </c>
      <c r="I46" s="36" t="n">
        <f aca="false">H46*1000</f>
        <v>11000</v>
      </c>
      <c r="J46" s="35"/>
      <c r="K46" s="35"/>
      <c r="L46" s="66" t="n">
        <f aca="false">I46-J46-K46</f>
        <v>11000</v>
      </c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6" t="n">
        <f aca="false">V46-W46-X46</f>
        <v>0</v>
      </c>
    </row>
    <row collapsed="false" customFormat="false" customHeight="false" hidden="false" ht="15" outlineLevel="0" r="47">
      <c r="A47" s="19" t="n">
        <f aca="false">VLOOKUP(B47,справочник!$B$2:$E$322,4,0)</f>
        <v>175</v>
      </c>
      <c r="B47" s="0" t="e">
        <f aca="false">CONCATENATE(C47;D47)</f>
        <v>#VALUE!</v>
      </c>
      <c r="C47" s="36" t="n">
        <v>183</v>
      </c>
      <c r="D47" s="65" t="s">
        <v>150</v>
      </c>
      <c r="E47" s="24" t="s">
        <v>413</v>
      </c>
      <c r="F47" s="34" t="n">
        <v>41865</v>
      </c>
      <c r="G47" s="34" t="n">
        <v>41883</v>
      </c>
      <c r="H47" s="35" t="n">
        <f aca="false">INT(($H$327-G47)/30)</f>
        <v>16</v>
      </c>
      <c r="I47" s="36" t="n">
        <f aca="false">H47*1000</f>
        <v>16000</v>
      </c>
      <c r="J47" s="35"/>
      <c r="K47" s="35"/>
      <c r="L47" s="66" t="n">
        <f aca="false">I47-J47-K47</f>
        <v>16000</v>
      </c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6" t="n">
        <f aca="false">V47-W47-X47</f>
        <v>0</v>
      </c>
    </row>
    <row collapsed="false" customFormat="false" customHeight="false" hidden="false" ht="15" outlineLevel="0" r="48">
      <c r="A48" s="19" t="n">
        <f aca="false">VLOOKUP(B48,справочник!$B$2:$E$322,4,0)</f>
        <v>175</v>
      </c>
      <c r="B48" s="0" t="e">
        <f aca="false">CONCATENATE(C48;D48)</f>
        <v>#VALUE!</v>
      </c>
      <c r="C48" s="36" t="n">
        <v>187</v>
      </c>
      <c r="D48" s="93" t="s">
        <v>150</v>
      </c>
      <c r="E48" s="24" t="s">
        <v>414</v>
      </c>
      <c r="F48" s="34" t="n">
        <v>41865</v>
      </c>
      <c r="G48" s="34" t="n">
        <v>41883</v>
      </c>
      <c r="H48" s="35" t="n">
        <f aca="false">INT(($H$327-G48)/30)</f>
        <v>16</v>
      </c>
      <c r="I48" s="36" t="n">
        <f aca="false">H48*1000</f>
        <v>16000</v>
      </c>
      <c r="J48" s="35"/>
      <c r="K48" s="35"/>
      <c r="L48" s="66" t="n">
        <f aca="false">I48-J48-K48</f>
        <v>16000</v>
      </c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6" t="n">
        <f aca="false">V48-W48-X48</f>
        <v>0</v>
      </c>
    </row>
    <row collapsed="false" customFormat="false" customHeight="false" hidden="false" ht="15" outlineLevel="0" r="49">
      <c r="A49" s="19" t="n">
        <f aca="false">VLOOKUP(B49,справочник!$B$2:$E$322,4,0)</f>
        <v>303</v>
      </c>
      <c r="B49" s="0" t="e">
        <f aca="false">CONCATENATE(C49;D49)</f>
        <v>#VALUE!</v>
      </c>
      <c r="C49" s="36" t="n">
        <v>318</v>
      </c>
      <c r="D49" s="93" t="s">
        <v>74</v>
      </c>
      <c r="E49" s="24" t="s">
        <v>415</v>
      </c>
      <c r="F49" s="34" t="n">
        <v>42002</v>
      </c>
      <c r="G49" s="34" t="n">
        <v>42005</v>
      </c>
      <c r="H49" s="35" t="n">
        <f aca="false">INT(($H$327-G49)/30)</f>
        <v>12</v>
      </c>
      <c r="I49" s="36" t="n">
        <f aca="false">H49*1000</f>
        <v>12000</v>
      </c>
      <c r="J49" s="35"/>
      <c r="K49" s="35"/>
      <c r="L49" s="66" t="n">
        <f aca="false">I49-J49-K49</f>
        <v>12000</v>
      </c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6" t="n">
        <f aca="false">V49-W49-X49</f>
        <v>0</v>
      </c>
    </row>
    <row collapsed="false" customFormat="false" customHeight="false" hidden="false" ht="15" outlineLevel="0" r="50">
      <c r="A50" s="19" t="n">
        <f aca="false">VLOOKUP(B50,справочник!$B$2:$E$322,4,0)</f>
        <v>303</v>
      </c>
      <c r="B50" s="0" t="e">
        <f aca="false">CONCATENATE(C50;D50)</f>
        <v>#VALUE!</v>
      </c>
      <c r="C50" s="36" t="n">
        <v>319</v>
      </c>
      <c r="D50" s="93" t="s">
        <v>74</v>
      </c>
      <c r="E50" s="24" t="s">
        <v>416</v>
      </c>
      <c r="F50" s="34" t="n">
        <v>42002</v>
      </c>
      <c r="G50" s="34" t="n">
        <v>42005</v>
      </c>
      <c r="H50" s="35" t="n">
        <f aca="false">INT(($H$327-G50)/30)</f>
        <v>12</v>
      </c>
      <c r="I50" s="36" t="n">
        <f aca="false">H50*1000</f>
        <v>12000</v>
      </c>
      <c r="J50" s="35"/>
      <c r="K50" s="35"/>
      <c r="L50" s="66" t="n">
        <f aca="false">I50-J50-K50</f>
        <v>12000</v>
      </c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6" t="n">
        <f aca="false">V50-W50-X50</f>
        <v>0</v>
      </c>
    </row>
    <row collapsed="false" customFormat="false" customHeight="false" hidden="false" ht="15" outlineLevel="0" r="51">
      <c r="A51" s="19" t="n">
        <f aca="false">VLOOKUP(B51,справочник!$B$2:$E$322,4,0)</f>
        <v>90</v>
      </c>
      <c r="B51" s="0" t="e">
        <f aca="false">CONCATENATE(C51;D51)</f>
        <v>#VALUE!</v>
      </c>
      <c r="C51" s="24" t="n">
        <v>95</v>
      </c>
      <c r="D51" s="29" t="s">
        <v>286</v>
      </c>
      <c r="E51" s="24" t="s">
        <v>417</v>
      </c>
      <c r="F51" s="30" t="n">
        <v>40795</v>
      </c>
      <c r="G51" s="30" t="n">
        <v>40787</v>
      </c>
      <c r="H51" s="31" t="n">
        <f aca="false">INT(($H$327-G51)/30)</f>
        <v>52</v>
      </c>
      <c r="I51" s="24" t="n">
        <f aca="false">H51*1000</f>
        <v>52000</v>
      </c>
      <c r="J51" s="31" t="n">
        <f aca="false">36000+4000+12000</f>
        <v>52000</v>
      </c>
      <c r="K51" s="31"/>
      <c r="L51" s="59" t="n">
        <f aca="false">I51-J51-K51</f>
        <v>0</v>
      </c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59" t="n">
        <f aca="false">V51-W51-X51</f>
        <v>0</v>
      </c>
    </row>
    <row collapsed="false" customFormat="false" customHeight="false" hidden="false" ht="15" outlineLevel="0" r="52">
      <c r="A52" s="19" t="n">
        <f aca="false">VLOOKUP(B52,справочник!$B$2:$E$322,4,0)</f>
        <v>206</v>
      </c>
      <c r="B52" s="0" t="e">
        <f aca="false">CONCATENATE(C52;D52)</f>
        <v>#VALUE!</v>
      </c>
      <c r="C52" s="24" t="n">
        <v>216</v>
      </c>
      <c r="D52" s="93" t="s">
        <v>159</v>
      </c>
      <c r="E52" s="24" t="s">
        <v>418</v>
      </c>
      <c r="F52" s="30" t="n">
        <v>40953</v>
      </c>
      <c r="G52" s="30" t="n">
        <v>40940</v>
      </c>
      <c r="H52" s="31" t="n">
        <f aca="false">INT(($H$327-G52)/30)</f>
        <v>47</v>
      </c>
      <c r="I52" s="24" t="n">
        <f aca="false">H52*1000</f>
        <v>47000</v>
      </c>
      <c r="J52" s="31" t="n">
        <v>38000</v>
      </c>
      <c r="K52" s="31"/>
      <c r="L52" s="59" t="n">
        <f aca="false">I52-J52-K52</f>
        <v>9000</v>
      </c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59" t="n">
        <f aca="false">V52-W52-X52</f>
        <v>0</v>
      </c>
    </row>
    <row collapsed="false" customFormat="false" customHeight="false" hidden="false" ht="15" outlineLevel="0" r="53">
      <c r="A53" s="19" t="n">
        <f aca="false">VLOOKUP(B53,справочник!$B$2:$E$322,4,0)</f>
        <v>101</v>
      </c>
      <c r="B53" s="0" t="e">
        <f aca="false">CONCATENATE(C53;D53)</f>
        <v>#VALUE!</v>
      </c>
      <c r="C53" s="24" t="n">
        <v>106</v>
      </c>
      <c r="D53" s="93" t="s">
        <v>196</v>
      </c>
      <c r="E53" s="24" t="s">
        <v>419</v>
      </c>
      <c r="F53" s="30" t="n">
        <v>40816</v>
      </c>
      <c r="G53" s="30" t="n">
        <v>40787</v>
      </c>
      <c r="H53" s="31" t="n">
        <f aca="false">INT(($H$327-G53)/30)</f>
        <v>52</v>
      </c>
      <c r="I53" s="24" t="n">
        <f aca="false">H53*1000</f>
        <v>52000</v>
      </c>
      <c r="J53" s="31" t="n">
        <f aca="false">42000+1000</f>
        <v>43000</v>
      </c>
      <c r="K53" s="31"/>
      <c r="L53" s="59" t="n">
        <f aca="false">I53-J53-K53</f>
        <v>9000</v>
      </c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59" t="n">
        <f aca="false">V53-W53-X53</f>
        <v>0</v>
      </c>
    </row>
    <row collapsed="false" customFormat="false" customHeight="false" hidden="false" ht="15" outlineLevel="0" r="54">
      <c r="A54" s="19" t="n">
        <f aca="false">VLOOKUP(B54,справочник!$B$2:$E$322,4,0)</f>
        <v>86</v>
      </c>
      <c r="B54" s="0" t="e">
        <f aca="false">CONCATENATE(C54;D54)</f>
        <v>#VALUE!</v>
      </c>
      <c r="C54" s="24" t="n">
        <v>91</v>
      </c>
      <c r="D54" s="29" t="s">
        <v>277</v>
      </c>
      <c r="E54" s="24" t="s">
        <v>420</v>
      </c>
      <c r="F54" s="30" t="n">
        <v>40847</v>
      </c>
      <c r="G54" s="30" t="n">
        <v>40817</v>
      </c>
      <c r="H54" s="31" t="n">
        <f aca="false">INT(($H$327-G54)/30)</f>
        <v>51</v>
      </c>
      <c r="I54" s="24" t="n">
        <f aca="false">H54*1000</f>
        <v>51000</v>
      </c>
      <c r="J54" s="31" t="n">
        <f aca="false">34000+13000</f>
        <v>47000</v>
      </c>
      <c r="K54" s="31" t="n">
        <v>4000</v>
      </c>
      <c r="L54" s="59" t="n">
        <f aca="false">I54-J54-K54</f>
        <v>0</v>
      </c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59" t="n">
        <f aca="false">V54-W54-X54</f>
        <v>0</v>
      </c>
    </row>
    <row collapsed="false" customFormat="false" customHeight="false" hidden="false" ht="15" outlineLevel="0" r="55">
      <c r="A55" s="19" t="n">
        <f aca="false">VLOOKUP(B55,справочник!$B$2:$E$322,4,0)</f>
        <v>43</v>
      </c>
      <c r="B55" s="0" t="e">
        <f aca="false">CONCATENATE(C55;D55)</f>
        <v>#VALUE!</v>
      </c>
      <c r="C55" s="24" t="n">
        <v>43</v>
      </c>
      <c r="D55" s="93" t="s">
        <v>89</v>
      </c>
      <c r="E55" s="24" t="s">
        <v>421</v>
      </c>
      <c r="F55" s="30" t="n">
        <v>40786</v>
      </c>
      <c r="G55" s="30" t="n">
        <v>40787</v>
      </c>
      <c r="H55" s="31" t="n">
        <f aca="false">INT(($H$327-G55)/30)</f>
        <v>52</v>
      </c>
      <c r="I55" s="24" t="n">
        <f aca="false">H55*1000</f>
        <v>52000</v>
      </c>
      <c r="J55" s="31" t="n">
        <f aca="false">27000+2000</f>
        <v>29000</v>
      </c>
      <c r="K55" s="31"/>
      <c r="L55" s="59" t="n">
        <f aca="false">I55-J55-K55</f>
        <v>23000</v>
      </c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59" t="n">
        <f aca="false">V55-W55-X55</f>
        <v>0</v>
      </c>
    </row>
    <row collapsed="false" customFormat="false" customHeight="false" hidden="false" ht="15" outlineLevel="0" r="56">
      <c r="A56" s="19" t="n">
        <f aca="false">VLOOKUP(B56,справочник!$B$2:$E$322,4,0)</f>
        <v>25</v>
      </c>
      <c r="B56" s="0" t="e">
        <f aca="false">CONCATENATE(C56;D56)</f>
        <v>#VALUE!</v>
      </c>
      <c r="C56" s="24" t="n">
        <v>25</v>
      </c>
      <c r="D56" s="29" t="s">
        <v>310</v>
      </c>
      <c r="E56" s="24" t="s">
        <v>422</v>
      </c>
      <c r="F56" s="30" t="n">
        <v>40955</v>
      </c>
      <c r="G56" s="30" t="n">
        <v>40940</v>
      </c>
      <c r="H56" s="31" t="n">
        <f aca="false">INT(($H$327-G56)/30)</f>
        <v>47</v>
      </c>
      <c r="I56" s="24" t="n">
        <f aca="false">H56*1000</f>
        <v>47000</v>
      </c>
      <c r="J56" s="31" t="n">
        <f aca="false">33000+11000</f>
        <v>44000</v>
      </c>
      <c r="K56" s="31" t="n">
        <v>3000</v>
      </c>
      <c r="L56" s="59" t="n">
        <f aca="false">I56-J56-K56</f>
        <v>0</v>
      </c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59" t="n">
        <f aca="false">V56-W56-X56</f>
        <v>0</v>
      </c>
    </row>
    <row collapsed="false" customFormat="false" customHeight="false" hidden="false" ht="15" outlineLevel="0" r="57">
      <c r="A57" s="19" t="n">
        <f aca="false">VLOOKUP(B57,справочник!$B$2:$E$322,4,0)</f>
        <v>138</v>
      </c>
      <c r="B57" s="0" t="e">
        <f aca="false">CONCATENATE(C57;D57)</f>
        <v>#VALUE!</v>
      </c>
      <c r="C57" s="24" t="n">
        <v>146</v>
      </c>
      <c r="D57" s="29" t="s">
        <v>302</v>
      </c>
      <c r="E57" s="24" t="s">
        <v>423</v>
      </c>
      <c r="F57" s="30" t="n">
        <v>40784</v>
      </c>
      <c r="G57" s="30" t="n">
        <v>40756</v>
      </c>
      <c r="H57" s="31" t="n">
        <f aca="false">INT(($H$327-G57)/30)</f>
        <v>53</v>
      </c>
      <c r="I57" s="24" t="n">
        <f aca="false">H57*1000</f>
        <v>53000</v>
      </c>
      <c r="J57" s="31" t="n">
        <f aca="false">53000</f>
        <v>53000</v>
      </c>
      <c r="K57" s="31"/>
      <c r="L57" s="59" t="n">
        <f aca="false">I57-J57-K57</f>
        <v>0</v>
      </c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59" t="n">
        <f aca="false">V57-W57-X57</f>
        <v>0</v>
      </c>
    </row>
    <row collapsed="false" customFormat="false" customHeight="false" hidden="false" ht="15" outlineLevel="0" r="58">
      <c r="A58" s="19" t="n">
        <f aca="false">VLOOKUP(B58,справочник!$B$2:$E$322,4,0)</f>
        <v>228</v>
      </c>
      <c r="B58" s="0" t="e">
        <f aca="false">CONCATENATE(C58;D58)</f>
        <v>#VALUE!</v>
      </c>
      <c r="C58" s="24" t="n">
        <v>237</v>
      </c>
      <c r="D58" s="93" t="s">
        <v>85</v>
      </c>
      <c r="E58" s="24" t="s">
        <v>424</v>
      </c>
      <c r="F58" s="30" t="n">
        <v>41703</v>
      </c>
      <c r="G58" s="30" t="n">
        <v>41730</v>
      </c>
      <c r="H58" s="31" t="n">
        <f aca="false">INT(($H$327-G58)/30)</f>
        <v>21</v>
      </c>
      <c r="I58" s="24" t="n">
        <f aca="false">H58*1000</f>
        <v>21000</v>
      </c>
      <c r="J58" s="31"/>
      <c r="K58" s="31"/>
      <c r="L58" s="59" t="n">
        <f aca="false">I58-J58-K58</f>
        <v>21000</v>
      </c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59" t="n">
        <f aca="false">V58-W58-X58</f>
        <v>0</v>
      </c>
    </row>
    <row collapsed="false" customFormat="false" customHeight="false" hidden="false" ht="15" outlineLevel="0" r="59">
      <c r="A59" s="19" t="n">
        <f aca="false">VLOOKUP(B59,справочник!$B$2:$E$322,4,0)</f>
        <v>37</v>
      </c>
      <c r="B59" s="0" t="e">
        <f aca="false">CONCATENATE(C59;D59)</f>
        <v>#VALUE!</v>
      </c>
      <c r="C59" s="24" t="n">
        <v>37</v>
      </c>
      <c r="D59" s="29" t="s">
        <v>218</v>
      </c>
      <c r="E59" s="24" t="s">
        <v>425</v>
      </c>
      <c r="F59" s="30" t="n">
        <v>40795</v>
      </c>
      <c r="G59" s="30" t="n">
        <v>40787</v>
      </c>
      <c r="H59" s="31" t="n">
        <f aca="false">INT(($H$327-G59)/30)</f>
        <v>52</v>
      </c>
      <c r="I59" s="24" t="n">
        <f aca="false">H59*1000</f>
        <v>52000</v>
      </c>
      <c r="J59" s="31" t="n">
        <f aca="false">48000+4000</f>
        <v>52000</v>
      </c>
      <c r="K59" s="31"/>
      <c r="L59" s="59" t="n">
        <f aca="false">I59-J59-K59</f>
        <v>0</v>
      </c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59" t="n">
        <f aca="false">V59-W59-X59</f>
        <v>0</v>
      </c>
    </row>
    <row collapsed="false" customFormat="false" customHeight="false" hidden="false" ht="15" outlineLevel="0" r="60">
      <c r="A60" s="19" t="n">
        <f aca="false">VLOOKUP(B60,справочник!$B$2:$E$322,4,0)</f>
        <v>126</v>
      </c>
      <c r="B60" s="0" t="e">
        <f aca="false">CONCATENATE(C60;D60)</f>
        <v>#VALUE!</v>
      </c>
      <c r="C60" s="24" t="n">
        <v>131</v>
      </c>
      <c r="D60" s="29" t="s">
        <v>244</v>
      </c>
      <c r="E60" s="24" t="s">
        <v>426</v>
      </c>
      <c r="F60" s="30" t="n">
        <v>41183</v>
      </c>
      <c r="G60" s="30" t="n">
        <v>41244</v>
      </c>
      <c r="H60" s="31" t="n">
        <f aca="false">INT(($H$327-G60)/30)</f>
        <v>37</v>
      </c>
      <c r="I60" s="24" t="n">
        <f aca="false">H60*1000</f>
        <v>37000</v>
      </c>
      <c r="J60" s="31" t="n">
        <f aca="false">24000</f>
        <v>24000</v>
      </c>
      <c r="K60" s="31" t="n">
        <v>13000</v>
      </c>
      <c r="L60" s="59" t="n">
        <f aca="false">I60-J60-K60</f>
        <v>0</v>
      </c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59" t="n">
        <f aca="false">V60-W60-X60</f>
        <v>0</v>
      </c>
    </row>
    <row collapsed="false" customFormat="false" customHeight="false" hidden="false" ht="15" outlineLevel="0" r="61">
      <c r="A61" s="19" t="n">
        <f aca="false">VLOOKUP(B61,справочник!$B$2:$E$322,4,0)</f>
        <v>58</v>
      </c>
      <c r="B61" s="0" t="e">
        <f aca="false">CONCATENATE(C61;D61)</f>
        <v>#VALUE!</v>
      </c>
      <c r="C61" s="24" t="n">
        <v>60</v>
      </c>
      <c r="D61" s="29" t="s">
        <v>273</v>
      </c>
      <c r="E61" s="24" t="s">
        <v>427</v>
      </c>
      <c r="F61" s="30" t="n">
        <v>41303</v>
      </c>
      <c r="G61" s="30" t="n">
        <v>41306</v>
      </c>
      <c r="H61" s="31" t="n">
        <f aca="false">INT(($H$327-G61)/30)</f>
        <v>35</v>
      </c>
      <c r="I61" s="24" t="n">
        <f aca="false">H61*1000</f>
        <v>35000</v>
      </c>
      <c r="J61" s="31" t="n">
        <f aca="false">31000</f>
        <v>31000</v>
      </c>
      <c r="K61" s="31"/>
      <c r="L61" s="59" t="n">
        <f aca="false">I61-J61-K61</f>
        <v>4000</v>
      </c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59" t="n">
        <f aca="false">V61-W61-X61</f>
        <v>0</v>
      </c>
    </row>
    <row collapsed="false" customFormat="false" customHeight="false" hidden="false" ht="15" outlineLevel="0" r="62">
      <c r="A62" s="19" t="n">
        <f aca="false">VLOOKUP(B62,справочник!$B$2:$E$322,4,0)</f>
        <v>117</v>
      </c>
      <c r="B62" s="0" t="e">
        <f aca="false">CONCATENATE(C62;D62)</f>
        <v>#VALUE!</v>
      </c>
      <c r="C62" s="24" t="n">
        <v>122</v>
      </c>
      <c r="D62" s="93" t="s">
        <v>100</v>
      </c>
      <c r="E62" s="24" t="s">
        <v>428</v>
      </c>
      <c r="F62" s="30" t="n">
        <v>41407</v>
      </c>
      <c r="G62" s="30" t="n">
        <v>41426</v>
      </c>
      <c r="H62" s="31" t="n">
        <f aca="false">INT(($H$327-G62)/30)</f>
        <v>31</v>
      </c>
      <c r="I62" s="24" t="n">
        <f aca="false">H62*1000</f>
        <v>31000</v>
      </c>
      <c r="J62" s="31" t="n">
        <f aca="false">12000</f>
        <v>12000</v>
      </c>
      <c r="K62" s="31"/>
      <c r="L62" s="59" t="n">
        <f aca="false">I62-J62-K62</f>
        <v>19000</v>
      </c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59" t="n">
        <f aca="false">V62-W62-X62</f>
        <v>0</v>
      </c>
    </row>
    <row collapsed="false" customFormat="false" customHeight="false" hidden="false" ht="15" outlineLevel="0" r="63">
      <c r="A63" s="19" t="n">
        <f aca="false">VLOOKUP(B63,справочник!$B$2:$E$322,4,0)</f>
        <v>61</v>
      </c>
      <c r="B63" s="0" t="e">
        <f aca="false">CONCATENATE(C63;D63)</f>
        <v>#VALUE!</v>
      </c>
      <c r="C63" s="24" t="n">
        <v>63</v>
      </c>
      <c r="D63" s="93" t="s">
        <v>88</v>
      </c>
      <c r="E63" s="24" t="s">
        <v>429</v>
      </c>
      <c r="F63" s="30" t="n">
        <v>40921</v>
      </c>
      <c r="G63" s="30" t="n">
        <v>40909</v>
      </c>
      <c r="H63" s="31" t="n">
        <f aca="false">INT(($H$327-G63)/30)</f>
        <v>48</v>
      </c>
      <c r="I63" s="24" t="n">
        <f aca="false">H63*1000</f>
        <v>48000</v>
      </c>
      <c r="J63" s="31" t="n">
        <f aca="false">27000</f>
        <v>27000</v>
      </c>
      <c r="K63" s="31"/>
      <c r="L63" s="59" t="n">
        <f aca="false">I63-J63-K63</f>
        <v>21000</v>
      </c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59" t="n">
        <f aca="false">V63-W63-X63</f>
        <v>0</v>
      </c>
    </row>
    <row collapsed="false" customFormat="false" customHeight="false" hidden="false" ht="15" outlineLevel="0" r="64">
      <c r="A64" s="19" t="n">
        <f aca="false">VLOOKUP(B64,справочник!$B$2:$E$322,4,0)</f>
        <v>294</v>
      </c>
      <c r="B64" s="0" t="e">
        <f aca="false">CONCATENATE(C64;D64)</f>
        <v>#VALUE!</v>
      </c>
      <c r="C64" s="24" t="n">
        <v>309</v>
      </c>
      <c r="D64" s="29" t="s">
        <v>316</v>
      </c>
      <c r="E64" s="24" t="s">
        <v>430</v>
      </c>
      <c r="F64" s="30" t="n">
        <v>40953</v>
      </c>
      <c r="G64" s="30" t="n">
        <v>40940</v>
      </c>
      <c r="H64" s="31" t="n">
        <f aca="false">INT(($H$327-G64)/30)</f>
        <v>47</v>
      </c>
      <c r="I64" s="24" t="n">
        <f aca="false">H64*1000</f>
        <v>47000</v>
      </c>
      <c r="J64" s="31" t="n">
        <v>47000</v>
      </c>
      <c r="K64" s="31"/>
      <c r="L64" s="59" t="n">
        <f aca="false">I64-J64-K64</f>
        <v>0</v>
      </c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59" t="n">
        <f aca="false">V64-W64-X64</f>
        <v>0</v>
      </c>
    </row>
    <row collapsed="false" customFormat="false" customHeight="false" hidden="false" ht="15" outlineLevel="0" r="65">
      <c r="A65" s="19" t="n">
        <f aca="false">VLOOKUP(B65,справочник!$B$2:$E$322,4,0)</f>
        <v>286</v>
      </c>
      <c r="B65" s="0" t="e">
        <f aca="false">CONCATENATE(C65;D65)</f>
        <v>#VALUE!</v>
      </c>
      <c r="C65" s="24" t="n">
        <v>298</v>
      </c>
      <c r="D65" s="29" t="s">
        <v>320</v>
      </c>
      <c r="E65" s="24" t="s">
        <v>431</v>
      </c>
      <c r="F65" s="30" t="n">
        <v>41791</v>
      </c>
      <c r="G65" s="30" t="n">
        <v>41791</v>
      </c>
      <c r="H65" s="31" t="n">
        <f aca="false">INT(($H$327-G65)/30)</f>
        <v>19</v>
      </c>
      <c r="I65" s="24" t="n">
        <f aca="false">H65*1000</f>
        <v>19000</v>
      </c>
      <c r="J65" s="31" t="n">
        <v>19000</v>
      </c>
      <c r="K65" s="31"/>
      <c r="L65" s="59" t="n">
        <f aca="false">I65-J65-K65</f>
        <v>0</v>
      </c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59" t="n">
        <f aca="false">V65-W65-X65</f>
        <v>0</v>
      </c>
    </row>
    <row collapsed="false" customFormat="false" customHeight="false" hidden="false" ht="15" outlineLevel="0" r="66">
      <c r="A66" s="19" t="n">
        <f aca="false">VLOOKUP(B66,справочник!$B$2:$E$322,4,0)</f>
        <v>64</v>
      </c>
      <c r="B66" s="0" t="e">
        <f aca="false">CONCATENATE(C66;D66)</f>
        <v>#VALUE!</v>
      </c>
      <c r="C66" s="24" t="n">
        <v>66</v>
      </c>
      <c r="D66" s="93" t="s">
        <v>204</v>
      </c>
      <c r="E66" s="24" t="s">
        <v>432</v>
      </c>
      <c r="F66" s="30" t="n">
        <v>40772</v>
      </c>
      <c r="G66" s="30" t="n">
        <v>40756</v>
      </c>
      <c r="H66" s="31" t="n">
        <f aca="false">INT(($H$327-G66)/30)</f>
        <v>53</v>
      </c>
      <c r="I66" s="24" t="n">
        <f aca="false">H66*1000</f>
        <v>53000</v>
      </c>
      <c r="J66" s="31" t="n">
        <f aca="false">1000+45000</f>
        <v>46000</v>
      </c>
      <c r="K66" s="31"/>
      <c r="L66" s="59" t="n">
        <f aca="false">I66-J66-K66</f>
        <v>7000</v>
      </c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59" t="n">
        <f aca="false">V66-W66-X66</f>
        <v>0</v>
      </c>
    </row>
    <row collapsed="false" customFormat="false" customHeight="false" hidden="false" ht="15" outlineLevel="0" r="67">
      <c r="A67" s="19" t="n">
        <f aca="false">VLOOKUP(B67,справочник!$B$2:$E$322,4,0)</f>
        <v>94</v>
      </c>
      <c r="B67" s="0" t="e">
        <f aca="false">CONCATENATE(C67;D67)</f>
        <v>#VALUE!</v>
      </c>
      <c r="C67" s="24" t="n">
        <v>99</v>
      </c>
      <c r="D67" s="93" t="s">
        <v>173</v>
      </c>
      <c r="E67" s="24" t="s">
        <v>433</v>
      </c>
      <c r="F67" s="30" t="n">
        <v>40774</v>
      </c>
      <c r="G67" s="30" t="n">
        <v>40756</v>
      </c>
      <c r="H67" s="31" t="n">
        <f aca="false">INT(($H$327-G67)/30)</f>
        <v>53</v>
      </c>
      <c r="I67" s="24" t="n">
        <f aca="false">H67*1000</f>
        <v>53000</v>
      </c>
      <c r="J67" s="31" t="n">
        <f aca="false">42000+5000</f>
        <v>47000</v>
      </c>
      <c r="K67" s="31"/>
      <c r="L67" s="59" t="n">
        <f aca="false">I67-J67-K67</f>
        <v>6000</v>
      </c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59" t="n">
        <f aca="false">V67-W67-X67</f>
        <v>0</v>
      </c>
    </row>
    <row collapsed="false" customFormat="false" customHeight="false" hidden="false" ht="15" outlineLevel="0" r="68">
      <c r="A68" s="19" t="n">
        <f aca="false">VLOOKUP(B68,справочник!$B$2:$E$322,4,0)</f>
        <v>39</v>
      </c>
      <c r="B68" s="0" t="e">
        <f aca="false">CONCATENATE(C68;D68)</f>
        <v>#VALUE!</v>
      </c>
      <c r="C68" s="24" t="n">
        <v>39</v>
      </c>
      <c r="D68" s="93" t="s">
        <v>140</v>
      </c>
      <c r="E68" s="24" t="s">
        <v>434</v>
      </c>
      <c r="F68" s="30" t="n">
        <v>40698</v>
      </c>
      <c r="G68" s="30" t="n">
        <v>40695</v>
      </c>
      <c r="H68" s="31" t="n">
        <f aca="false">INT(($H$327-G68)/30)</f>
        <v>55</v>
      </c>
      <c r="I68" s="24" t="n">
        <f aca="false">H68*1000</f>
        <v>55000</v>
      </c>
      <c r="J68" s="31" t="n">
        <f aca="false">1000+42000</f>
        <v>43000</v>
      </c>
      <c r="K68" s="31"/>
      <c r="L68" s="59" t="n">
        <f aca="false">I68-J68-K68</f>
        <v>12000</v>
      </c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59" t="n">
        <f aca="false">V68-W68-X68</f>
        <v>0</v>
      </c>
    </row>
    <row collapsed="false" customFormat="false" customHeight="false" hidden="false" ht="15" outlineLevel="0" r="69">
      <c r="A69" s="19" t="n">
        <f aca="false">VLOOKUP(B69,справочник!$B$2:$E$322,4,0)</f>
        <v>276</v>
      </c>
      <c r="B69" s="0" t="e">
        <f aca="false">CONCATENATE(C69;D69)</f>
        <v>#VALUE!</v>
      </c>
      <c r="C69" s="24" t="n">
        <v>289</v>
      </c>
      <c r="D69" s="93" t="s">
        <v>317</v>
      </c>
      <c r="E69" s="24" t="s">
        <v>435</v>
      </c>
      <c r="F69" s="30" t="n">
        <v>40890</v>
      </c>
      <c r="G69" s="30" t="n">
        <v>40878</v>
      </c>
      <c r="H69" s="31" t="n">
        <f aca="false">INT(($H$327-G69)/30)</f>
        <v>49</v>
      </c>
      <c r="I69" s="24" t="n">
        <f aca="false">H69*1000</f>
        <v>49000</v>
      </c>
      <c r="J69" s="31" t="n">
        <f aca="false">1000+36000</f>
        <v>37000</v>
      </c>
      <c r="K69" s="31"/>
      <c r="L69" s="59" t="n">
        <f aca="false">I69-J69-K69</f>
        <v>12000</v>
      </c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59" t="n">
        <f aca="false">V69-W69-X69</f>
        <v>0</v>
      </c>
    </row>
    <row collapsed="false" customFormat="false" customHeight="false" hidden="false" ht="15" outlineLevel="0" r="70">
      <c r="A70" s="19" t="n">
        <f aca="false">VLOOKUP(B70,справочник!$B$2:$E$322,4,0)</f>
        <v>148</v>
      </c>
      <c r="B70" s="0" t="e">
        <f aca="false">CONCATENATE(C70;D70)</f>
        <v>#VALUE!</v>
      </c>
      <c r="C70" s="24" t="n">
        <v>156</v>
      </c>
      <c r="D70" s="93" t="s">
        <v>67</v>
      </c>
      <c r="E70" s="24" t="s">
        <v>436</v>
      </c>
      <c r="F70" s="30" t="n">
        <v>41008</v>
      </c>
      <c r="G70" s="30" t="n">
        <v>41000</v>
      </c>
      <c r="H70" s="31" t="n">
        <f aca="false">INT(($H$327-G70)/30)</f>
        <v>45</v>
      </c>
      <c r="I70" s="24" t="n">
        <f aca="false">H70*1000</f>
        <v>45000</v>
      </c>
      <c r="J70" s="31" t="n">
        <f aca="false">12000</f>
        <v>12000</v>
      </c>
      <c r="K70" s="31"/>
      <c r="L70" s="59" t="n">
        <f aca="false">I70-J70-K70</f>
        <v>33000</v>
      </c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59" t="n">
        <f aca="false">V70-W70-X70</f>
        <v>0</v>
      </c>
    </row>
    <row collapsed="false" customFormat="false" customHeight="false" hidden="false" ht="15" outlineLevel="0" r="71">
      <c r="A71" s="19" t="n">
        <f aca="false">VLOOKUP(B71,справочник!$B$2:$E$322,4,0)</f>
        <v>308</v>
      </c>
      <c r="B71" s="0" t="e">
        <f aca="false">CONCATENATE(C71;D71)</f>
        <v>#VALUE!</v>
      </c>
      <c r="C71" s="24" t="n">
        <v>323</v>
      </c>
      <c r="D71" s="93" t="s">
        <v>163</v>
      </c>
      <c r="E71" s="24" t="s">
        <v>437</v>
      </c>
      <c r="F71" s="30" t="n">
        <v>42025</v>
      </c>
      <c r="G71" s="30" t="n">
        <v>42036</v>
      </c>
      <c r="H71" s="31" t="n">
        <f aca="false">INT(($H$327-G71)/30)</f>
        <v>11</v>
      </c>
      <c r="I71" s="24" t="n">
        <f aca="false">H71*1000</f>
        <v>11000</v>
      </c>
      <c r="J71" s="31" t="n">
        <v>3000</v>
      </c>
      <c r="K71" s="31"/>
      <c r="L71" s="59" t="n">
        <f aca="false">I71-J71-K71</f>
        <v>8000</v>
      </c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59" t="n">
        <f aca="false">V71-W71-X71</f>
        <v>0</v>
      </c>
    </row>
    <row collapsed="false" customFormat="false" customHeight="false" hidden="false" ht="15" outlineLevel="0" r="72">
      <c r="A72" s="19" t="n">
        <f aca="false">VLOOKUP(B72,справочник!$B$2:$E$322,4,0)</f>
        <v>318</v>
      </c>
      <c r="B72" s="0" t="e">
        <f aca="false">CONCATENATE(C72;D72)</f>
        <v>#VALUE!</v>
      </c>
      <c r="C72" s="24" t="s">
        <v>438</v>
      </c>
      <c r="D72" s="29" t="s">
        <v>315</v>
      </c>
      <c r="E72" s="24" t="s">
        <v>439</v>
      </c>
      <c r="F72" s="30" t="n">
        <v>40694</v>
      </c>
      <c r="G72" s="30" t="n">
        <v>40725</v>
      </c>
      <c r="H72" s="31" t="n">
        <f aca="false">INT(($H$327-G72)/30)</f>
        <v>54</v>
      </c>
      <c r="I72" s="24" t="n">
        <f aca="false">H72*1000*2</f>
        <v>108000</v>
      </c>
      <c r="J72" s="31" t="n">
        <f aca="false">2000+102000</f>
        <v>104000</v>
      </c>
      <c r="K72" s="31" t="n">
        <v>4000</v>
      </c>
      <c r="L72" s="60" t="n">
        <f aca="false">I72-J72-K72</f>
        <v>0</v>
      </c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 t="n">
        <f aca="false">V72-W72-X72</f>
        <v>0</v>
      </c>
    </row>
    <row collapsed="false" customFormat="false" customHeight="false" hidden="false" ht="15" outlineLevel="0" r="73">
      <c r="A73" s="19" t="n">
        <f aca="false">VLOOKUP(B73,справочник!$B$2:$E$322,4,0)</f>
        <v>236</v>
      </c>
      <c r="B73" s="0" t="e">
        <f aca="false">CONCATENATE(C73;D73)</f>
        <v>#VALUE!</v>
      </c>
      <c r="C73" s="24" t="n">
        <v>245</v>
      </c>
      <c r="D73" s="29" t="s">
        <v>311</v>
      </c>
      <c r="E73" s="24" t="s">
        <v>440</v>
      </c>
      <c r="F73" s="30" t="n">
        <v>40945</v>
      </c>
      <c r="G73" s="30" t="n">
        <v>40940</v>
      </c>
      <c r="H73" s="31" t="n">
        <f aca="false">INT(($H$327-G73)/30)</f>
        <v>47</v>
      </c>
      <c r="I73" s="24" t="n">
        <f aca="false">H73*1000</f>
        <v>47000</v>
      </c>
      <c r="J73" s="31" t="n">
        <f aca="false">18000+11000</f>
        <v>29000</v>
      </c>
      <c r="K73" s="31"/>
      <c r="L73" s="59" t="n">
        <f aca="false">I73-J73-K73</f>
        <v>18000</v>
      </c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59" t="n">
        <f aca="false">V73-W73-X73</f>
        <v>0</v>
      </c>
    </row>
    <row collapsed="false" customFormat="false" customHeight="false" hidden="false" ht="15" outlineLevel="0" r="74">
      <c r="A74" s="19" t="n">
        <f aca="false">VLOOKUP(B74,справочник!$B$2:$E$322,4,0)</f>
        <v>226</v>
      </c>
      <c r="B74" s="0" t="e">
        <f aca="false">CONCATENATE(C74;D74)</f>
        <v>#VALUE!</v>
      </c>
      <c r="C74" s="24" t="n">
        <v>235</v>
      </c>
      <c r="D74" s="93" t="s">
        <v>95</v>
      </c>
      <c r="E74" s="24" t="s">
        <v>441</v>
      </c>
      <c r="F74" s="30" t="n">
        <v>41739</v>
      </c>
      <c r="G74" s="30" t="n">
        <v>41760</v>
      </c>
      <c r="H74" s="31" t="n">
        <f aca="false">INT(($H$327-G74)/30)</f>
        <v>20</v>
      </c>
      <c r="I74" s="24" t="n">
        <f aca="false">H74*1000</f>
        <v>20000</v>
      </c>
      <c r="J74" s="31"/>
      <c r="K74" s="31"/>
      <c r="L74" s="59" t="n">
        <f aca="false">I74-J74-K74</f>
        <v>20000</v>
      </c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59" t="n">
        <f aca="false">V74-W74-X74</f>
        <v>0</v>
      </c>
    </row>
    <row collapsed="false" customFormat="false" customHeight="false" hidden="false" ht="15" outlineLevel="0" r="75">
      <c r="A75" s="19" t="n">
        <f aca="false">VLOOKUP(B75,справочник!$B$2:$E$322,4,0)</f>
        <v>285</v>
      </c>
      <c r="B75" s="0" t="e">
        <f aca="false">CONCATENATE(C75;D75)</f>
        <v>#VALUE!</v>
      </c>
      <c r="C75" s="24" t="n">
        <v>297</v>
      </c>
      <c r="D75" s="29" t="s">
        <v>321</v>
      </c>
      <c r="E75" s="24" t="s">
        <v>442</v>
      </c>
      <c r="F75" s="24"/>
      <c r="G75" s="24"/>
      <c r="H75" s="31"/>
      <c r="I75" s="24" t="n">
        <v>19000</v>
      </c>
      <c r="J75" s="31" t="n">
        <v>19000</v>
      </c>
      <c r="K75" s="31"/>
      <c r="L75" s="59" t="n">
        <f aca="false">I75-J75-K75</f>
        <v>0</v>
      </c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59" t="n">
        <f aca="false">V75-W75-X75</f>
        <v>0</v>
      </c>
    </row>
    <row collapsed="false" customFormat="false" customHeight="false" hidden="false" ht="15" outlineLevel="0" r="76">
      <c r="A76" s="19" t="n">
        <f aca="false">VLOOKUP(B76,справочник!$B$2:$E$322,4,0)</f>
        <v>24</v>
      </c>
      <c r="B76" s="0" t="e">
        <f aca="false">CONCATENATE(C76;D76)</f>
        <v>#VALUE!</v>
      </c>
      <c r="C76" s="24" t="n">
        <v>24</v>
      </c>
      <c r="D76" s="93" t="s">
        <v>155</v>
      </c>
      <c r="E76" s="24" t="s">
        <v>443</v>
      </c>
      <c r="F76" s="30" t="n">
        <v>41141</v>
      </c>
      <c r="G76" s="30" t="n">
        <v>41153</v>
      </c>
      <c r="H76" s="31" t="n">
        <f aca="false">INT(($H$327-G76)/30)</f>
        <v>40</v>
      </c>
      <c r="I76" s="24" t="n">
        <f aca="false">H76*1000</f>
        <v>40000</v>
      </c>
      <c r="J76" s="31" t="n">
        <v>30000</v>
      </c>
      <c r="K76" s="31"/>
      <c r="L76" s="59" t="n">
        <f aca="false">I76-J76-K76</f>
        <v>10000</v>
      </c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59" t="n">
        <f aca="false">V76-W76-X76</f>
        <v>0</v>
      </c>
    </row>
    <row collapsed="false" customFormat="false" customHeight="false" hidden="false" ht="15" outlineLevel="0" r="77">
      <c r="A77" s="19" t="n">
        <f aca="false">VLOOKUP(B77,справочник!$B$2:$E$322,4,0)</f>
        <v>50</v>
      </c>
      <c r="B77" s="0" t="e">
        <f aca="false">CONCATENATE(C77;D77)</f>
        <v>#VALUE!</v>
      </c>
      <c r="C77" s="24" t="n">
        <v>50</v>
      </c>
      <c r="D77" s="29" t="s">
        <v>238</v>
      </c>
      <c r="E77" s="24" t="s">
        <v>444</v>
      </c>
      <c r="F77" s="30" t="n">
        <v>40793</v>
      </c>
      <c r="G77" s="30" t="n">
        <v>40787</v>
      </c>
      <c r="H77" s="31" t="n">
        <f aca="false">INT(($H$327-G77)/30)</f>
        <v>52</v>
      </c>
      <c r="I77" s="24" t="n">
        <f aca="false">H77*1000</f>
        <v>52000</v>
      </c>
      <c r="J77" s="31" t="n">
        <f aca="false">1000+41000</f>
        <v>42000</v>
      </c>
      <c r="K77" s="31"/>
      <c r="L77" s="59" t="n">
        <f aca="false">I77-J77-K77</f>
        <v>10000</v>
      </c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59" t="n">
        <f aca="false">V77-W77-X77</f>
        <v>0</v>
      </c>
    </row>
    <row collapsed="false" customFormat="false" customHeight="false" hidden="false" ht="15" outlineLevel="0" r="78">
      <c r="A78" s="19" t="n">
        <f aca="false">VLOOKUP(B78,справочник!$B$2:$E$322,4,0)</f>
        <v>122</v>
      </c>
      <c r="B78" s="0" t="e">
        <f aca="false">CONCATENATE(C78;D78)</f>
        <v>#VALUE!</v>
      </c>
      <c r="C78" s="24" t="n">
        <v>127</v>
      </c>
      <c r="D78" s="95" t="s">
        <v>202</v>
      </c>
      <c r="E78" s="24" t="s">
        <v>445</v>
      </c>
      <c r="F78" s="30" t="n">
        <v>40938</v>
      </c>
      <c r="G78" s="30" t="n">
        <v>40940</v>
      </c>
      <c r="H78" s="31" t="n">
        <f aca="false">INT(($H$327-G78)/30)</f>
        <v>47</v>
      </c>
      <c r="I78" s="24" t="n">
        <f aca="false">H78*1000</f>
        <v>47000</v>
      </c>
      <c r="J78" s="31" t="n">
        <v>37000</v>
      </c>
      <c r="K78" s="31" t="n">
        <v>5000</v>
      </c>
      <c r="L78" s="59" t="n">
        <f aca="false">I78-J78-K78</f>
        <v>5000</v>
      </c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59" t="n">
        <f aca="false">V78-W78-X78</f>
        <v>0</v>
      </c>
    </row>
    <row collapsed="false" customFormat="false" customHeight="false" hidden="false" ht="15" outlineLevel="0" r="79">
      <c r="A79" s="19" t="n">
        <f aca="false">VLOOKUP(B79,справочник!$B$2:$E$322,4,0)</f>
        <v>301</v>
      </c>
      <c r="B79" s="0" t="e">
        <f aca="false">CONCATENATE(C79;D79)</f>
        <v>#VALUE!</v>
      </c>
      <c r="C79" s="24" t="n">
        <v>316</v>
      </c>
      <c r="D79" s="93" t="s">
        <v>133</v>
      </c>
      <c r="E79" s="24" t="s">
        <v>446</v>
      </c>
      <c r="F79" s="30" t="n">
        <v>41969</v>
      </c>
      <c r="G79" s="30" t="n">
        <v>41974</v>
      </c>
      <c r="H79" s="31" t="n">
        <f aca="false">INT(($H$327-G79)/30)</f>
        <v>13</v>
      </c>
      <c r="I79" s="24" t="n">
        <f aca="false">H79*1000</f>
        <v>13000</v>
      </c>
      <c r="J79" s="31" t="n">
        <v>1000</v>
      </c>
      <c r="K79" s="31"/>
      <c r="L79" s="59" t="n">
        <f aca="false">I79-J79-K79</f>
        <v>12000</v>
      </c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59" t="n">
        <f aca="false">V79-W79-X79</f>
        <v>0</v>
      </c>
    </row>
    <row collapsed="false" customFormat="false" customHeight="false" hidden="false" ht="15" outlineLevel="0" r="80">
      <c r="A80" s="19" t="n">
        <f aca="false">VLOOKUP(B80,справочник!$B$2:$E$322,4,0)</f>
        <v>18</v>
      </c>
      <c r="B80" s="0" t="e">
        <f aca="false">CONCATENATE(C80;D80)</f>
        <v>#VALUE!</v>
      </c>
      <c r="C80" s="24" t="n">
        <v>18</v>
      </c>
      <c r="D80" s="29" t="s">
        <v>220</v>
      </c>
      <c r="E80" s="24" t="s">
        <v>447</v>
      </c>
      <c r="F80" s="30" t="n">
        <v>41429</v>
      </c>
      <c r="G80" s="30" t="n">
        <v>41487</v>
      </c>
      <c r="H80" s="31" t="n">
        <f aca="false">INT(($H$327-G80)/30)</f>
        <v>29</v>
      </c>
      <c r="I80" s="24" t="n">
        <f aca="false">H80*1000</f>
        <v>29000</v>
      </c>
      <c r="J80" s="31" t="n">
        <v>29000</v>
      </c>
      <c r="K80" s="31"/>
      <c r="L80" s="59" t="n">
        <f aca="false">I80-J80-K80</f>
        <v>0</v>
      </c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59" t="n">
        <f aca="false">V80-W80-X80</f>
        <v>0</v>
      </c>
    </row>
    <row collapsed="false" customFormat="false" customHeight="false" hidden="false" ht="15" outlineLevel="0" r="81">
      <c r="A81" s="19" t="n">
        <f aca="false">VLOOKUP(B81,справочник!$B$2:$E$322,4,0)</f>
        <v>155</v>
      </c>
      <c r="B81" s="0" t="e">
        <f aca="false">CONCATENATE(C81;D81)</f>
        <v>#VALUE!</v>
      </c>
      <c r="C81" s="24" t="n">
        <v>163</v>
      </c>
      <c r="D81" s="29" t="s">
        <v>301</v>
      </c>
      <c r="E81" s="24" t="s">
        <v>448</v>
      </c>
      <c r="F81" s="30" t="n">
        <v>41491</v>
      </c>
      <c r="G81" s="30" t="n">
        <v>41518</v>
      </c>
      <c r="H81" s="31" t="n">
        <f aca="false">INT(($H$327-G81)/30)</f>
        <v>28</v>
      </c>
      <c r="I81" s="24" t="n">
        <f aca="false">H81*1000</f>
        <v>28000</v>
      </c>
      <c r="J81" s="31" t="n">
        <v>28000</v>
      </c>
      <c r="K81" s="31" t="n">
        <v>2000</v>
      </c>
      <c r="L81" s="59" t="n">
        <f aca="false">I81-J81-K81</f>
        <v>-2000</v>
      </c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59" t="n">
        <f aca="false">V81-W81-X81</f>
        <v>0</v>
      </c>
    </row>
    <row collapsed="false" customFormat="false" customHeight="false" hidden="false" ht="15" outlineLevel="0" r="82">
      <c r="A82" s="19" t="n">
        <f aca="false">VLOOKUP(B82,справочник!$B$2:$E$322,4,0)</f>
        <v>44</v>
      </c>
      <c r="B82" s="0" t="e">
        <f aca="false">CONCATENATE(C82;D82)</f>
        <v>#VALUE!</v>
      </c>
      <c r="C82" s="24" t="n">
        <v>44</v>
      </c>
      <c r="D82" s="93" t="s">
        <v>197</v>
      </c>
      <c r="E82" s="40" t="s">
        <v>393</v>
      </c>
      <c r="F82" s="41" t="n">
        <v>41100</v>
      </c>
      <c r="G82" s="41" t="n">
        <v>41091</v>
      </c>
      <c r="H82" s="31" t="n">
        <f aca="false">INT(($H$327-G82)/30)</f>
        <v>42</v>
      </c>
      <c r="I82" s="24" t="n">
        <f aca="false">H82*1000</f>
        <v>42000</v>
      </c>
      <c r="J82" s="31" t="n">
        <f aca="false">21000+6000</f>
        <v>27000</v>
      </c>
      <c r="K82" s="31" t="n">
        <v>13000</v>
      </c>
      <c r="L82" s="59" t="n">
        <f aca="false">I82-J82-K82</f>
        <v>2000</v>
      </c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59" t="n">
        <f aca="false">V82-W82-X82</f>
        <v>0</v>
      </c>
    </row>
    <row collapsed="false" customFormat="false" customHeight="false" hidden="false" ht="15" outlineLevel="0" r="83">
      <c r="A83" s="19" t="n">
        <f aca="false">VLOOKUP(B83,справочник!$B$2:$E$322,4,0)</f>
        <v>132</v>
      </c>
      <c r="B83" s="0" t="e">
        <f aca="false">CONCATENATE(C83;D83)</f>
        <v>#VALUE!</v>
      </c>
      <c r="C83" s="24" t="n">
        <v>139</v>
      </c>
      <c r="D83" s="93" t="s">
        <v>129</v>
      </c>
      <c r="E83" s="24" t="s">
        <v>449</v>
      </c>
      <c r="F83" s="30" t="n">
        <v>40690</v>
      </c>
      <c r="G83" s="30" t="n">
        <v>40695</v>
      </c>
      <c r="H83" s="31" t="n">
        <f aca="false">INT(($H$327-G83)/30)</f>
        <v>55</v>
      </c>
      <c r="I83" s="24" t="n">
        <f aca="false">H83*1000</f>
        <v>55000</v>
      </c>
      <c r="J83" s="31" t="n">
        <f aca="false">41000+1000</f>
        <v>42000</v>
      </c>
      <c r="K83" s="31"/>
      <c r="L83" s="59" t="n">
        <f aca="false">I83-J83-K83</f>
        <v>13000</v>
      </c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59" t="n">
        <f aca="false">V83-W83-X83</f>
        <v>0</v>
      </c>
    </row>
    <row collapsed="false" customFormat="false" customHeight="false" hidden="false" ht="15" outlineLevel="0" r="84">
      <c r="A84" s="19" t="n">
        <f aca="false">VLOOKUP(B84,справочник!$B$2:$E$322,4,0)</f>
        <v>159</v>
      </c>
      <c r="B84" s="0" t="e">
        <f aca="false">CONCATENATE(C84;D84)</f>
        <v>#VALUE!</v>
      </c>
      <c r="C84" s="24" t="n">
        <v>167</v>
      </c>
      <c r="D84" s="29" t="s">
        <v>215</v>
      </c>
      <c r="E84" s="24" t="s">
        <v>450</v>
      </c>
      <c r="F84" s="30" t="n">
        <v>41044</v>
      </c>
      <c r="G84" s="30" t="n">
        <v>41030</v>
      </c>
      <c r="H84" s="31" t="n">
        <f aca="false">INT(($H$327-G84)/30)</f>
        <v>44</v>
      </c>
      <c r="I84" s="24" t="n">
        <f aca="false">H84*1000</f>
        <v>44000</v>
      </c>
      <c r="J84" s="31" t="n">
        <f aca="false">32000</f>
        <v>32000</v>
      </c>
      <c r="K84" s="31"/>
      <c r="L84" s="59" t="n">
        <f aca="false">I84-J84-K84</f>
        <v>12000</v>
      </c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59" t="n">
        <f aca="false">V84-W84-X84</f>
        <v>0</v>
      </c>
    </row>
    <row collapsed="false" customFormat="false" customHeight="false" hidden="false" ht="15" outlineLevel="0" r="85">
      <c r="A85" s="19" t="n">
        <f aca="false">VLOOKUP(B85,справочник!$B$2:$E$322,4,0)</f>
        <v>181</v>
      </c>
      <c r="B85" s="0" t="e">
        <f aca="false">CONCATENATE(C85;D85)</f>
        <v>#VALUE!</v>
      </c>
      <c r="C85" s="24" t="n">
        <v>189</v>
      </c>
      <c r="D85" s="29" t="s">
        <v>263</v>
      </c>
      <c r="E85" s="24" t="s">
        <v>451</v>
      </c>
      <c r="F85" s="30" t="n">
        <v>41734</v>
      </c>
      <c r="G85" s="30" t="n">
        <v>41760</v>
      </c>
      <c r="H85" s="31" t="n">
        <f aca="false">INT(($H$327-G85)/30)</f>
        <v>20</v>
      </c>
      <c r="I85" s="24" t="n">
        <f aca="false">H85*1000</f>
        <v>20000</v>
      </c>
      <c r="J85" s="31" t="n">
        <v>17000</v>
      </c>
      <c r="K85" s="31"/>
      <c r="L85" s="59" t="n">
        <f aca="false">I85-J85-K85</f>
        <v>3000</v>
      </c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59" t="n">
        <f aca="false">V85-W85-X85</f>
        <v>0</v>
      </c>
    </row>
    <row collapsed="false" customFormat="false" customHeight="false" hidden="false" ht="15" outlineLevel="0" r="86">
      <c r="A86" s="19" t="n">
        <f aca="false">VLOOKUP(B86,справочник!$B$2:$E$322,4,0)</f>
        <v>284</v>
      </c>
      <c r="B86" s="0" t="e">
        <f aca="false">CONCATENATE(C86;D86)</f>
        <v>#VALUE!</v>
      </c>
      <c r="C86" s="24" t="n">
        <v>296</v>
      </c>
      <c r="D86" s="93" t="s">
        <v>180</v>
      </c>
      <c r="E86" s="24" t="s">
        <v>452</v>
      </c>
      <c r="F86" s="30" t="n">
        <v>41549</v>
      </c>
      <c r="G86" s="30" t="n">
        <v>41579</v>
      </c>
      <c r="H86" s="31" t="n">
        <f aca="false">INT(($H$327-G86)/30)</f>
        <v>26</v>
      </c>
      <c r="I86" s="24" t="n">
        <f aca="false">H86*1000</f>
        <v>26000</v>
      </c>
      <c r="J86" s="31" t="n">
        <f aca="false">12000</f>
        <v>12000</v>
      </c>
      <c r="K86" s="31" t="n">
        <v>5000</v>
      </c>
      <c r="L86" s="59" t="n">
        <f aca="false">I86-J86-K86</f>
        <v>9000</v>
      </c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59" t="n">
        <f aca="false">V86-W86-X86</f>
        <v>0</v>
      </c>
    </row>
    <row collapsed="false" customFormat="false" customHeight="false" hidden="false" ht="25.5" outlineLevel="0" r="87">
      <c r="A87" s="19" t="n">
        <f aca="false">VLOOKUP(B87,справочник!$B$2:$E$322,4,0)</f>
        <v>264</v>
      </c>
      <c r="B87" s="0" t="e">
        <f aca="false">CONCATENATE(C87;D87)</f>
        <v>#VALUE!</v>
      </c>
      <c r="C87" s="24" t="n">
        <v>277</v>
      </c>
      <c r="D87" s="29" t="s">
        <v>233</v>
      </c>
      <c r="E87" s="24" t="s">
        <v>453</v>
      </c>
      <c r="F87" s="30" t="n">
        <v>41093</v>
      </c>
      <c r="G87" s="30" t="n">
        <v>41091</v>
      </c>
      <c r="H87" s="31" t="n">
        <f aca="false">INT(($H$327-G87)/30)</f>
        <v>42</v>
      </c>
      <c r="I87" s="24" t="n">
        <f aca="false">H87*1000</f>
        <v>42000</v>
      </c>
      <c r="J87" s="31" t="n">
        <f aca="false">38000</f>
        <v>38000</v>
      </c>
      <c r="K87" s="31"/>
      <c r="L87" s="59" t="n">
        <f aca="false">I87-J87-K87</f>
        <v>4000</v>
      </c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59" t="n">
        <f aca="false">V87-W87-X87</f>
        <v>0</v>
      </c>
    </row>
    <row collapsed="false" customFormat="false" customHeight="false" hidden="false" ht="15" outlineLevel="0" r="88">
      <c r="A88" s="19" t="n">
        <f aca="false">VLOOKUP(B88,справочник!$B$2:$E$322,4,0)</f>
        <v>32</v>
      </c>
      <c r="B88" s="0" t="e">
        <f aca="false">CONCATENATE(C88;D88)</f>
        <v>#VALUE!</v>
      </c>
      <c r="C88" s="24" t="n">
        <v>32</v>
      </c>
      <c r="D88" s="29" t="s">
        <v>290</v>
      </c>
      <c r="E88" s="24" t="s">
        <v>454</v>
      </c>
      <c r="F88" s="30" t="n">
        <v>40695</v>
      </c>
      <c r="G88" s="30" t="n">
        <v>40695</v>
      </c>
      <c r="H88" s="31" t="n">
        <f aca="false">INT(($H$327-G88)/30)</f>
        <v>55</v>
      </c>
      <c r="I88" s="24" t="n">
        <f aca="false">H88*1000</f>
        <v>55000</v>
      </c>
      <c r="J88" s="31" t="n">
        <f aca="false">7000+48000</f>
        <v>55000</v>
      </c>
      <c r="K88" s="31"/>
      <c r="L88" s="59" t="n">
        <f aca="false">I88-J88-K88</f>
        <v>0</v>
      </c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59" t="n">
        <f aca="false">V88-W88-X88</f>
        <v>0</v>
      </c>
    </row>
    <row collapsed="false" customFormat="false" customHeight="false" hidden="false" ht="15" outlineLevel="0" r="89">
      <c r="A89" s="19" t="n">
        <f aca="false">VLOOKUP(B89,справочник!$B$2:$E$322,4,0)</f>
        <v>49</v>
      </c>
      <c r="B89" s="0" t="e">
        <f aca="false">CONCATENATE(C89;D89)</f>
        <v>#VALUE!</v>
      </c>
      <c r="C89" s="24" t="n">
        <v>49</v>
      </c>
      <c r="D89" s="29" t="s">
        <v>274</v>
      </c>
      <c r="E89" s="24" t="s">
        <v>455</v>
      </c>
      <c r="F89" s="30" t="n">
        <v>40729</v>
      </c>
      <c r="G89" s="30" t="n">
        <v>40756</v>
      </c>
      <c r="H89" s="31" t="n">
        <f aca="false">INT(($H$327-G89)/30)</f>
        <v>53</v>
      </c>
      <c r="I89" s="24" t="n">
        <f aca="false">H89*1000</f>
        <v>53000</v>
      </c>
      <c r="J89" s="31" t="n">
        <f aca="false">42000</f>
        <v>42000</v>
      </c>
      <c r="K89" s="31"/>
      <c r="L89" s="59" t="n">
        <f aca="false">I89-J89-K89</f>
        <v>11000</v>
      </c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59" t="n">
        <f aca="false">V89-W89-X89</f>
        <v>0</v>
      </c>
    </row>
    <row collapsed="false" customFormat="false" customHeight="false" hidden="false" ht="15" outlineLevel="0" r="90">
      <c r="A90" s="19" t="n">
        <f aca="false">VLOOKUP(B90,справочник!$B$2:$E$322,4,0)</f>
        <v>234</v>
      </c>
      <c r="B90" s="0" t="e">
        <f aca="false">CONCATENATE(C90;D90)</f>
        <v>#VALUE!</v>
      </c>
      <c r="C90" s="94" t="n">
        <v>243</v>
      </c>
      <c r="D90" s="65" t="s">
        <v>280</v>
      </c>
      <c r="E90" s="36" t="s">
        <v>456</v>
      </c>
      <c r="F90" s="34" t="n">
        <v>41248</v>
      </c>
      <c r="G90" s="34" t="n">
        <v>41365</v>
      </c>
      <c r="H90" s="35" t="n">
        <v>3</v>
      </c>
      <c r="I90" s="36" t="n">
        <f aca="false">H90*1000</f>
        <v>3000</v>
      </c>
      <c r="J90" s="35"/>
      <c r="K90" s="35" t="n">
        <v>3000</v>
      </c>
      <c r="L90" s="66" t="n">
        <f aca="false">I90-J90-K90</f>
        <v>0</v>
      </c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6" t="n">
        <f aca="false">V90-W90-X90</f>
        <v>0</v>
      </c>
    </row>
    <row collapsed="false" customFormat="false" customHeight="false" hidden="false" ht="15" outlineLevel="0" r="91">
      <c r="A91" s="19" t="n">
        <f aca="false">VLOOKUP(B91,справочник!$B$2:$E$322,4,0)</f>
        <v>234</v>
      </c>
      <c r="B91" s="0" t="e">
        <f aca="false">CONCATENATE(C91;D91)</f>
        <v>#VALUE!</v>
      </c>
      <c r="C91" s="94" t="n">
        <v>244</v>
      </c>
      <c r="D91" s="65" t="s">
        <v>280</v>
      </c>
      <c r="E91" s="36"/>
      <c r="F91" s="34" t="n">
        <v>41248</v>
      </c>
      <c r="G91" s="34" t="n">
        <v>41365</v>
      </c>
      <c r="H91" s="35" t="n">
        <v>3</v>
      </c>
      <c r="I91" s="36" t="n">
        <f aca="false">H91*1000</f>
        <v>3000</v>
      </c>
      <c r="J91" s="35"/>
      <c r="K91" s="35" t="n">
        <v>3000</v>
      </c>
      <c r="L91" s="66" t="n">
        <f aca="false">I91-J91-K91</f>
        <v>0</v>
      </c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6" t="n">
        <f aca="false">V91-W91-X91</f>
        <v>0</v>
      </c>
    </row>
    <row collapsed="false" customFormat="false" customHeight="false" hidden="false" ht="15" outlineLevel="0" r="92">
      <c r="A92" s="19" t="n">
        <f aca="false">VLOOKUP(B92,справочник!$B$2:$E$322,4,0)</f>
        <v>234</v>
      </c>
      <c r="B92" s="0" t="e">
        <f aca="false">CONCATENATE(C92;D92)</f>
        <v>#VALUE!</v>
      </c>
      <c r="C92" s="94" t="s">
        <v>457</v>
      </c>
      <c r="D92" s="65" t="s">
        <v>280</v>
      </c>
      <c r="E92" s="36"/>
      <c r="F92" s="34" t="n">
        <v>41456</v>
      </c>
      <c r="G92" s="34" t="n">
        <v>41456</v>
      </c>
      <c r="H92" s="35" t="n">
        <f aca="false">INT(($H$327-G92)/30)</f>
        <v>30</v>
      </c>
      <c r="I92" s="36" t="n">
        <f aca="false">H92*1000</f>
        <v>30000</v>
      </c>
      <c r="J92" s="35"/>
      <c r="K92" s="35" t="n">
        <v>30000</v>
      </c>
      <c r="L92" s="66" t="n">
        <f aca="false">I92-J92-K92</f>
        <v>0</v>
      </c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6" t="n">
        <f aca="false">V92-W92-X92</f>
        <v>0</v>
      </c>
    </row>
    <row collapsed="false" customFormat="false" customHeight="false" hidden="false" ht="15" outlineLevel="0" r="93">
      <c r="A93" s="19" t="n">
        <f aca="false">VLOOKUP(B93,справочник!$B$2:$E$322,4,0)</f>
        <v>254</v>
      </c>
      <c r="B93" s="0" t="e">
        <f aca="false">CONCATENATE(C93;D93)</f>
        <v>#VALUE!</v>
      </c>
      <c r="C93" s="24" t="n">
        <v>267</v>
      </c>
      <c r="D93" s="93" t="s">
        <v>183</v>
      </c>
      <c r="E93" s="24" t="s">
        <v>458</v>
      </c>
      <c r="F93" s="30" t="n">
        <v>40953</v>
      </c>
      <c r="G93" s="30" t="n">
        <v>40940</v>
      </c>
      <c r="H93" s="31" t="n">
        <f aca="false">INT(($H$327-G93)/30)</f>
        <v>47</v>
      </c>
      <c r="I93" s="24" t="n">
        <f aca="false">H93*1000</f>
        <v>47000</v>
      </c>
      <c r="J93" s="31" t="n">
        <f aca="false">39000+5000</f>
        <v>44000</v>
      </c>
      <c r="K93" s="31"/>
      <c r="L93" s="59" t="n">
        <f aca="false">I93-J93-K93</f>
        <v>3000</v>
      </c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59" t="n">
        <f aca="false">V93-W93-X93</f>
        <v>0</v>
      </c>
    </row>
    <row collapsed="false" customFormat="false" customHeight="false" hidden="false" ht="15" outlineLevel="0" r="94">
      <c r="A94" s="19" t="n">
        <f aca="false">VLOOKUP(B94,справочник!$B$2:$E$322,4,0)</f>
        <v>230</v>
      </c>
      <c r="B94" s="0" t="e">
        <f aca="false">CONCATENATE(C94;D94)</f>
        <v>#VALUE!</v>
      </c>
      <c r="C94" s="36" t="n">
        <v>239</v>
      </c>
      <c r="D94" s="65" t="s">
        <v>168</v>
      </c>
      <c r="E94" s="36" t="s">
        <v>459</v>
      </c>
      <c r="F94" s="34" t="n">
        <v>41590</v>
      </c>
      <c r="G94" s="34" t="n">
        <v>41579</v>
      </c>
      <c r="H94" s="35" t="n">
        <f aca="false">INT(($H$327-G94)/30)</f>
        <v>26</v>
      </c>
      <c r="I94" s="36" t="n">
        <f aca="false">H94*1000</f>
        <v>26000</v>
      </c>
      <c r="J94" s="35" t="n">
        <v>26000</v>
      </c>
      <c r="K94" s="35"/>
      <c r="L94" s="66" t="n">
        <f aca="false">I94-J94-K94</f>
        <v>0</v>
      </c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6" t="n">
        <f aca="false">V94-W94-X94</f>
        <v>0</v>
      </c>
    </row>
    <row collapsed="false" customFormat="false" customHeight="false" hidden="false" ht="15" outlineLevel="0" r="95">
      <c r="A95" s="19" t="n">
        <f aca="false">VLOOKUP(B95,справочник!$B$2:$E$322,4,0)</f>
        <v>230</v>
      </c>
      <c r="B95" s="0" t="e">
        <f aca="false">CONCATENATE(C95;D95)</f>
        <v>#VALUE!</v>
      </c>
      <c r="C95" s="36" t="n">
        <v>257</v>
      </c>
      <c r="D95" s="65" t="s">
        <v>168</v>
      </c>
      <c r="E95" s="36" t="s">
        <v>460</v>
      </c>
      <c r="F95" s="34" t="n">
        <v>41882</v>
      </c>
      <c r="G95" s="34" t="n">
        <v>41944</v>
      </c>
      <c r="H95" s="35" t="n">
        <f aca="false">INT(($H$327-G95)/30)</f>
        <v>14</v>
      </c>
      <c r="I95" s="36" t="n">
        <f aca="false">H95*1000</f>
        <v>14000</v>
      </c>
      <c r="J95" s="35" t="n">
        <v>0</v>
      </c>
      <c r="K95" s="35" t="n">
        <v>4000</v>
      </c>
      <c r="L95" s="66" t="n">
        <f aca="false">I95-J95-K95</f>
        <v>10000</v>
      </c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6" t="n">
        <f aca="false">V95-W95-X95</f>
        <v>0</v>
      </c>
    </row>
    <row collapsed="false" customFormat="false" customHeight="false" hidden="false" ht="15" outlineLevel="0" r="96">
      <c r="A96" s="19" t="n">
        <f aca="false">VLOOKUP(B96,справочник!$B$2:$E$322,4,0)</f>
        <v>4</v>
      </c>
      <c r="B96" s="0" t="e">
        <f aca="false">CONCATENATE(C96;D96)</f>
        <v>#VALUE!</v>
      </c>
      <c r="C96" s="24" t="n">
        <v>4</v>
      </c>
      <c r="D96" s="29" t="s">
        <v>241</v>
      </c>
      <c r="E96" s="24" t="s">
        <v>461</v>
      </c>
      <c r="F96" s="30" t="n">
        <v>41436</v>
      </c>
      <c r="G96" s="30" t="n">
        <v>41456</v>
      </c>
      <c r="H96" s="31" t="n">
        <f aca="false">INT(($H$327-G96)/30)</f>
        <v>30</v>
      </c>
      <c r="I96" s="24" t="n">
        <f aca="false">H96*1000</f>
        <v>30000</v>
      </c>
      <c r="J96" s="31" t="n">
        <v>27000</v>
      </c>
      <c r="K96" s="31"/>
      <c r="L96" s="59" t="n">
        <f aca="false">I96-J96-K96</f>
        <v>3000</v>
      </c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59" t="n">
        <f aca="false">V96-W96-X96</f>
        <v>0</v>
      </c>
    </row>
    <row collapsed="false" customFormat="false" customHeight="false" hidden="false" ht="15" outlineLevel="0" r="97">
      <c r="A97" s="19" t="n">
        <f aca="false">VLOOKUP(B97,справочник!$B$2:$E$322,4,0)</f>
        <v>213</v>
      </c>
      <c r="B97" s="0" t="e">
        <f aca="false">CONCATENATE(C97;D97)</f>
        <v>#VALUE!</v>
      </c>
      <c r="C97" s="24" t="n">
        <v>222</v>
      </c>
      <c r="D97" s="93" t="s">
        <v>104</v>
      </c>
      <c r="E97" s="24" t="s">
        <v>462</v>
      </c>
      <c r="F97" s="30" t="n">
        <v>41766</v>
      </c>
      <c r="G97" s="30" t="n">
        <v>41791</v>
      </c>
      <c r="H97" s="31" t="n">
        <f aca="false">INT(($H$327-G97)/30)</f>
        <v>19</v>
      </c>
      <c r="I97" s="24" t="n">
        <f aca="false">H97*1000</f>
        <v>19000</v>
      </c>
      <c r="J97" s="31" t="n">
        <v>500</v>
      </c>
      <c r="K97" s="31"/>
      <c r="L97" s="59" t="n">
        <f aca="false">I97-J97-K97</f>
        <v>18500</v>
      </c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59" t="n">
        <f aca="false">V97-W97-X97</f>
        <v>0</v>
      </c>
    </row>
    <row collapsed="false" customFormat="false" customHeight="false" hidden="false" ht="15" outlineLevel="0" r="98">
      <c r="A98" s="19" t="n">
        <f aca="false">VLOOKUP(B98,справочник!$B$2:$E$322,4,0)</f>
        <v>127</v>
      </c>
      <c r="B98" s="0" t="e">
        <f aca="false">CONCATENATE(C98;D98)</f>
        <v>#VALUE!</v>
      </c>
      <c r="C98" s="94" t="n">
        <v>132</v>
      </c>
      <c r="D98" s="95" t="s">
        <v>30</v>
      </c>
      <c r="E98" s="24" t="s">
        <v>463</v>
      </c>
      <c r="F98" s="30" t="n">
        <v>40701</v>
      </c>
      <c r="G98" s="30" t="n">
        <v>40695</v>
      </c>
      <c r="H98" s="31" t="n">
        <f aca="false">INT(($H$327-G98)/30)</f>
        <v>55</v>
      </c>
      <c r="I98" s="24" t="n">
        <f aca="false">H98*1000</f>
        <v>55000</v>
      </c>
      <c r="J98" s="31" t="n">
        <f aca="false">36000+7000</f>
        <v>43000</v>
      </c>
      <c r="K98" s="31"/>
      <c r="L98" s="59" t="n">
        <f aca="false">I98-J98-K98</f>
        <v>12000</v>
      </c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59" t="n">
        <f aca="false">V98-W98-X98</f>
        <v>0</v>
      </c>
    </row>
    <row collapsed="false" customFormat="false" customHeight="false" hidden="false" ht="15" outlineLevel="0" r="99">
      <c r="A99" s="19" t="n">
        <f aca="false">VLOOKUP(B99,справочник!$B$2:$E$322,4,0)</f>
        <v>66</v>
      </c>
      <c r="B99" s="0" t="e">
        <f aca="false">CONCATENATE(C99;D99)</f>
        <v>#VALUE!</v>
      </c>
      <c r="C99" s="94" t="n">
        <v>68</v>
      </c>
      <c r="D99" s="95" t="s">
        <v>192</v>
      </c>
      <c r="E99" s="24" t="s">
        <v>464</v>
      </c>
      <c r="F99" s="30" t="n">
        <v>41100</v>
      </c>
      <c r="G99" s="30" t="n">
        <v>41091</v>
      </c>
      <c r="H99" s="31" t="n">
        <f aca="false">INT(($H$327-G99)/30)</f>
        <v>42</v>
      </c>
      <c r="I99" s="24" t="n">
        <f aca="false">H99*1000</f>
        <v>42000</v>
      </c>
      <c r="J99" s="31" t="n">
        <v>39780</v>
      </c>
      <c r="K99" s="31"/>
      <c r="L99" s="59" t="n">
        <f aca="false">I99-J99-K99</f>
        <v>2220</v>
      </c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59" t="n">
        <f aca="false">V99-W99-X99</f>
        <v>0</v>
      </c>
    </row>
    <row collapsed="false" customFormat="false" customHeight="false" hidden="false" ht="15" outlineLevel="0" r="100">
      <c r="A100" s="19" t="n">
        <f aca="false">VLOOKUP(B100,справочник!$B$2:$E$322,4,0)</f>
        <v>36</v>
      </c>
      <c r="B100" s="0" t="e">
        <f aca="false">CONCATENATE(C100;D100)</f>
        <v>#VALUE!</v>
      </c>
      <c r="C100" s="24" t="n">
        <v>36</v>
      </c>
      <c r="D100" s="93" t="s">
        <v>154</v>
      </c>
      <c r="E100" s="24" t="s">
        <v>465</v>
      </c>
      <c r="F100" s="30" t="n">
        <v>40736</v>
      </c>
      <c r="G100" s="30" t="n">
        <v>40756</v>
      </c>
      <c r="H100" s="31" t="n">
        <f aca="false">INT(($H$327-G100)/30)</f>
        <v>53</v>
      </c>
      <c r="I100" s="24" t="n">
        <f aca="false">H100*1000</f>
        <v>53000</v>
      </c>
      <c r="J100" s="31" t="n">
        <f aca="false">42000+1000</f>
        <v>43000</v>
      </c>
      <c r="K100" s="31"/>
      <c r="L100" s="59" t="n">
        <f aca="false">I100-J100-K100</f>
        <v>10000</v>
      </c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59" t="n">
        <f aca="false">V100-W100-X100</f>
        <v>0</v>
      </c>
    </row>
    <row collapsed="false" customFormat="false" customHeight="false" hidden="false" ht="15" outlineLevel="0" r="101">
      <c r="A101" s="19" t="n">
        <f aca="false">VLOOKUP(B101,справочник!$B$2:$E$322,4,0)</f>
        <v>38</v>
      </c>
      <c r="B101" s="0" t="e">
        <f aca="false">CONCATENATE(C101;D101)</f>
        <v>#VALUE!</v>
      </c>
      <c r="C101" s="94" t="n">
        <v>255</v>
      </c>
      <c r="D101" s="65" t="s">
        <v>175</v>
      </c>
      <c r="E101" s="36" t="s">
        <v>466</v>
      </c>
      <c r="F101" s="34" t="n">
        <v>40770</v>
      </c>
      <c r="G101" s="34" t="n">
        <v>40787</v>
      </c>
      <c r="H101" s="35" t="n">
        <f aca="false">INT(($H$327-G101)/30)</f>
        <v>52</v>
      </c>
      <c r="I101" s="36" t="n">
        <f aca="false">H101*1000</f>
        <v>52000</v>
      </c>
      <c r="J101" s="35" t="n">
        <f aca="false">5000+18000+29000</f>
        <v>52000</v>
      </c>
      <c r="K101" s="35"/>
      <c r="L101" s="66" t="n">
        <f aca="false">I101-J101-K101</f>
        <v>0</v>
      </c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6" t="n">
        <f aca="false">V101-W101-X101</f>
        <v>0</v>
      </c>
    </row>
    <row collapsed="false" customFormat="false" customHeight="false" hidden="false" ht="15" outlineLevel="0" r="102">
      <c r="A102" s="19" t="n">
        <f aca="false">VLOOKUP(B102,справочник!$B$2:$E$322,4,0)</f>
        <v>38</v>
      </c>
      <c r="B102" s="0" t="e">
        <f aca="false">CONCATENATE(C102;D102)</f>
        <v>#VALUE!</v>
      </c>
      <c r="C102" s="94" t="n">
        <v>38</v>
      </c>
      <c r="D102" s="65" t="s">
        <v>175</v>
      </c>
      <c r="E102" s="36" t="s">
        <v>467</v>
      </c>
      <c r="F102" s="34" t="n">
        <v>41100</v>
      </c>
      <c r="G102" s="34" t="n">
        <v>41091</v>
      </c>
      <c r="H102" s="35" t="n">
        <f aca="false">INT(($H$327-G102)/30)</f>
        <v>42</v>
      </c>
      <c r="I102" s="36" t="n">
        <f aca="false">H102*1000</f>
        <v>42000</v>
      </c>
      <c r="J102" s="35" t="n">
        <v>35000</v>
      </c>
      <c r="K102" s="35"/>
      <c r="L102" s="66" t="n">
        <f aca="false">I102-J102-K102</f>
        <v>7000</v>
      </c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6" t="n">
        <f aca="false">V102-W102-X102</f>
        <v>0</v>
      </c>
    </row>
    <row collapsed="false" customFormat="false" customHeight="false" hidden="false" ht="15" outlineLevel="0" r="103">
      <c r="A103" s="19" t="n">
        <f aca="false">VLOOKUP(B103,справочник!$B$2:$E$322,4,0)</f>
        <v>12</v>
      </c>
      <c r="B103" s="0" t="e">
        <f aca="false">CONCATENATE(C103;D103)</f>
        <v>#VALUE!</v>
      </c>
      <c r="C103" s="24" t="n">
        <v>12</v>
      </c>
      <c r="D103" s="93" t="s">
        <v>71</v>
      </c>
      <c r="E103" s="24" t="s">
        <v>468</v>
      </c>
      <c r="F103" s="30" t="n">
        <v>41414</v>
      </c>
      <c r="G103" s="30" t="n">
        <v>41426</v>
      </c>
      <c r="H103" s="31" t="n">
        <f aca="false">INT(($H$327-G103)/30)</f>
        <v>31</v>
      </c>
      <c r="I103" s="24" t="n">
        <f aca="false">H103*1000</f>
        <v>31000</v>
      </c>
      <c r="J103" s="31" t="n">
        <v>5000</v>
      </c>
      <c r="K103" s="31"/>
      <c r="L103" s="59" t="n">
        <f aca="false">I103-J103-K103</f>
        <v>26000</v>
      </c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59" t="n">
        <f aca="false">V103-W103-X103</f>
        <v>0</v>
      </c>
    </row>
    <row collapsed="false" customFormat="false" customHeight="false" hidden="false" ht="15" outlineLevel="0" r="104">
      <c r="A104" s="19" t="n">
        <f aca="false">VLOOKUP(B104,справочник!$B$2:$E$322,4,0)</f>
        <v>63</v>
      </c>
      <c r="B104" s="0" t="e">
        <f aca="false">CONCATENATE(C104;D104)</f>
        <v>#VALUE!</v>
      </c>
      <c r="C104" s="94" t="n">
        <v>65</v>
      </c>
      <c r="D104" s="95" t="s">
        <v>68</v>
      </c>
      <c r="E104" s="24" t="s">
        <v>469</v>
      </c>
      <c r="F104" s="30" t="n">
        <v>41513</v>
      </c>
      <c r="G104" s="30" t="n">
        <v>41518</v>
      </c>
      <c r="H104" s="31" t="n">
        <f aca="false">INT(($H$327-G104)/30)</f>
        <v>28</v>
      </c>
      <c r="I104" s="24" t="n">
        <f aca="false">H104*1000</f>
        <v>28000</v>
      </c>
      <c r="J104" s="31" t="n">
        <v>0</v>
      </c>
      <c r="K104" s="31"/>
      <c r="L104" s="59" t="n">
        <f aca="false">I104-J104-K104</f>
        <v>28000</v>
      </c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59" t="n">
        <f aca="false">V104-W104-X104</f>
        <v>0</v>
      </c>
    </row>
    <row collapsed="false" customFormat="false" customHeight="false" hidden="false" ht="15" outlineLevel="0" r="105">
      <c r="A105" s="19" t="n">
        <f aca="false">VLOOKUP(B105,справочник!$B$2:$E$322,4,0)</f>
        <v>16</v>
      </c>
      <c r="B105" s="0" t="e">
        <f aca="false">CONCATENATE(C105;D105)</f>
        <v>#VALUE!</v>
      </c>
      <c r="C105" s="24" t="n">
        <v>16</v>
      </c>
      <c r="D105" s="29" t="s">
        <v>322</v>
      </c>
      <c r="E105" s="24" t="s">
        <v>470</v>
      </c>
      <c r="F105" s="30" t="n">
        <v>41254</v>
      </c>
      <c r="G105" s="30" t="n">
        <v>41275</v>
      </c>
      <c r="H105" s="31" t="n">
        <f aca="false">INT(($H$327-G105)/30)</f>
        <v>36</v>
      </c>
      <c r="I105" s="24" t="n">
        <f aca="false">H105*1000</f>
        <v>36000</v>
      </c>
      <c r="J105" s="31" t="n">
        <v>36000</v>
      </c>
      <c r="K105" s="31"/>
      <c r="L105" s="59" t="n">
        <f aca="false">I105-J105-K105</f>
        <v>0</v>
      </c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59" t="n">
        <f aca="false">V105-W105-X105</f>
        <v>0</v>
      </c>
    </row>
    <row collapsed="false" customFormat="false" customHeight="false" hidden="false" ht="15" outlineLevel="0" r="106">
      <c r="A106" s="19" t="n">
        <f aca="false">VLOOKUP(B106,справочник!$B$2:$E$322,4,0)</f>
        <v>121</v>
      </c>
      <c r="B106" s="0" t="e">
        <f aca="false">CONCATENATE(C106;D106)</f>
        <v>#VALUE!</v>
      </c>
      <c r="C106" s="24" t="n">
        <v>126</v>
      </c>
      <c r="D106" s="29" t="s">
        <v>222</v>
      </c>
      <c r="E106" s="24" t="s">
        <v>471</v>
      </c>
      <c r="F106" s="30" t="n">
        <v>41190</v>
      </c>
      <c r="G106" s="30" t="n">
        <v>41214</v>
      </c>
      <c r="H106" s="31" t="n">
        <f aca="false">INT(($H$327-G106)/30)</f>
        <v>38</v>
      </c>
      <c r="I106" s="24" t="n">
        <f aca="false">H106*1000</f>
        <v>38000</v>
      </c>
      <c r="J106" s="31" t="n">
        <v>32000</v>
      </c>
      <c r="K106" s="31"/>
      <c r="L106" s="59" t="n">
        <f aca="false">I106-J106-K106</f>
        <v>6000</v>
      </c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59" t="n">
        <f aca="false">V106-W106-X106</f>
        <v>0</v>
      </c>
    </row>
    <row collapsed="false" customFormat="false" customHeight="false" hidden="false" ht="15" outlineLevel="0" r="107">
      <c r="A107" s="19" t="n">
        <f aca="false">VLOOKUP(B107,справочник!$B$2:$E$322,4,0)</f>
        <v>156</v>
      </c>
      <c r="B107" s="0" t="e">
        <f aca="false">CONCATENATE(C107;D107)</f>
        <v>#VALUE!</v>
      </c>
      <c r="C107" s="24" t="n">
        <v>164</v>
      </c>
      <c r="D107" s="29" t="s">
        <v>307</v>
      </c>
      <c r="E107" s="24" t="s">
        <v>472</v>
      </c>
      <c r="F107" s="30" t="n">
        <v>41394</v>
      </c>
      <c r="G107" s="30" t="n">
        <v>41426</v>
      </c>
      <c r="H107" s="31" t="n">
        <f aca="false">INT(($H$327-G107)/30)</f>
        <v>31</v>
      </c>
      <c r="I107" s="24" t="n">
        <f aca="false">H107*1000</f>
        <v>31000</v>
      </c>
      <c r="J107" s="31" t="n">
        <v>28000</v>
      </c>
      <c r="K107" s="31"/>
      <c r="L107" s="59" t="n">
        <f aca="false">I107-J107-K107</f>
        <v>3000</v>
      </c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59" t="n">
        <f aca="false">V107-W107-X107</f>
        <v>0</v>
      </c>
    </row>
    <row collapsed="false" customFormat="false" customHeight="false" hidden="false" ht="15" outlineLevel="0" r="108">
      <c r="A108" s="19" t="n">
        <f aca="false">VLOOKUP(B108,справочник!$B$2:$E$322,4,0)</f>
        <v>5</v>
      </c>
      <c r="B108" s="0" t="e">
        <f aca="false">CONCATENATE(C108;D108)</f>
        <v>#VALUE!</v>
      </c>
      <c r="C108" s="24" t="n">
        <v>5</v>
      </c>
      <c r="D108" s="93" t="s">
        <v>149</v>
      </c>
      <c r="E108" s="24" t="s">
        <v>473</v>
      </c>
      <c r="F108" s="30" t="n">
        <v>41071</v>
      </c>
      <c r="G108" s="30" t="n">
        <v>41061</v>
      </c>
      <c r="H108" s="31" t="n">
        <f aca="false">INT(($H$327-G108)/30)</f>
        <v>43</v>
      </c>
      <c r="I108" s="24" t="n">
        <f aca="false">H108*1000</f>
        <v>43000</v>
      </c>
      <c r="J108" s="31" t="n">
        <f aca="false">32000</f>
        <v>32000</v>
      </c>
      <c r="K108" s="31"/>
      <c r="L108" s="59" t="n">
        <f aca="false">I108-J108-K108</f>
        <v>11000</v>
      </c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59" t="n">
        <f aca="false">V108-W108-X108</f>
        <v>0</v>
      </c>
    </row>
    <row collapsed="false" customFormat="false" customHeight="false" hidden="false" ht="15" outlineLevel="0" r="109">
      <c r="A109" s="19" t="n">
        <f aca="false">VLOOKUP(B109,справочник!$B$2:$E$322,4,0)</f>
        <v>214</v>
      </c>
      <c r="B109" s="0" t="e">
        <f aca="false">CONCATENATE(C109;D109)</f>
        <v>#VALUE!</v>
      </c>
      <c r="C109" s="24" t="n">
        <v>223</v>
      </c>
      <c r="D109" s="29" t="s">
        <v>295</v>
      </c>
      <c r="E109" s="24" t="s">
        <v>474</v>
      </c>
      <c r="F109" s="30" t="n">
        <v>41807</v>
      </c>
      <c r="G109" s="30" t="n">
        <v>41791</v>
      </c>
      <c r="H109" s="31" t="n">
        <f aca="false">INT(($H$327-G109)/30)</f>
        <v>19</v>
      </c>
      <c r="I109" s="24" t="n">
        <f aca="false">H109*1000</f>
        <v>19000</v>
      </c>
      <c r="J109" s="31" t="n">
        <v>19000</v>
      </c>
      <c r="K109" s="31"/>
      <c r="L109" s="59" t="n">
        <f aca="false">I109-J109-K109</f>
        <v>0</v>
      </c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59" t="n">
        <f aca="false">V109-W109-X109</f>
        <v>0</v>
      </c>
    </row>
    <row collapsed="false" customFormat="false" customHeight="false" hidden="false" ht="15" outlineLevel="0" r="110">
      <c r="A110" s="19" t="n">
        <f aca="false">VLOOKUP(B110,справочник!$B$2:$E$322,4,0)</f>
        <v>279</v>
      </c>
      <c r="B110" s="0" t="e">
        <f aca="false">CONCATENATE(C110;D110)</f>
        <v>#VALUE!</v>
      </c>
      <c r="C110" s="24" t="n">
        <v>291</v>
      </c>
      <c r="D110" s="93" t="s">
        <v>170</v>
      </c>
      <c r="E110" s="24" t="s">
        <v>475</v>
      </c>
      <c r="F110" s="30" t="n">
        <v>40890</v>
      </c>
      <c r="G110" s="30" t="n">
        <v>40878</v>
      </c>
      <c r="H110" s="31" t="n">
        <f aca="false">INT(($H$327-G110)/30)</f>
        <v>49</v>
      </c>
      <c r="I110" s="24" t="n">
        <f aca="false">H110*1000</f>
        <v>49000</v>
      </c>
      <c r="J110" s="31" t="n">
        <f aca="false">42000+1000</f>
        <v>43000</v>
      </c>
      <c r="K110" s="31"/>
      <c r="L110" s="59" t="n">
        <f aca="false">I110-J110-K110</f>
        <v>6000</v>
      </c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59" t="n">
        <f aca="false">V110-W110-X110</f>
        <v>0</v>
      </c>
    </row>
    <row collapsed="false" customFormat="false" customHeight="false" hidden="false" ht="15" outlineLevel="0" r="111">
      <c r="A111" s="19" t="n">
        <f aca="false">VLOOKUP(B111,справочник!$B$2:$E$322,4,0)</f>
        <v>197</v>
      </c>
      <c r="B111" s="0" t="e">
        <f aca="false">CONCATENATE(C111;D111)</f>
        <v>#VALUE!</v>
      </c>
      <c r="C111" s="24" t="n">
        <v>205</v>
      </c>
      <c r="D111" s="93" t="s">
        <v>52</v>
      </c>
      <c r="E111" s="24" t="s">
        <v>476</v>
      </c>
      <c r="F111" s="30" t="n">
        <v>40862</v>
      </c>
      <c r="G111" s="30" t="n">
        <v>40848</v>
      </c>
      <c r="H111" s="31" t="n">
        <f aca="false">INT(($H$327-G111)/30)</f>
        <v>50</v>
      </c>
      <c r="I111" s="24" t="n">
        <f aca="false">H111*1000</f>
        <v>50000</v>
      </c>
      <c r="J111" s="31" t="n">
        <v>16000</v>
      </c>
      <c r="K111" s="31"/>
      <c r="L111" s="59" t="n">
        <f aca="false">I111-J111-K111</f>
        <v>34000</v>
      </c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59" t="n">
        <f aca="false">V111-W111-X111</f>
        <v>0</v>
      </c>
    </row>
    <row collapsed="false" customFormat="false" customHeight="false" hidden="false" ht="15" outlineLevel="0" r="112">
      <c r="A112" s="19" t="n">
        <f aca="false">VLOOKUP(B112,справочник!$B$2:$E$322,4,0)</f>
        <v>295</v>
      </c>
      <c r="B112" s="0" t="e">
        <f aca="false">CONCATENATE(C112;D112)</f>
        <v>#VALUE!</v>
      </c>
      <c r="C112" s="94" t="n">
        <v>310</v>
      </c>
      <c r="D112" s="93" t="s">
        <v>40</v>
      </c>
      <c r="E112" s="24" t="s">
        <v>477</v>
      </c>
      <c r="F112" s="30" t="n">
        <v>41994</v>
      </c>
      <c r="G112" s="30" t="n">
        <v>42005</v>
      </c>
      <c r="H112" s="31" t="n">
        <f aca="false">INT(($H$327-G112)/30)</f>
        <v>12</v>
      </c>
      <c r="I112" s="24" t="n">
        <f aca="false">H112*1000</f>
        <v>12000</v>
      </c>
      <c r="J112" s="31"/>
      <c r="K112" s="31"/>
      <c r="L112" s="59" t="n">
        <f aca="false">I112-J112-K112</f>
        <v>12000</v>
      </c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59" t="n">
        <f aca="false">V112-W112-X112</f>
        <v>0</v>
      </c>
    </row>
    <row collapsed="false" customFormat="false" customHeight="false" hidden="false" ht="15" outlineLevel="0" r="113">
      <c r="A113" s="19" t="n">
        <f aca="false">VLOOKUP(B113,справочник!$B$2:$E$322,4,0)</f>
        <v>196</v>
      </c>
      <c r="B113" s="0" t="e">
        <f aca="false">CONCATENATE(C113;D113)</f>
        <v>#VALUE!</v>
      </c>
      <c r="C113" s="24" t="n">
        <v>204</v>
      </c>
      <c r="D113" s="29" t="s">
        <v>281</v>
      </c>
      <c r="E113" s="24" t="s">
        <v>478</v>
      </c>
      <c r="F113" s="30" t="n">
        <v>40945</v>
      </c>
      <c r="G113" s="30" t="n">
        <v>40969</v>
      </c>
      <c r="H113" s="31" t="n">
        <f aca="false">INT(($H$327-G113)/30)</f>
        <v>46</v>
      </c>
      <c r="I113" s="24" t="n">
        <f aca="false">H113*1000</f>
        <v>46000</v>
      </c>
      <c r="J113" s="31" t="n">
        <f aca="false">46000</f>
        <v>46000</v>
      </c>
      <c r="K113" s="31"/>
      <c r="L113" s="59" t="n">
        <f aca="false">I113-J113-K113</f>
        <v>0</v>
      </c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59" t="n">
        <f aca="false">V113-W113-X113</f>
        <v>0</v>
      </c>
    </row>
    <row collapsed="false" customFormat="false" customHeight="false" hidden="false" ht="25.5" outlineLevel="0" r="114">
      <c r="A114" s="19" t="n">
        <f aca="false">VLOOKUP(B114,справочник!$B$2:$E$322,4,0)</f>
        <v>124</v>
      </c>
      <c r="B114" s="0" t="e">
        <f aca="false">CONCATENATE(C114;D114)</f>
        <v>#VALUE!</v>
      </c>
      <c r="C114" s="24" t="n">
        <v>129</v>
      </c>
      <c r="D114" s="93" t="s">
        <v>125</v>
      </c>
      <c r="E114" s="24" t="s">
        <v>479</v>
      </c>
      <c r="F114" s="30" t="n">
        <v>41580</v>
      </c>
      <c r="G114" s="30" t="n">
        <v>41609</v>
      </c>
      <c r="H114" s="31" t="n">
        <f aca="false">INT(($H$327-G114)/30)</f>
        <v>25</v>
      </c>
      <c r="I114" s="24" t="n">
        <f aca="false">H114*1000</f>
        <v>25000</v>
      </c>
      <c r="J114" s="31" t="n">
        <f aca="false">5000+1500+5000</f>
        <v>11500</v>
      </c>
      <c r="K114" s="31"/>
      <c r="L114" s="59" t="n">
        <f aca="false">I114-J114-K114</f>
        <v>13500</v>
      </c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59" t="n">
        <f aca="false">V114-W114-X114</f>
        <v>0</v>
      </c>
    </row>
    <row collapsed="false" customFormat="false" customHeight="false" hidden="false" ht="15" outlineLevel="0" r="115">
      <c r="A115" s="19" t="n">
        <f aca="false">VLOOKUP(B115,справочник!$B$2:$E$322,4,0)</f>
        <v>250</v>
      </c>
      <c r="B115" s="0" t="e">
        <f aca="false">CONCATENATE(C115;D115)</f>
        <v>#VALUE!</v>
      </c>
      <c r="C115" s="24" t="n">
        <v>261</v>
      </c>
      <c r="D115" s="93" t="s">
        <v>146</v>
      </c>
      <c r="E115" s="24" t="s">
        <v>480</v>
      </c>
      <c r="F115" s="30" t="n">
        <v>41498</v>
      </c>
      <c r="G115" s="30" t="n">
        <v>41518</v>
      </c>
      <c r="H115" s="31" t="n">
        <f aca="false">INT(($H$327-G115)/30)</f>
        <v>28</v>
      </c>
      <c r="I115" s="24" t="n">
        <f aca="false">H115*1000</f>
        <v>28000</v>
      </c>
      <c r="J115" s="31" t="n">
        <v>13000</v>
      </c>
      <c r="K115" s="31" t="n">
        <v>1000</v>
      </c>
      <c r="L115" s="59" t="n">
        <f aca="false">I115-J115-K115</f>
        <v>14000</v>
      </c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59" t="n">
        <f aca="false">V115-W115-X115</f>
        <v>0</v>
      </c>
    </row>
    <row collapsed="false" customFormat="false" customHeight="false" hidden="false" ht="15" outlineLevel="0" r="116">
      <c r="A116" s="19" t="n">
        <f aca="false">VLOOKUP(B116,справочник!$B$2:$E$322,4,0)</f>
        <v>153</v>
      </c>
      <c r="B116" s="0" t="e">
        <f aca="false">CONCATENATE(C116;D116)</f>
        <v>#VALUE!</v>
      </c>
      <c r="C116" s="24" t="n">
        <v>161</v>
      </c>
      <c r="D116" s="29" t="s">
        <v>252</v>
      </c>
      <c r="E116" s="24" t="s">
        <v>481</v>
      </c>
      <c r="F116" s="30" t="n">
        <v>40994</v>
      </c>
      <c r="G116" s="30" t="n">
        <v>41000</v>
      </c>
      <c r="H116" s="31" t="n">
        <f aca="false">INT(($H$327-G116)/30)</f>
        <v>45</v>
      </c>
      <c r="I116" s="24" t="n">
        <f aca="false">H116*1000</f>
        <v>45000</v>
      </c>
      <c r="J116" s="31" t="n">
        <v>41000</v>
      </c>
      <c r="K116" s="31"/>
      <c r="L116" s="59" t="n">
        <f aca="false">I116-J116-K116</f>
        <v>4000</v>
      </c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59" t="n">
        <f aca="false">V116-W116-X116</f>
        <v>0</v>
      </c>
    </row>
    <row collapsed="false" customFormat="false" customHeight="false" hidden="false" ht="15" outlineLevel="0" r="117">
      <c r="A117" s="19" t="n">
        <f aca="false">VLOOKUP(B117,справочник!$B$2:$E$322,4,0)</f>
        <v>106</v>
      </c>
      <c r="B117" s="0" t="e">
        <f aca="false">CONCATENATE(C117;D117)</f>
        <v>#VALUE!</v>
      </c>
      <c r="C117" s="24" t="n">
        <v>111</v>
      </c>
      <c r="D117" s="93" t="s">
        <v>50</v>
      </c>
      <c r="E117" s="24" t="s">
        <v>482</v>
      </c>
      <c r="F117" s="30" t="n">
        <v>41463</v>
      </c>
      <c r="G117" s="30" t="n">
        <v>41282</v>
      </c>
      <c r="H117" s="31" t="n">
        <f aca="false">INT(($H$327-G117)/30)</f>
        <v>36</v>
      </c>
      <c r="I117" s="24" t="n">
        <f aca="false">H117*1000</f>
        <v>36000</v>
      </c>
      <c r="J117" s="31" t="n">
        <v>1000</v>
      </c>
      <c r="K117" s="31"/>
      <c r="L117" s="59" t="n">
        <f aca="false">I117-J117-K117</f>
        <v>35000</v>
      </c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59" t="n">
        <f aca="false">V117-W117-X117</f>
        <v>0</v>
      </c>
    </row>
    <row collapsed="false" customFormat="false" customHeight="false" hidden="false" ht="15" outlineLevel="0" r="118">
      <c r="A118" s="19" t="n">
        <f aca="false">VLOOKUP(B118,справочник!$B$2:$E$322,4,0)</f>
        <v>222</v>
      </c>
      <c r="B118" s="0" t="e">
        <f aca="false">CONCATENATE(C118;D118)</f>
        <v>#VALUE!</v>
      </c>
      <c r="C118" s="24" t="n">
        <v>231</v>
      </c>
      <c r="D118" s="29" t="s">
        <v>38</v>
      </c>
      <c r="E118" s="24" t="s">
        <v>483</v>
      </c>
      <c r="F118" s="30" t="n">
        <v>41429</v>
      </c>
      <c r="G118" s="30" t="n">
        <v>41456</v>
      </c>
      <c r="H118" s="31" t="n">
        <f aca="false">INT(($H$327-G118)/30)</f>
        <v>30</v>
      </c>
      <c r="I118" s="24" t="n">
        <f aca="false">H118*1000</f>
        <v>30000</v>
      </c>
      <c r="J118" s="31" t="n">
        <v>25000</v>
      </c>
      <c r="K118" s="31" t="n">
        <v>5000</v>
      </c>
      <c r="L118" s="59" t="n">
        <f aca="false">I118-J118-K118</f>
        <v>0</v>
      </c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59" t="n">
        <f aca="false">V118-W118-X118</f>
        <v>0</v>
      </c>
    </row>
    <row collapsed="false" customFormat="false" customHeight="false" hidden="false" ht="15" outlineLevel="0" r="119">
      <c r="A119" s="19" t="n">
        <f aca="false">VLOOKUP(B119,справочник!$B$2:$E$322,4,0)</f>
        <v>208</v>
      </c>
      <c r="B119" s="0" t="e">
        <f aca="false">CONCATENATE(C119;D119)</f>
        <v>#VALUE!</v>
      </c>
      <c r="C119" s="24" t="n">
        <v>218</v>
      </c>
      <c r="D119" s="93" t="s">
        <v>189</v>
      </c>
      <c r="E119" s="24" t="s">
        <v>484</v>
      </c>
      <c r="F119" s="30" t="n">
        <v>41052</v>
      </c>
      <c r="G119" s="30" t="n">
        <v>41061</v>
      </c>
      <c r="H119" s="31" t="n">
        <f aca="false">INT(($H$327-G119)/30)</f>
        <v>43</v>
      </c>
      <c r="I119" s="24" t="n">
        <f aca="false">H119*1000</f>
        <v>43000</v>
      </c>
      <c r="J119" s="31" t="n">
        <f aca="false">40500</f>
        <v>40500</v>
      </c>
      <c r="K119" s="31"/>
      <c r="L119" s="59" t="n">
        <f aca="false">I119-J119-K119</f>
        <v>2500</v>
      </c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59" t="n">
        <f aca="false">V119-W119-X119</f>
        <v>0</v>
      </c>
    </row>
    <row collapsed="false" customFormat="false" customHeight="false" hidden="false" ht="25.5" outlineLevel="0" r="120">
      <c r="A120" s="19" t="n">
        <f aca="false">VLOOKUP(B120,справочник!$B$2:$E$322,4,0)</f>
        <v>207</v>
      </c>
      <c r="B120" s="0" t="e">
        <f aca="false">CONCATENATE(C120;D120)</f>
        <v>#VALUE!</v>
      </c>
      <c r="C120" s="94" t="n">
        <v>217</v>
      </c>
      <c r="D120" s="93" t="s">
        <v>210</v>
      </c>
      <c r="E120" s="24"/>
      <c r="F120" s="24"/>
      <c r="G120" s="24"/>
      <c r="H120" s="31"/>
      <c r="I120" s="24" t="n">
        <f aca="false">H120*1000</f>
        <v>0</v>
      </c>
      <c r="J120" s="31"/>
      <c r="K120" s="31"/>
      <c r="L120" s="59" t="n">
        <f aca="false">I120-J120-K120</f>
        <v>0</v>
      </c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59" t="n">
        <f aca="false">V120-W120-X120</f>
        <v>0</v>
      </c>
    </row>
    <row collapsed="false" customFormat="false" customHeight="false" hidden="false" ht="15" outlineLevel="0" r="121">
      <c r="A121" s="19" t="n">
        <f aca="false">VLOOKUP(B121,справочник!$B$2:$E$322,4,0)</f>
        <v>231</v>
      </c>
      <c r="B121" s="0" t="e">
        <f aca="false">CONCATENATE(C121;D121)</f>
        <v>#VALUE!</v>
      </c>
      <c r="C121" s="24" t="n">
        <v>240</v>
      </c>
      <c r="D121" s="29" t="s">
        <v>226</v>
      </c>
      <c r="E121" s="24" t="s">
        <v>485</v>
      </c>
      <c r="F121" s="30" t="n">
        <v>41357</v>
      </c>
      <c r="G121" s="30" t="n">
        <v>41365</v>
      </c>
      <c r="H121" s="31" t="n">
        <f aca="false">INT(($H$327-G121)/30)</f>
        <v>33</v>
      </c>
      <c r="I121" s="24" t="n">
        <f aca="false">H121*1000</f>
        <v>33000</v>
      </c>
      <c r="J121" s="31" t="n">
        <v>28000</v>
      </c>
      <c r="K121" s="31"/>
      <c r="L121" s="59" t="n">
        <f aca="false">I121-J121-K121</f>
        <v>5000</v>
      </c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59" t="n">
        <f aca="false">V121-W121-X121</f>
        <v>0</v>
      </c>
    </row>
    <row collapsed="false" customFormat="false" customHeight="false" hidden="false" ht="15" outlineLevel="0" r="122">
      <c r="A122" s="19" t="n">
        <f aca="false">VLOOKUP(B122,справочник!$B$2:$E$322,4,0)</f>
        <v>76</v>
      </c>
      <c r="B122" s="0" t="e">
        <f aca="false">CONCATENATE(C122;D122)</f>
        <v>#VALUE!</v>
      </c>
      <c r="C122" s="24" t="n">
        <v>82</v>
      </c>
      <c r="D122" s="29" t="s">
        <v>309</v>
      </c>
      <c r="E122" s="24" t="s">
        <v>486</v>
      </c>
      <c r="F122" s="30" t="n">
        <v>40682</v>
      </c>
      <c r="G122" s="30" t="n">
        <v>40695</v>
      </c>
      <c r="H122" s="31" t="n">
        <f aca="false">INT(($H$327-G122)/30)</f>
        <v>55</v>
      </c>
      <c r="I122" s="24" t="n">
        <f aca="false">H122*1000</f>
        <v>55000</v>
      </c>
      <c r="J122" s="31" t="n">
        <v>54000</v>
      </c>
      <c r="K122" s="31" t="n">
        <v>3000</v>
      </c>
      <c r="L122" s="59" t="n">
        <f aca="false">I122-J122-K122</f>
        <v>-2000</v>
      </c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59" t="n">
        <f aca="false">V122-W122-X122</f>
        <v>0</v>
      </c>
    </row>
    <row collapsed="false" customFormat="false" customHeight="false" hidden="false" ht="15" outlineLevel="0" r="123">
      <c r="A123" s="19" t="n">
        <f aca="false">VLOOKUP(B123,справочник!$B$2:$E$322,4,0)</f>
        <v>82</v>
      </c>
      <c r="B123" s="0" t="e">
        <f aca="false">CONCATENATE(C123;D123)</f>
        <v>#VALUE!</v>
      </c>
      <c r="C123" s="24" t="n">
        <v>87</v>
      </c>
      <c r="D123" s="29" t="s">
        <v>229</v>
      </c>
      <c r="E123" s="24" t="s">
        <v>487</v>
      </c>
      <c r="F123" s="30" t="n">
        <v>41148</v>
      </c>
      <c r="G123" s="30" t="n">
        <v>41153</v>
      </c>
      <c r="H123" s="31" t="n">
        <f aca="false">INT(($H$327-G123)/30)</f>
        <v>40</v>
      </c>
      <c r="I123" s="24" t="n">
        <f aca="false">H123*1000</f>
        <v>40000</v>
      </c>
      <c r="J123" s="31" t="n">
        <v>35000</v>
      </c>
      <c r="K123" s="31"/>
      <c r="L123" s="59" t="n">
        <f aca="false">I123-J123-K123</f>
        <v>5000</v>
      </c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59" t="n">
        <f aca="false">V123-W123-X123</f>
        <v>0</v>
      </c>
    </row>
    <row collapsed="false" customFormat="false" customHeight="false" hidden="false" ht="15" outlineLevel="0" r="124">
      <c r="A124" s="19" t="n">
        <f aca="false">VLOOKUP(B124,справочник!$B$2:$E$322,4,0)</f>
        <v>8</v>
      </c>
      <c r="B124" s="0" t="e">
        <f aca="false">CONCATENATE(C124;D124)</f>
        <v>#VALUE!</v>
      </c>
      <c r="C124" s="24" t="n">
        <v>8</v>
      </c>
      <c r="D124" s="93" t="s">
        <v>240</v>
      </c>
      <c r="E124" s="24" t="s">
        <v>488</v>
      </c>
      <c r="F124" s="30" t="n">
        <v>41741</v>
      </c>
      <c r="G124" s="30" t="n">
        <v>41760</v>
      </c>
      <c r="H124" s="31" t="n">
        <f aca="false">INT(($H$327-G124)/30)</f>
        <v>20</v>
      </c>
      <c r="I124" s="24" t="n">
        <f aca="false">H124*1000</f>
        <v>20000</v>
      </c>
      <c r="J124" s="31" t="n">
        <v>18000</v>
      </c>
      <c r="K124" s="31"/>
      <c r="L124" s="59" t="n">
        <f aca="false">I124-J124-K124</f>
        <v>2000</v>
      </c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59" t="n">
        <f aca="false">V124-W124-X124</f>
        <v>0</v>
      </c>
    </row>
    <row collapsed="false" customFormat="false" customHeight="false" hidden="false" ht="15" outlineLevel="0" r="125">
      <c r="A125" s="19" t="n">
        <f aca="false">VLOOKUP(B125,справочник!$B$2:$E$322,4,0)</f>
        <v>149</v>
      </c>
      <c r="B125" s="0" t="e">
        <f aca="false">CONCATENATE(C125;D125)</f>
        <v>#VALUE!</v>
      </c>
      <c r="C125" s="24" t="n">
        <v>157</v>
      </c>
      <c r="D125" s="93" t="s">
        <v>35</v>
      </c>
      <c r="E125" s="24" t="s">
        <v>489</v>
      </c>
      <c r="F125" s="30" t="n">
        <v>40820</v>
      </c>
      <c r="G125" s="30" t="n">
        <v>40817</v>
      </c>
      <c r="H125" s="31" t="n">
        <f aca="false">INT(($H$327-G125)/30)</f>
        <v>51</v>
      </c>
      <c r="I125" s="24" t="n">
        <f aca="false">H125*1000</f>
        <v>51000</v>
      </c>
      <c r="J125" s="31" t="n">
        <f aca="false">1000</f>
        <v>1000</v>
      </c>
      <c r="K125" s="31" t="n">
        <v>1000</v>
      </c>
      <c r="L125" s="59" t="n">
        <f aca="false">I125-J125-K125</f>
        <v>49000</v>
      </c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59" t="n">
        <f aca="false">V125-W125-X125</f>
        <v>0</v>
      </c>
    </row>
    <row collapsed="false" customFormat="false" customHeight="false" hidden="false" ht="15" outlineLevel="0" r="126">
      <c r="A126" s="19" t="n">
        <f aca="false">VLOOKUP(B126,справочник!$B$2:$E$322,4,0)</f>
        <v>30</v>
      </c>
      <c r="B126" s="0" t="e">
        <f aca="false">CONCATENATE(C126;D126)</f>
        <v>#VALUE!</v>
      </c>
      <c r="C126" s="24" t="n">
        <v>30</v>
      </c>
      <c r="D126" s="93" t="s">
        <v>37</v>
      </c>
      <c r="E126" s="24" t="s">
        <v>490</v>
      </c>
      <c r="F126" s="30" t="n">
        <v>40906</v>
      </c>
      <c r="G126" s="30" t="n">
        <v>40909</v>
      </c>
      <c r="H126" s="31" t="n">
        <f aca="false">INT(($H$327-G126)/30)</f>
        <v>48</v>
      </c>
      <c r="I126" s="24" t="n">
        <f aca="false">H126*1000</f>
        <v>48000</v>
      </c>
      <c r="J126" s="31" t="n">
        <f aca="false">1000</f>
        <v>1000</v>
      </c>
      <c r="K126" s="31"/>
      <c r="L126" s="59" t="n">
        <f aca="false">I126-J126-K126</f>
        <v>47000</v>
      </c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59" t="n">
        <f aca="false">V126-W126-X126</f>
        <v>0</v>
      </c>
    </row>
    <row collapsed="false" customFormat="false" customHeight="false" hidden="false" ht="15" outlineLevel="0" r="127">
      <c r="A127" s="19" t="n">
        <f aca="false">VLOOKUP(B127,справочник!$B$2:$E$322,4,0)</f>
        <v>269</v>
      </c>
      <c r="B127" s="0" t="e">
        <f aca="false">CONCATENATE(C127;D127)</f>
        <v>#VALUE!</v>
      </c>
      <c r="C127" s="24" t="n">
        <v>282</v>
      </c>
      <c r="D127" s="93" t="s">
        <v>106</v>
      </c>
      <c r="E127" s="24" t="s">
        <v>491</v>
      </c>
      <c r="F127" s="30" t="n">
        <v>41254</v>
      </c>
      <c r="G127" s="30" t="n">
        <v>41275</v>
      </c>
      <c r="H127" s="31" t="n">
        <f aca="false">INT(($H$327-G127)/30)</f>
        <v>36</v>
      </c>
      <c r="I127" s="24" t="n">
        <f aca="false">H127*1000</f>
        <v>36000</v>
      </c>
      <c r="J127" s="31" t="n">
        <v>18000</v>
      </c>
      <c r="K127" s="31"/>
      <c r="L127" s="59" t="n">
        <f aca="false">I127-J127-K127</f>
        <v>18000</v>
      </c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59" t="n">
        <f aca="false">V127-W127-X127</f>
        <v>0</v>
      </c>
    </row>
    <row collapsed="false" customFormat="false" customHeight="false" hidden="false" ht="15" outlineLevel="0" r="128">
      <c r="A128" s="19" t="n">
        <f aca="false">VLOOKUP(B128,справочник!$B$2:$E$322,4,0)</f>
        <v>271</v>
      </c>
      <c r="B128" s="0" t="e">
        <f aca="false">CONCATENATE(C128;D128)</f>
        <v>#VALUE!</v>
      </c>
      <c r="C128" s="24" t="n">
        <v>284</v>
      </c>
      <c r="D128" s="29" t="s">
        <v>294</v>
      </c>
      <c r="E128" s="24" t="s">
        <v>492</v>
      </c>
      <c r="F128" s="30" t="n">
        <v>42044</v>
      </c>
      <c r="G128" s="30" t="n">
        <v>42095</v>
      </c>
      <c r="H128" s="31" t="n">
        <f aca="false">INT(($H$327-G128)/30)</f>
        <v>9</v>
      </c>
      <c r="I128" s="24" t="n">
        <f aca="false">H128*1000</f>
        <v>9000</v>
      </c>
      <c r="J128" s="31" t="n">
        <v>4000</v>
      </c>
      <c r="K128" s="31" t="n">
        <v>5000</v>
      </c>
      <c r="L128" s="59" t="n">
        <f aca="false">I128-J128-K128</f>
        <v>0</v>
      </c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59" t="n">
        <f aca="false">V128-W128-X128</f>
        <v>0</v>
      </c>
    </row>
    <row collapsed="false" customFormat="false" customHeight="false" hidden="false" ht="15" outlineLevel="0" r="129">
      <c r="A129" s="19" t="n">
        <f aca="false">VLOOKUP(B129,справочник!$B$2:$E$322,4,0)</f>
        <v>265</v>
      </c>
      <c r="B129" s="0" t="e">
        <f aca="false">CONCATENATE(C129;D129)</f>
        <v>#VALUE!</v>
      </c>
      <c r="C129" s="24" t="n">
        <v>278</v>
      </c>
      <c r="D129" s="93" t="s">
        <v>92</v>
      </c>
      <c r="E129" s="24" t="s">
        <v>493</v>
      </c>
      <c r="F129" s="30" t="n">
        <v>40812</v>
      </c>
      <c r="G129" s="30" t="n">
        <v>40787</v>
      </c>
      <c r="H129" s="31" t="n">
        <f aca="false">INT(($H$327-G129)/30)</f>
        <v>52</v>
      </c>
      <c r="I129" s="24" t="n">
        <f aca="false">H129*1000</f>
        <v>52000</v>
      </c>
      <c r="J129" s="31" t="n">
        <f aca="false">2000+27000</f>
        <v>29000</v>
      </c>
      <c r="K129" s="31"/>
      <c r="L129" s="59" t="n">
        <f aca="false">I129-J129-K129</f>
        <v>23000</v>
      </c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59" t="n">
        <f aca="false">V129-W129-X129</f>
        <v>0</v>
      </c>
    </row>
    <row collapsed="false" customFormat="false" customHeight="false" hidden="false" ht="25.5" outlineLevel="0" r="130">
      <c r="A130" s="19" t="n">
        <f aca="false">VLOOKUP(B130,справочник!$B$2:$E$322,4,0)</f>
        <v>173</v>
      </c>
      <c r="B130" s="0" t="e">
        <f aca="false">CONCATENATE(C130;D130)</f>
        <v>#VALUE!</v>
      </c>
      <c r="C130" s="24" t="n">
        <v>181</v>
      </c>
      <c r="D130" s="93" t="s">
        <v>31</v>
      </c>
      <c r="E130" s="24" t="s">
        <v>494</v>
      </c>
      <c r="F130" s="30" t="n">
        <v>40793</v>
      </c>
      <c r="G130" s="30" t="n">
        <v>40787</v>
      </c>
      <c r="H130" s="31" t="n">
        <f aca="false">INT(($H$327-G130)/30)</f>
        <v>52</v>
      </c>
      <c r="I130" s="24" t="n">
        <f aca="false">H130*1000</f>
        <v>52000</v>
      </c>
      <c r="J130" s="31" t="n">
        <v>1000</v>
      </c>
      <c r="K130" s="31"/>
      <c r="L130" s="59" t="n">
        <f aca="false">I130-J130-K130</f>
        <v>51000</v>
      </c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59" t="n">
        <f aca="false">V130-W130-X130</f>
        <v>0</v>
      </c>
    </row>
    <row collapsed="false" customFormat="false" customHeight="false" hidden="false" ht="15" outlineLevel="0" r="131">
      <c r="A131" s="19" t="n">
        <f aca="false">VLOOKUP(B131,справочник!$B$2:$E$322,4,0)</f>
        <v>305</v>
      </c>
      <c r="B131" s="0" t="e">
        <f aca="false">CONCATENATE(C131;D131)</f>
        <v>#VALUE!</v>
      </c>
      <c r="C131" s="24" t="n">
        <v>320</v>
      </c>
      <c r="D131" s="93" t="s">
        <v>126</v>
      </c>
      <c r="E131" s="24" t="s">
        <v>495</v>
      </c>
      <c r="F131" s="30" t="n">
        <v>41929</v>
      </c>
      <c r="G131" s="30" t="n">
        <v>41944</v>
      </c>
      <c r="H131" s="31" t="n">
        <f aca="false">INT(($H$327-G131)/30)</f>
        <v>14</v>
      </c>
      <c r="I131" s="24" t="n">
        <f aca="false">H131*1000</f>
        <v>14000</v>
      </c>
      <c r="J131" s="31" t="n">
        <v>1000</v>
      </c>
      <c r="K131" s="31"/>
      <c r="L131" s="59" t="n">
        <f aca="false">I131-J131-K131</f>
        <v>13000</v>
      </c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59" t="n">
        <f aca="false">V131-W131-X131</f>
        <v>0</v>
      </c>
    </row>
    <row collapsed="false" customFormat="false" customHeight="false" hidden="false" ht="15" outlineLevel="0" r="132">
      <c r="A132" s="19" t="n">
        <f aca="false">VLOOKUP(B132,справочник!$B$2:$E$322,4,0)</f>
        <v>69</v>
      </c>
      <c r="B132" s="0" t="e">
        <f aca="false">CONCATENATE(C132;D132)</f>
        <v>#VALUE!</v>
      </c>
      <c r="C132" s="94" t="n">
        <v>75</v>
      </c>
      <c r="D132" s="93" t="s">
        <v>45</v>
      </c>
      <c r="E132" s="24" t="s">
        <v>496</v>
      </c>
      <c r="F132" s="34" t="s">
        <v>497</v>
      </c>
      <c r="G132" s="34" t="n">
        <v>40787</v>
      </c>
      <c r="H132" s="35" t="n">
        <f aca="false">INT(($H$327-G132)/30)</f>
        <v>52</v>
      </c>
      <c r="I132" s="36" t="n">
        <f aca="false">H132*1000</f>
        <v>52000</v>
      </c>
      <c r="J132" s="35" t="n">
        <f aca="false">3000+10000</f>
        <v>13000</v>
      </c>
      <c r="K132" s="35"/>
      <c r="L132" s="66" t="n">
        <f aca="false">I132-J132-K132</f>
        <v>39000</v>
      </c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6" t="n">
        <f aca="false">V132-W132-X132</f>
        <v>0</v>
      </c>
    </row>
    <row collapsed="false" customFormat="false" customHeight="false" hidden="false" ht="15" outlineLevel="0" r="133">
      <c r="A133" s="19" t="n">
        <f aca="false">VLOOKUP(B133,справочник!$B$2:$E$322,4,0)</f>
        <v>69</v>
      </c>
      <c r="B133" s="0" t="e">
        <f aca="false">CONCATENATE(C133;D133)</f>
        <v>#VALUE!</v>
      </c>
      <c r="C133" s="94" t="n">
        <v>76</v>
      </c>
      <c r="D133" s="93" t="s">
        <v>45</v>
      </c>
      <c r="E133" s="24" t="s">
        <v>498</v>
      </c>
      <c r="F133" s="36"/>
      <c r="G133" s="36"/>
      <c r="H133" s="35"/>
      <c r="I133" s="36" t="n">
        <f aca="false">H133*1000</f>
        <v>0</v>
      </c>
      <c r="J133" s="35"/>
      <c r="K133" s="35"/>
      <c r="L133" s="66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6"/>
    </row>
    <row collapsed="false" customFormat="false" customHeight="false" hidden="false" ht="15" outlineLevel="0" r="134">
      <c r="A134" s="19" t="n">
        <f aca="false">VLOOKUP(B134,справочник!$B$2:$E$322,4,0)</f>
        <v>1</v>
      </c>
      <c r="B134" s="0" t="e">
        <f aca="false">CONCATENATE(C134;D134)</f>
        <v>#VALUE!</v>
      </c>
      <c r="C134" s="24" t="n">
        <v>1</v>
      </c>
      <c r="D134" s="29" t="s">
        <v>230</v>
      </c>
      <c r="E134" s="24" t="s">
        <v>499</v>
      </c>
      <c r="F134" s="30" t="n">
        <v>41409</v>
      </c>
      <c r="G134" s="30" t="n">
        <v>41548</v>
      </c>
      <c r="H134" s="31" t="n">
        <f aca="false">INT(($H$327-G134)/30)</f>
        <v>27</v>
      </c>
      <c r="I134" s="24" t="n">
        <f aca="false">H134*1000</f>
        <v>27000</v>
      </c>
      <c r="J134" s="31" t="n">
        <v>24000</v>
      </c>
      <c r="K134" s="31"/>
      <c r="L134" s="59" t="n">
        <f aca="false">I134-J134-K134</f>
        <v>3000</v>
      </c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59" t="n">
        <f aca="false">V134-W134-X134</f>
        <v>0</v>
      </c>
    </row>
    <row collapsed="false" customFormat="false" customHeight="false" hidden="false" ht="15" outlineLevel="0" r="135">
      <c r="A135" s="19" t="n">
        <f aca="false">VLOOKUP(B135,справочник!$B$2:$E$322,4,0)</f>
        <v>302</v>
      </c>
      <c r="B135" s="0" t="e">
        <f aca="false">CONCATENATE(C135;D135)</f>
        <v>#VALUE!</v>
      </c>
      <c r="C135" s="24" t="n">
        <v>317</v>
      </c>
      <c r="D135" s="93" t="s">
        <v>127</v>
      </c>
      <c r="E135" s="24" t="s">
        <v>500</v>
      </c>
      <c r="F135" s="30" t="n">
        <v>40997</v>
      </c>
      <c r="G135" s="30" t="n">
        <v>41000</v>
      </c>
      <c r="H135" s="31" t="n">
        <f aca="false">INT(($H$327-G135)/30)</f>
        <v>45</v>
      </c>
      <c r="I135" s="24" t="n">
        <f aca="false">H135*1000</f>
        <v>45000</v>
      </c>
      <c r="J135" s="31" t="n">
        <v>32000</v>
      </c>
      <c r="K135" s="31"/>
      <c r="L135" s="59" t="n">
        <f aca="false">I135-J135-K135</f>
        <v>13000</v>
      </c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59" t="n">
        <f aca="false">V135-W135-X135</f>
        <v>0</v>
      </c>
    </row>
    <row collapsed="false" customFormat="false" customHeight="false" hidden="false" ht="15" outlineLevel="0" r="136">
      <c r="A136" s="19" t="n">
        <f aca="false">VLOOKUP(B136,справочник!$B$2:$E$322,4,0)</f>
        <v>123</v>
      </c>
      <c r="B136" s="0" t="e">
        <f aca="false">CONCATENATE(C136;D136)</f>
        <v>#VALUE!</v>
      </c>
      <c r="C136" s="24" t="n">
        <v>128</v>
      </c>
      <c r="D136" s="93" t="s">
        <v>130</v>
      </c>
      <c r="E136" s="24" t="s">
        <v>501</v>
      </c>
      <c r="F136" s="30" t="n">
        <v>40960</v>
      </c>
      <c r="G136" s="30" t="n">
        <v>40940</v>
      </c>
      <c r="H136" s="31" t="n">
        <f aca="false">INT(($H$327-G136)/30)</f>
        <v>47</v>
      </c>
      <c r="I136" s="24" t="n">
        <f aca="false">H136*1000</f>
        <v>47000</v>
      </c>
      <c r="J136" s="31" t="n">
        <v>34000</v>
      </c>
      <c r="K136" s="31"/>
      <c r="L136" s="59" t="n">
        <f aca="false">I136-J136-K136</f>
        <v>13000</v>
      </c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59" t="n">
        <f aca="false">V136-W136-X136</f>
        <v>0</v>
      </c>
    </row>
    <row collapsed="false" customFormat="false" customHeight="false" hidden="false" ht="25.5" outlineLevel="0" r="137">
      <c r="A137" s="19" t="n">
        <f aca="false">VLOOKUP(B137,справочник!$B$2:$E$322,4,0)</f>
        <v>163</v>
      </c>
      <c r="B137" s="0" t="e">
        <f aca="false">CONCATENATE(C137;D137)</f>
        <v>#VALUE!</v>
      </c>
      <c r="C137" s="24" t="n">
        <v>171</v>
      </c>
      <c r="D137" s="93" t="s">
        <v>160</v>
      </c>
      <c r="E137" s="24"/>
      <c r="F137" s="30" t="n">
        <v>41809</v>
      </c>
      <c r="G137" s="30" t="n">
        <v>41821</v>
      </c>
      <c r="H137" s="31" t="n">
        <f aca="false">INT(($H$327-G137)/30)</f>
        <v>18</v>
      </c>
      <c r="I137" s="24" t="n">
        <f aca="false">H137*1000</f>
        <v>18000</v>
      </c>
      <c r="J137" s="31" t="n">
        <f aca="false">5000+4000</f>
        <v>9000</v>
      </c>
      <c r="K137" s="31"/>
      <c r="L137" s="59" t="n">
        <f aca="false">I137-J137-K137</f>
        <v>9000</v>
      </c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59" t="n">
        <f aca="false">V137-W137-X137</f>
        <v>0</v>
      </c>
    </row>
    <row collapsed="false" customFormat="false" customHeight="false" hidden="false" ht="15" outlineLevel="0" r="138">
      <c r="A138" s="19" t="n">
        <f aca="false">VLOOKUP(B138,справочник!$B$2:$E$322,4,0)</f>
        <v>110</v>
      </c>
      <c r="B138" s="0" t="e">
        <f aca="false">CONCATENATE(C138;D138)</f>
        <v>#VALUE!</v>
      </c>
      <c r="C138" s="24" t="n">
        <v>115</v>
      </c>
      <c r="D138" s="93" t="s">
        <v>101</v>
      </c>
      <c r="E138" s="24" t="s">
        <v>502</v>
      </c>
      <c r="F138" s="30" t="n">
        <v>41101</v>
      </c>
      <c r="G138" s="30" t="n">
        <v>41091</v>
      </c>
      <c r="H138" s="31" t="n">
        <f aca="false">INT(($H$327-G138)/30)</f>
        <v>42</v>
      </c>
      <c r="I138" s="24" t="n">
        <f aca="false">H138*1000</f>
        <v>42000</v>
      </c>
      <c r="J138" s="31" t="n">
        <v>23000</v>
      </c>
      <c r="K138" s="31"/>
      <c r="L138" s="59" t="n">
        <f aca="false">I138-J138-K138</f>
        <v>19000</v>
      </c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59" t="n">
        <f aca="false">V138-W138-X138</f>
        <v>0</v>
      </c>
    </row>
    <row collapsed="false" customFormat="false" customHeight="false" hidden="false" ht="25.5" outlineLevel="0" r="139">
      <c r="A139" s="19" t="n">
        <f aca="false">VLOOKUP(B139,справочник!$B$2:$E$322,4,0)</f>
        <v>112</v>
      </c>
      <c r="B139" s="0" t="e">
        <f aca="false">CONCATENATE(C139;D139)</f>
        <v>#VALUE!</v>
      </c>
      <c r="C139" s="24" t="n">
        <v>117</v>
      </c>
      <c r="D139" s="93" t="s">
        <v>166</v>
      </c>
      <c r="E139" s="24"/>
      <c r="F139" s="30" t="n">
        <v>41101</v>
      </c>
      <c r="G139" s="30" t="n">
        <v>41091</v>
      </c>
      <c r="H139" s="31" t="n">
        <f aca="false">INT(($H$327-G139)/30)</f>
        <v>42</v>
      </c>
      <c r="I139" s="24" t="n">
        <f aca="false">H139*1000</f>
        <v>42000</v>
      </c>
      <c r="J139" s="31" t="n">
        <f aca="false">25000</f>
        <v>25000</v>
      </c>
      <c r="K139" s="31"/>
      <c r="L139" s="59" t="n">
        <f aca="false">I139-J139-K139</f>
        <v>17000</v>
      </c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59" t="n">
        <f aca="false">V139-W139-X139</f>
        <v>0</v>
      </c>
    </row>
    <row collapsed="false" customFormat="false" customHeight="false" hidden="false" ht="15" outlineLevel="0" r="140">
      <c r="A140" s="19" t="n">
        <f aca="false">VLOOKUP(B140,справочник!$B$2:$E$322,4,0)</f>
        <v>190</v>
      </c>
      <c r="B140" s="0" t="e">
        <f aca="false">CONCATENATE(C140;D140)</f>
        <v>#VALUE!</v>
      </c>
      <c r="C140" s="24" t="n">
        <v>198</v>
      </c>
      <c r="D140" s="93" t="s">
        <v>117</v>
      </c>
      <c r="E140" s="24" t="s">
        <v>503</v>
      </c>
      <c r="F140" s="30" t="n">
        <v>41407</v>
      </c>
      <c r="G140" s="30" t="n">
        <v>41426</v>
      </c>
      <c r="H140" s="31" t="n">
        <f aca="false">INT(($H$327-G140)/30)</f>
        <v>31</v>
      </c>
      <c r="I140" s="24" t="n">
        <f aca="false">H140*1000</f>
        <v>31000</v>
      </c>
      <c r="J140" s="31" t="n">
        <v>15000</v>
      </c>
      <c r="K140" s="31"/>
      <c r="L140" s="59" t="n">
        <f aca="false">I140-J140-K140</f>
        <v>16000</v>
      </c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59" t="n">
        <f aca="false">V140-W140-X140</f>
        <v>0</v>
      </c>
    </row>
    <row collapsed="false" customFormat="false" customHeight="false" hidden="false" ht="15" outlineLevel="0" r="141">
      <c r="A141" s="19" t="n">
        <f aca="false">VLOOKUP(B141,справочник!$B$2:$E$322,4,0)</f>
        <v>83</v>
      </c>
      <c r="B141" s="0" t="e">
        <f aca="false">CONCATENATE(C141;D141)</f>
        <v>#VALUE!</v>
      </c>
      <c r="C141" s="24" t="n">
        <v>88</v>
      </c>
      <c r="D141" s="29" t="s">
        <v>231</v>
      </c>
      <c r="E141" s="24" t="s">
        <v>504</v>
      </c>
      <c r="F141" s="30" t="n">
        <v>40675</v>
      </c>
      <c r="G141" s="30" t="n">
        <v>40695</v>
      </c>
      <c r="H141" s="31" t="n">
        <f aca="false">INT(($H$327-G141)/30)</f>
        <v>55</v>
      </c>
      <c r="I141" s="24" t="n">
        <f aca="false">H141*1000</f>
        <v>55000</v>
      </c>
      <c r="J141" s="31" t="n">
        <f aca="false">1000+49000</f>
        <v>50000</v>
      </c>
      <c r="K141" s="31"/>
      <c r="L141" s="59" t="n">
        <f aca="false">I141-J141-K141</f>
        <v>5000</v>
      </c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59" t="n">
        <f aca="false">V141-W141-X141</f>
        <v>0</v>
      </c>
    </row>
    <row collapsed="false" customFormat="false" customHeight="false" hidden="false" ht="15" outlineLevel="0" r="142">
      <c r="A142" s="19" t="n">
        <f aca="false">VLOOKUP(B142,справочник!$B$2:$E$322,4,0)</f>
        <v>133</v>
      </c>
      <c r="B142" s="0" t="e">
        <f aca="false">CONCATENATE(C142;D142)</f>
        <v>#VALUE!</v>
      </c>
      <c r="C142" s="24" t="n">
        <v>140</v>
      </c>
      <c r="D142" s="29" t="s">
        <v>296</v>
      </c>
      <c r="E142" s="24" t="s">
        <v>505</v>
      </c>
      <c r="F142" s="30" t="n">
        <v>41008</v>
      </c>
      <c r="G142" s="30" t="n">
        <v>41000</v>
      </c>
      <c r="H142" s="31" t="n">
        <f aca="false">INT(($H$327-G142)/30)</f>
        <v>45</v>
      </c>
      <c r="I142" s="24" t="n">
        <f aca="false">H142*1000</f>
        <v>45000</v>
      </c>
      <c r="J142" s="31" t="n">
        <v>41000</v>
      </c>
      <c r="K142" s="31" t="n">
        <v>4000</v>
      </c>
      <c r="L142" s="59" t="n">
        <f aca="false">I142-J142-K142</f>
        <v>0</v>
      </c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59" t="n">
        <f aca="false">V142-W142-X142</f>
        <v>0</v>
      </c>
    </row>
    <row collapsed="false" customFormat="false" customHeight="false" hidden="false" ht="15" outlineLevel="0" r="143">
      <c r="A143" s="19" t="n">
        <f aca="false">VLOOKUP(B143,справочник!$B$2:$E$322,4,0)</f>
        <v>202</v>
      </c>
      <c r="B143" s="0" t="e">
        <f aca="false">CONCATENATE(C143;D143)</f>
        <v>#VALUE!</v>
      </c>
      <c r="C143" s="24" t="n">
        <v>212</v>
      </c>
      <c r="D143" s="93" t="s">
        <v>77</v>
      </c>
      <c r="E143" s="24" t="s">
        <v>506</v>
      </c>
      <c r="F143" s="30" t="n">
        <v>41100</v>
      </c>
      <c r="G143" s="30" t="n">
        <v>41091</v>
      </c>
      <c r="H143" s="31" t="n">
        <f aca="false">INT(($H$327-G143)/30)</f>
        <v>42</v>
      </c>
      <c r="I143" s="24" t="n">
        <f aca="false">H143*1000</f>
        <v>42000</v>
      </c>
      <c r="J143" s="31" t="n">
        <v>18000</v>
      </c>
      <c r="K143" s="31"/>
      <c r="L143" s="59" t="n">
        <f aca="false">I143-J143-K143</f>
        <v>24000</v>
      </c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59" t="n">
        <f aca="false">V143-W143-X143</f>
        <v>0</v>
      </c>
    </row>
    <row collapsed="false" customFormat="false" customHeight="false" hidden="false" ht="15" outlineLevel="0" r="144">
      <c r="A144" s="19" t="n">
        <f aca="false">VLOOKUP(B144,справочник!$B$2:$E$322,4,0)</f>
        <v>192</v>
      </c>
      <c r="B144" s="0" t="e">
        <f aca="false">CONCATENATE(C144;D144)</f>
        <v>#VALUE!</v>
      </c>
      <c r="C144" s="24" t="n">
        <v>200</v>
      </c>
      <c r="D144" s="93" t="s">
        <v>109</v>
      </c>
      <c r="E144" s="24" t="s">
        <v>507</v>
      </c>
      <c r="F144" s="30" t="n">
        <v>41829</v>
      </c>
      <c r="G144" s="30" t="n">
        <v>41852</v>
      </c>
      <c r="H144" s="31" t="n">
        <f aca="false">INT(($H$327-G144)/30)</f>
        <v>17</v>
      </c>
      <c r="I144" s="24" t="n">
        <f aca="false">H144*1000</f>
        <v>17000</v>
      </c>
      <c r="J144" s="31"/>
      <c r="K144" s="31"/>
      <c r="L144" s="59" t="n">
        <f aca="false">I144-J144-K144</f>
        <v>17000</v>
      </c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59" t="n">
        <f aca="false">V144-W144-X144</f>
        <v>0</v>
      </c>
    </row>
    <row collapsed="false" customFormat="false" customHeight="false" hidden="false" ht="15" outlineLevel="0" r="145">
      <c r="A145" s="19" t="n">
        <f aca="false">VLOOKUP(B145,справочник!$B$2:$E$322,4,0)</f>
        <v>289</v>
      </c>
      <c r="B145" s="0" t="e">
        <f aca="false">CONCATENATE(C145;D145)</f>
        <v>#VALUE!</v>
      </c>
      <c r="C145" s="24" t="n">
        <v>301</v>
      </c>
      <c r="D145" s="93" t="s">
        <v>158</v>
      </c>
      <c r="E145" s="24" t="s">
        <v>508</v>
      </c>
      <c r="F145" s="30" t="n">
        <v>41976</v>
      </c>
      <c r="G145" s="30" t="n">
        <v>42005</v>
      </c>
      <c r="H145" s="31" t="n">
        <f aca="false">INT(($H$327-G145)/30)</f>
        <v>12</v>
      </c>
      <c r="I145" s="24" t="n">
        <f aca="false">H145*1000</f>
        <v>12000</v>
      </c>
      <c r="J145" s="31" t="n">
        <v>3000</v>
      </c>
      <c r="K145" s="31"/>
      <c r="L145" s="59" t="n">
        <f aca="false">I145-J145-K145</f>
        <v>9000</v>
      </c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59" t="n">
        <f aca="false">V145-W145-X145</f>
        <v>0</v>
      </c>
    </row>
    <row collapsed="false" customFormat="false" customHeight="false" hidden="false" ht="15" outlineLevel="0" r="146">
      <c r="A146" s="19" t="n">
        <f aca="false">VLOOKUP(B146,справочник!$B$2:$E$322,4,0)</f>
        <v>143</v>
      </c>
      <c r="B146" s="0" t="e">
        <f aca="false">CONCATENATE(C146;D146)</f>
        <v>#VALUE!</v>
      </c>
      <c r="C146" s="24" t="n">
        <v>151</v>
      </c>
      <c r="D146" s="93" t="s">
        <v>162</v>
      </c>
      <c r="E146" s="24" t="s">
        <v>509</v>
      </c>
      <c r="F146" s="30" t="n">
        <v>40841</v>
      </c>
      <c r="G146" s="30" t="n">
        <v>40848</v>
      </c>
      <c r="H146" s="31" t="n">
        <f aca="false">INT(($H$327-G146)/30)</f>
        <v>50</v>
      </c>
      <c r="I146" s="24" t="n">
        <f aca="false">H146*1000</f>
        <v>50000</v>
      </c>
      <c r="J146" s="31" t="n">
        <v>37000</v>
      </c>
      <c r="K146" s="31"/>
      <c r="L146" s="59" t="n">
        <f aca="false">I146-J146-K146</f>
        <v>13000</v>
      </c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59" t="n">
        <f aca="false">V146-W146-X146</f>
        <v>0</v>
      </c>
    </row>
    <row collapsed="false" customFormat="false" customHeight="false" hidden="false" ht="15" outlineLevel="0" r="147">
      <c r="A147" s="19" t="n">
        <f aca="false">VLOOKUP(B147,справочник!$B$2:$E$322,4,0)</f>
        <v>62</v>
      </c>
      <c r="B147" s="0" t="e">
        <f aca="false">CONCATENATE(C147;D147)</f>
        <v>#VALUE!</v>
      </c>
      <c r="C147" s="24" t="n">
        <v>64</v>
      </c>
      <c r="D147" s="29" t="s">
        <v>253</v>
      </c>
      <c r="E147" s="24" t="s">
        <v>510</v>
      </c>
      <c r="F147" s="30" t="n">
        <v>40816</v>
      </c>
      <c r="G147" s="30" t="n">
        <v>40817</v>
      </c>
      <c r="H147" s="31" t="n">
        <f aca="false">INT(($H$327-G147)/30)</f>
        <v>51</v>
      </c>
      <c r="I147" s="24" t="n">
        <f aca="false">H147*1000</f>
        <v>51000</v>
      </c>
      <c r="J147" s="31" t="n">
        <f aca="false">1000+47000</f>
        <v>48000</v>
      </c>
      <c r="K147" s="31" t="n">
        <v>3000</v>
      </c>
      <c r="L147" s="59" t="n">
        <f aca="false">I147-J147-K147</f>
        <v>0</v>
      </c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59" t="n">
        <f aca="false">V147-W147-X147</f>
        <v>0</v>
      </c>
    </row>
    <row collapsed="false" customFormat="false" customHeight="false" hidden="false" ht="15" outlineLevel="0" r="148">
      <c r="A148" s="19" t="n">
        <f aca="false">VLOOKUP(B148,справочник!$B$2:$E$322,4,0)</f>
        <v>225</v>
      </c>
      <c r="B148" s="0" t="e">
        <f aca="false">CONCATENATE(C148;D148)</f>
        <v>#VALUE!</v>
      </c>
      <c r="C148" s="24" t="n">
        <v>234</v>
      </c>
      <c r="D148" s="93" t="s">
        <v>114</v>
      </c>
      <c r="E148" s="24" t="s">
        <v>511</v>
      </c>
      <c r="F148" s="30" t="n">
        <v>41871</v>
      </c>
      <c r="G148" s="30" t="n">
        <v>41883</v>
      </c>
      <c r="H148" s="31" t="n">
        <f aca="false">INT(($H$327-G148)/30)</f>
        <v>16</v>
      </c>
      <c r="I148" s="24" t="n">
        <f aca="false">H148*1000</f>
        <v>16000</v>
      </c>
      <c r="J148" s="31"/>
      <c r="K148" s="31"/>
      <c r="L148" s="59" t="n">
        <f aca="false">I148-J148-K148</f>
        <v>16000</v>
      </c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59" t="n">
        <f aca="false">V148-W148-X148</f>
        <v>0</v>
      </c>
    </row>
    <row collapsed="false" customFormat="false" customHeight="false" hidden="false" ht="15" outlineLevel="0" r="149">
      <c r="A149" s="19" t="n">
        <f aca="false">VLOOKUP(B149,справочник!$B$2:$E$322,4,0)</f>
        <v>266</v>
      </c>
      <c r="B149" s="0" t="e">
        <f aca="false">CONCATENATE(C149;D149)</f>
        <v>#VALUE!</v>
      </c>
      <c r="C149" s="24" t="n">
        <v>279</v>
      </c>
      <c r="D149" s="93" t="s">
        <v>145</v>
      </c>
      <c r="E149" s="24" t="s">
        <v>512</v>
      </c>
      <c r="F149" s="30" t="n">
        <v>40799</v>
      </c>
      <c r="G149" s="30" t="n">
        <v>40787</v>
      </c>
      <c r="H149" s="31" t="n">
        <f aca="false">INT(($H$327-G149)/30)</f>
        <v>52</v>
      </c>
      <c r="I149" s="24" t="n">
        <f aca="false">H149*1000</f>
        <v>52000</v>
      </c>
      <c r="J149" s="31" t="n">
        <f aca="false">40000+1000</f>
        <v>41000</v>
      </c>
      <c r="K149" s="31"/>
      <c r="L149" s="59" t="n">
        <f aca="false">I149-J149-K149</f>
        <v>11000</v>
      </c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59" t="n">
        <f aca="false">V149-W149-X149</f>
        <v>0</v>
      </c>
    </row>
    <row collapsed="false" customFormat="false" customHeight="false" hidden="false" ht="15" outlineLevel="0" r="150">
      <c r="A150" s="19" t="n">
        <f aca="false">VLOOKUP(B150,справочник!$B$2:$E$322,4,0)</f>
        <v>157</v>
      </c>
      <c r="B150" s="0" t="e">
        <f aca="false">CONCATENATE(C150;D150)</f>
        <v>#VALUE!</v>
      </c>
      <c r="C150" s="24" t="n">
        <v>165</v>
      </c>
      <c r="D150" s="93" t="s">
        <v>80</v>
      </c>
      <c r="E150" s="24" t="s">
        <v>513</v>
      </c>
      <c r="F150" s="30" t="n">
        <v>40885</v>
      </c>
      <c r="G150" s="30" t="n">
        <v>40878</v>
      </c>
      <c r="H150" s="31" t="n">
        <f aca="false">INT(($H$327-G150)/30)</f>
        <v>49</v>
      </c>
      <c r="I150" s="24" t="n">
        <f aca="false">H150*1000</f>
        <v>49000</v>
      </c>
      <c r="J150" s="31" t="n">
        <f aca="false">12000+13000</f>
        <v>25000</v>
      </c>
      <c r="K150" s="31"/>
      <c r="L150" s="59" t="n">
        <f aca="false">I150-J150-K150</f>
        <v>24000</v>
      </c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59" t="n">
        <f aca="false">V150-W150-X150</f>
        <v>0</v>
      </c>
    </row>
    <row collapsed="false" customFormat="false" customHeight="false" hidden="false" ht="15" outlineLevel="0" r="151">
      <c r="A151" s="19" t="n">
        <f aca="false">VLOOKUP(B151,справочник!$B$2:$E$322,4,0)</f>
        <v>194</v>
      </c>
      <c r="B151" s="0" t="e">
        <f aca="false">CONCATENATE(C151;D151)</f>
        <v>#VALUE!</v>
      </c>
      <c r="C151" s="24" t="n">
        <v>202</v>
      </c>
      <c r="D151" s="29" t="s">
        <v>227</v>
      </c>
      <c r="E151" s="24" t="s">
        <v>514</v>
      </c>
      <c r="F151" s="30" t="n">
        <v>41898</v>
      </c>
      <c r="G151" s="30" t="n">
        <v>41913</v>
      </c>
      <c r="H151" s="31" t="n">
        <f aca="false">INT(($H$327-G151)/30)</f>
        <v>15</v>
      </c>
      <c r="I151" s="24" t="n">
        <f aca="false">H151*1000</f>
        <v>15000</v>
      </c>
      <c r="J151" s="31" t="n">
        <v>11000</v>
      </c>
      <c r="K151" s="31"/>
      <c r="L151" s="59" t="n">
        <f aca="false">I151-J151-K151</f>
        <v>4000</v>
      </c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59" t="n">
        <f aca="false">V151-W151-X151</f>
        <v>0</v>
      </c>
    </row>
    <row collapsed="false" customFormat="false" customHeight="false" hidden="false" ht="15" outlineLevel="0" r="152">
      <c r="A152" s="19" t="n">
        <f aca="false">VLOOKUP(B152,справочник!$B$2:$E$322,4,0)</f>
        <v>65</v>
      </c>
      <c r="B152" s="0" t="e">
        <f aca="false">CONCATENATE(C152;D152)</f>
        <v>#VALUE!</v>
      </c>
      <c r="C152" s="24" t="n">
        <v>67</v>
      </c>
      <c r="D152" s="93" t="s">
        <v>98</v>
      </c>
      <c r="E152" s="24" t="s">
        <v>515</v>
      </c>
      <c r="F152" s="30" t="n">
        <v>40872</v>
      </c>
      <c r="G152" s="30" t="n">
        <v>40848</v>
      </c>
      <c r="H152" s="31" t="n">
        <f aca="false">INT(($H$327-G152)/30)</f>
        <v>50</v>
      </c>
      <c r="I152" s="24" t="n">
        <f aca="false">H152*1000</f>
        <v>50000</v>
      </c>
      <c r="J152" s="31" t="n">
        <f aca="false">30000</f>
        <v>30000</v>
      </c>
      <c r="K152" s="31"/>
      <c r="L152" s="59" t="n">
        <f aca="false">I152-J152-K152</f>
        <v>20000</v>
      </c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59" t="n">
        <f aca="false">V152-W152-X152</f>
        <v>0</v>
      </c>
    </row>
    <row collapsed="false" customFormat="false" customHeight="false" hidden="false" ht="15" outlineLevel="0" r="153">
      <c r="A153" s="19" t="n">
        <f aca="false">VLOOKUP(B153,справочник!$B$2:$E$322,4,0)</f>
        <v>216</v>
      </c>
      <c r="B153" s="0" t="e">
        <f aca="false">CONCATENATE(C153;D153)</f>
        <v>#VALUE!</v>
      </c>
      <c r="C153" s="24" t="n">
        <v>225</v>
      </c>
      <c r="D153" s="42" t="s">
        <v>298</v>
      </c>
      <c r="E153" s="24" t="s">
        <v>516</v>
      </c>
      <c r="F153" s="30" t="n">
        <v>41773</v>
      </c>
      <c r="G153" s="30" t="n">
        <v>41760</v>
      </c>
      <c r="H153" s="31" t="n">
        <f aca="false">INT(($H$327-G153)/30)</f>
        <v>20</v>
      </c>
      <c r="I153" s="24" t="n">
        <f aca="false">H153*1000</f>
        <v>20000</v>
      </c>
      <c r="J153" s="31" t="n">
        <v>20000</v>
      </c>
      <c r="K153" s="31"/>
      <c r="L153" s="59" t="n">
        <f aca="false">I153-J153-K153</f>
        <v>0</v>
      </c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59" t="n">
        <f aca="false">V153-W153-X153</f>
        <v>0</v>
      </c>
    </row>
    <row collapsed="false" customFormat="false" customHeight="false" hidden="false" ht="15" outlineLevel="0" r="154">
      <c r="A154" s="19" t="n">
        <f aca="false">VLOOKUP(B154,справочник!$B$2:$E$322,4,0)</f>
        <v>216</v>
      </c>
      <c r="B154" s="0" t="e">
        <f aca="false">CONCATENATE(C154;D154)</f>
        <v>#VALUE!</v>
      </c>
      <c r="C154" s="24" t="n">
        <v>226</v>
      </c>
      <c r="D154" s="42" t="s">
        <v>298</v>
      </c>
      <c r="E154" s="24" t="s">
        <v>517</v>
      </c>
      <c r="F154" s="30" t="n">
        <v>41773</v>
      </c>
      <c r="G154" s="30" t="n">
        <v>41760</v>
      </c>
      <c r="H154" s="31" t="n">
        <f aca="false">INT(($H$327-G154)/30)</f>
        <v>20</v>
      </c>
      <c r="I154" s="24" t="n">
        <f aca="false">H154*1000</f>
        <v>20000</v>
      </c>
      <c r="J154" s="31" t="n">
        <v>20000</v>
      </c>
      <c r="K154" s="31"/>
      <c r="L154" s="59" t="n">
        <f aca="false">I154-J154-K154</f>
        <v>0</v>
      </c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59" t="n">
        <f aca="false">V154-W154-X154</f>
        <v>0</v>
      </c>
    </row>
    <row collapsed="false" customFormat="false" customHeight="false" hidden="false" ht="15" outlineLevel="0" r="155">
      <c r="A155" s="19" t="n">
        <f aca="false">VLOOKUP(B155,справочник!$B$2:$E$322,4,0)</f>
        <v>56</v>
      </c>
      <c r="B155" s="0" t="e">
        <f aca="false">CONCATENATE(C155;D155)</f>
        <v>#VALUE!</v>
      </c>
      <c r="C155" s="24" t="n">
        <v>58</v>
      </c>
      <c r="D155" s="93" t="s">
        <v>27</v>
      </c>
      <c r="E155" s="24" t="s">
        <v>518</v>
      </c>
      <c r="F155" s="30" t="n">
        <v>40715</v>
      </c>
      <c r="G155" s="30" t="n">
        <v>40725</v>
      </c>
      <c r="H155" s="31" t="n">
        <f aca="false">INT(($H$327-G155)/30)</f>
        <v>54</v>
      </c>
      <c r="I155" s="24" t="n">
        <f aca="false">H155*1000</f>
        <v>54000</v>
      </c>
      <c r="J155" s="31" t="n">
        <v>1000</v>
      </c>
      <c r="K155" s="31"/>
      <c r="L155" s="59" t="n">
        <f aca="false">I155-J155-K155</f>
        <v>53000</v>
      </c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59" t="n">
        <f aca="false">V155-W155-X155</f>
        <v>0</v>
      </c>
    </row>
    <row collapsed="false" customFormat="false" customHeight="false" hidden="false" ht="15" outlineLevel="0" r="156">
      <c r="A156" s="19" t="n">
        <f aca="false">VLOOKUP(B156,справочник!$B$2:$E$322,4,0)</f>
        <v>150</v>
      </c>
      <c r="B156" s="0" t="e">
        <f aca="false">CONCATENATE(C156;D156)</f>
        <v>#VALUE!</v>
      </c>
      <c r="C156" s="24" t="n">
        <v>158</v>
      </c>
      <c r="D156" s="93" t="s">
        <v>59</v>
      </c>
      <c r="E156" s="24" t="s">
        <v>519</v>
      </c>
      <c r="F156" s="30" t="n">
        <v>40770</v>
      </c>
      <c r="G156" s="30" t="n">
        <v>40787</v>
      </c>
      <c r="H156" s="31" t="n">
        <f aca="false">INT(($H$327-G156)/30)</f>
        <v>52</v>
      </c>
      <c r="I156" s="24" t="n">
        <f aca="false">H156*1000</f>
        <v>52000</v>
      </c>
      <c r="J156" s="31" t="n">
        <f aca="false">21000+1000</f>
        <v>22000</v>
      </c>
      <c r="K156" s="31"/>
      <c r="L156" s="59" t="n">
        <f aca="false">I156-J156-K156</f>
        <v>30000</v>
      </c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59" t="n">
        <f aca="false">V156-W156-X156</f>
        <v>0</v>
      </c>
    </row>
    <row collapsed="false" customFormat="false" customHeight="false" hidden="false" ht="15" outlineLevel="0" r="157">
      <c r="A157" s="19" t="n">
        <f aca="false">VLOOKUP(B157,справочник!$B$2:$E$322,4,0)</f>
        <v>243</v>
      </c>
      <c r="B157" s="0" t="e">
        <f aca="false">CONCATENATE(C157;D157)</f>
        <v>#VALUE!</v>
      </c>
      <c r="C157" s="24" t="n">
        <v>254</v>
      </c>
      <c r="D157" s="29" t="s">
        <v>70</v>
      </c>
      <c r="E157" s="24" t="s">
        <v>520</v>
      </c>
      <c r="F157" s="30" t="n">
        <v>40791</v>
      </c>
      <c r="G157" s="30" t="n">
        <v>40787</v>
      </c>
      <c r="H157" s="31" t="n">
        <f aca="false">INT(($H$327-G157)/30)</f>
        <v>52</v>
      </c>
      <c r="I157" s="24" t="n">
        <f aca="false">H157*1000</f>
        <v>52000</v>
      </c>
      <c r="J157" s="31" t="n">
        <f aca="false">1000</f>
        <v>1000</v>
      </c>
      <c r="K157" s="31" t="n">
        <v>45000</v>
      </c>
      <c r="L157" s="59" t="n">
        <f aca="false">I157-J157-K157</f>
        <v>6000</v>
      </c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59" t="n">
        <f aca="false">V157-W157-X157</f>
        <v>0</v>
      </c>
    </row>
    <row collapsed="false" customFormat="false" customHeight="false" hidden="false" ht="15" outlineLevel="0" r="158">
      <c r="A158" s="19" t="n">
        <f aca="false">VLOOKUP(B158,справочник!$B$2:$E$322,4,0)</f>
        <v>220</v>
      </c>
      <c r="B158" s="0" t="e">
        <f aca="false">CONCATENATE(C158;D158)</f>
        <v>#VALUE!</v>
      </c>
      <c r="C158" s="24" t="n">
        <v>229</v>
      </c>
      <c r="D158" s="93" t="s">
        <v>108</v>
      </c>
      <c r="E158" s="24" t="s">
        <v>521</v>
      </c>
      <c r="F158" s="30" t="n">
        <v>41800</v>
      </c>
      <c r="G158" s="30" t="n">
        <v>41821</v>
      </c>
      <c r="H158" s="31" t="n">
        <f aca="false">INT(($H$327-G158)/30)</f>
        <v>18</v>
      </c>
      <c r="I158" s="24" t="n">
        <f aca="false">H158*1000</f>
        <v>18000</v>
      </c>
      <c r="J158" s="31" t="n">
        <f aca="false">1000</f>
        <v>1000</v>
      </c>
      <c r="K158" s="31"/>
      <c r="L158" s="59" t="n">
        <f aca="false">I158-J158-K158</f>
        <v>17000</v>
      </c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59" t="n">
        <f aca="false">V158-W158-X158</f>
        <v>0</v>
      </c>
    </row>
    <row collapsed="false" customFormat="false" customHeight="false" hidden="false" ht="15" outlineLevel="0" r="159">
      <c r="A159" s="19" t="n">
        <f aca="false">VLOOKUP(B159,справочник!$B$2:$E$322,4,0)</f>
        <v>3</v>
      </c>
      <c r="B159" s="0" t="e">
        <f aca="false">CONCATENATE(C159;D159)</f>
        <v>#VALUE!</v>
      </c>
      <c r="C159" s="24" t="n">
        <v>3</v>
      </c>
      <c r="D159" s="93" t="s">
        <v>90</v>
      </c>
      <c r="E159" s="24" t="s">
        <v>522</v>
      </c>
      <c r="F159" s="30" t="n">
        <v>41954</v>
      </c>
      <c r="G159" s="30" t="n">
        <v>41609</v>
      </c>
      <c r="H159" s="31" t="n">
        <f aca="false">INT(($H$327-G159)/30)</f>
        <v>25</v>
      </c>
      <c r="I159" s="24" t="n">
        <f aca="false">H159*1000</f>
        <v>25000</v>
      </c>
      <c r="J159" s="31" t="n">
        <f aca="false">4000</f>
        <v>4000</v>
      </c>
      <c r="K159" s="31"/>
      <c r="L159" s="59" t="n">
        <f aca="false">I159-J159-K159</f>
        <v>21000</v>
      </c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59" t="n">
        <f aca="false">V159-W159-X159</f>
        <v>0</v>
      </c>
    </row>
    <row collapsed="false" customFormat="false" customHeight="false" hidden="false" ht="15" outlineLevel="0" r="160">
      <c r="A160" s="19" t="n">
        <f aca="false">VLOOKUP(B160,справочник!$B$2:$E$322,4,0)</f>
        <v>158</v>
      </c>
      <c r="B160" s="0" t="e">
        <f aca="false">CONCATENATE(C160;D160)</f>
        <v>#VALUE!</v>
      </c>
      <c r="C160" s="24" t="n">
        <v>166</v>
      </c>
      <c r="D160" s="93" t="s">
        <v>84</v>
      </c>
      <c r="E160" s="24" t="s">
        <v>523</v>
      </c>
      <c r="F160" s="30" t="n">
        <v>41660</v>
      </c>
      <c r="G160" s="30" t="n">
        <v>41671</v>
      </c>
      <c r="H160" s="31" t="n">
        <f aca="false">INT(($H$327-G160)/30)</f>
        <v>23</v>
      </c>
      <c r="I160" s="24" t="n">
        <f aca="false">H160*1000</f>
        <v>23000</v>
      </c>
      <c r="J160" s="31" t="n">
        <f aca="false">1000</f>
        <v>1000</v>
      </c>
      <c r="K160" s="31"/>
      <c r="L160" s="59" t="n">
        <f aca="false">I160-J160-K160</f>
        <v>22000</v>
      </c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59" t="n">
        <f aca="false">V160-W160-X160</f>
        <v>0</v>
      </c>
    </row>
    <row collapsed="false" customFormat="false" customHeight="false" hidden="false" ht="15" outlineLevel="0" r="161">
      <c r="A161" s="19" t="n">
        <f aca="false">VLOOKUP(B161,справочник!$B$2:$E$322,4,0)</f>
        <v>139</v>
      </c>
      <c r="B161" s="0" t="e">
        <f aca="false">CONCATENATE(C161;D161)</f>
        <v>#VALUE!</v>
      </c>
      <c r="C161" s="36" t="n">
        <v>149</v>
      </c>
      <c r="D161" s="93" t="s">
        <v>51</v>
      </c>
      <c r="E161" s="24" t="s">
        <v>524</v>
      </c>
      <c r="F161" s="34" t="n">
        <v>40715</v>
      </c>
      <c r="G161" s="34" t="n">
        <v>40725</v>
      </c>
      <c r="H161" s="35" t="n">
        <f aca="false">INT(($H$327-G161)/30)</f>
        <v>54</v>
      </c>
      <c r="I161" s="36" t="n">
        <f aca="false">H161*1000</f>
        <v>54000</v>
      </c>
      <c r="J161" s="35" t="n">
        <v>54000</v>
      </c>
      <c r="K161" s="35"/>
      <c r="L161" s="66" t="n">
        <f aca="false">I161-J161-K161</f>
        <v>0</v>
      </c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6" t="n">
        <f aca="false">V161-W161-X161</f>
        <v>0</v>
      </c>
    </row>
    <row collapsed="false" customFormat="false" customHeight="false" hidden="false" ht="15" outlineLevel="0" r="162">
      <c r="A162" s="19" t="n">
        <f aca="false">VLOOKUP(B162,справочник!$B$2:$E$322,4,0)</f>
        <v>139</v>
      </c>
      <c r="B162" s="0" t="e">
        <f aca="false">CONCATENATE(C162;D162)</f>
        <v>#VALUE!</v>
      </c>
      <c r="C162" s="36" t="n">
        <v>147</v>
      </c>
      <c r="D162" s="93" t="s">
        <v>51</v>
      </c>
      <c r="E162" s="24" t="s">
        <v>525</v>
      </c>
      <c r="F162" s="34" t="n">
        <v>40715</v>
      </c>
      <c r="G162" s="34" t="n">
        <v>40725</v>
      </c>
      <c r="H162" s="35" t="n">
        <f aca="false">INT(($H$327-G162)/30)</f>
        <v>54</v>
      </c>
      <c r="I162" s="36" t="n">
        <f aca="false">H162*1000</f>
        <v>54000</v>
      </c>
      <c r="J162" s="35" t="n">
        <v>54000</v>
      </c>
      <c r="K162" s="35"/>
      <c r="L162" s="66" t="n">
        <f aca="false">I162-J162-K162</f>
        <v>0</v>
      </c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6" t="n">
        <f aca="false">V162-W162-X162</f>
        <v>0</v>
      </c>
    </row>
    <row collapsed="false" customFormat="false" customHeight="false" hidden="false" ht="15" outlineLevel="0" r="163">
      <c r="A163" s="19" t="n">
        <f aca="false">VLOOKUP(B163,справочник!$B$2:$E$322,4,0)</f>
        <v>139</v>
      </c>
      <c r="B163" s="0" t="e">
        <f aca="false">CONCATENATE(C163;D163)</f>
        <v>#VALUE!</v>
      </c>
      <c r="C163" s="36" t="n">
        <v>148</v>
      </c>
      <c r="D163" s="93" t="s">
        <v>51</v>
      </c>
      <c r="E163" s="24" t="s">
        <v>526</v>
      </c>
      <c r="F163" s="34" t="n">
        <v>40715</v>
      </c>
      <c r="G163" s="34" t="n">
        <v>40725</v>
      </c>
      <c r="H163" s="35" t="n">
        <f aca="false">INT(($H$327-G163)/30)</f>
        <v>54</v>
      </c>
      <c r="I163" s="36" t="n">
        <f aca="false">H163*1000</f>
        <v>54000</v>
      </c>
      <c r="J163" s="35" t="n">
        <f aca="false">11000+4000</f>
        <v>15000</v>
      </c>
      <c r="K163" s="35"/>
      <c r="L163" s="66" t="n">
        <f aca="false">I163-J163-K163</f>
        <v>39000</v>
      </c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6" t="n">
        <f aca="false">V163-W163-X163</f>
        <v>0</v>
      </c>
    </row>
    <row collapsed="false" customFormat="false" customHeight="false" hidden="false" ht="15" outlineLevel="0" r="164">
      <c r="A164" s="19" t="n">
        <f aca="false">VLOOKUP(B164,справочник!$B$2:$E$322,4,0)</f>
        <v>261</v>
      </c>
      <c r="B164" s="0" t="e">
        <f aca="false">CONCATENATE(C164;D164)</f>
        <v>#VALUE!</v>
      </c>
      <c r="C164" s="36" t="n">
        <v>274</v>
      </c>
      <c r="D164" s="93" t="s">
        <v>72</v>
      </c>
      <c r="E164" s="24" t="s">
        <v>527</v>
      </c>
      <c r="F164" s="34" t="n">
        <v>41373</v>
      </c>
      <c r="G164" s="34" t="n">
        <v>41395</v>
      </c>
      <c r="H164" s="35" t="n">
        <f aca="false">INT(($H$327-G164)/30)</f>
        <v>32</v>
      </c>
      <c r="I164" s="36" t="n">
        <f aca="false">H164*1000</f>
        <v>32000</v>
      </c>
      <c r="J164" s="35" t="n">
        <v>19000</v>
      </c>
      <c r="K164" s="35"/>
      <c r="L164" s="66" t="n">
        <f aca="false">I164-J164-K164</f>
        <v>13000</v>
      </c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6" t="n">
        <f aca="false">V164-W164-X164</f>
        <v>0</v>
      </c>
    </row>
    <row collapsed="false" customFormat="false" customHeight="false" hidden="false" ht="15" outlineLevel="0" r="165">
      <c r="A165" s="19" t="n">
        <f aca="false">VLOOKUP(B165,справочник!$B$2:$E$322,4,0)</f>
        <v>261</v>
      </c>
      <c r="B165" s="0" t="e">
        <f aca="false">CONCATENATE(C165;D165)</f>
        <v>#VALUE!</v>
      </c>
      <c r="C165" s="36" t="n">
        <v>275</v>
      </c>
      <c r="D165" s="93" t="s">
        <v>72</v>
      </c>
      <c r="E165" s="24"/>
      <c r="F165" s="34" t="n">
        <v>41016</v>
      </c>
      <c r="G165" s="34" t="n">
        <v>41000</v>
      </c>
      <c r="H165" s="35" t="n">
        <f aca="false">INT(($H$327-G165)/30)</f>
        <v>45</v>
      </c>
      <c r="I165" s="36" t="n">
        <f aca="false">H165*1000</f>
        <v>45000</v>
      </c>
      <c r="J165" s="35" t="n">
        <f aca="false">9000+19000</f>
        <v>28000</v>
      </c>
      <c r="K165" s="35"/>
      <c r="L165" s="66" t="n">
        <f aca="false">I165-J165-K165</f>
        <v>17000</v>
      </c>
      <c r="M165" s="60"/>
      <c r="N165" s="60"/>
      <c r="O165" s="60"/>
      <c r="P165" s="60"/>
      <c r="Q165" s="60"/>
      <c r="R165" s="60"/>
      <c r="S165" s="60"/>
      <c r="T165" s="60"/>
      <c r="U165" s="60"/>
      <c r="V165" s="60"/>
      <c r="W165" s="60"/>
      <c r="X165" s="60"/>
      <c r="Y165" s="66" t="n">
        <f aca="false">V165-W165-X165</f>
        <v>0</v>
      </c>
    </row>
    <row collapsed="false" customFormat="false" customHeight="false" hidden="false" ht="15" outlineLevel="0" r="166">
      <c r="A166" s="19" t="n">
        <f aca="false">VLOOKUP(B166,справочник!$B$2:$E$322,4,0)</f>
        <v>288</v>
      </c>
      <c r="B166" s="0" t="e">
        <f aca="false">CONCATENATE(C166;D166)</f>
        <v>#VALUE!</v>
      </c>
      <c r="C166" s="24" t="n">
        <v>300</v>
      </c>
      <c r="D166" s="93" t="s">
        <v>66</v>
      </c>
      <c r="E166" s="24" t="s">
        <v>528</v>
      </c>
      <c r="F166" s="30" t="n">
        <v>41513</v>
      </c>
      <c r="G166" s="30" t="n">
        <v>41518</v>
      </c>
      <c r="H166" s="31" t="n">
        <f aca="false">INT(($H$327-G166)/30)</f>
        <v>28</v>
      </c>
      <c r="I166" s="24" t="n">
        <f aca="false">H166*1000</f>
        <v>28000</v>
      </c>
      <c r="J166" s="31"/>
      <c r="K166" s="31"/>
      <c r="L166" s="59" t="n">
        <f aca="false">I166-J166-K166</f>
        <v>28000</v>
      </c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59" t="n">
        <f aca="false">V166-W166-X166</f>
        <v>0</v>
      </c>
    </row>
    <row collapsed="false" customFormat="false" customHeight="false" hidden="false" ht="15" outlineLevel="0" r="167">
      <c r="A167" s="19" t="n">
        <f aca="false">VLOOKUP(B167,справочник!$B$2:$E$322,4,0)</f>
        <v>166</v>
      </c>
      <c r="B167" s="0" t="e">
        <f aca="false">CONCATENATE(C167;D167)</f>
        <v>#VALUE!</v>
      </c>
      <c r="C167" s="24" t="n">
        <v>174</v>
      </c>
      <c r="D167" s="93" t="s">
        <v>138</v>
      </c>
      <c r="E167" s="24" t="s">
        <v>529</v>
      </c>
      <c r="F167" s="30" t="n">
        <v>41829</v>
      </c>
      <c r="G167" s="30" t="n">
        <v>41852</v>
      </c>
      <c r="H167" s="31" t="n">
        <f aca="false">INT(($H$327-G167)/30)</f>
        <v>17</v>
      </c>
      <c r="I167" s="24" t="n">
        <f aca="false">H167*1000</f>
        <v>17000</v>
      </c>
      <c r="J167" s="31" t="n">
        <v>5000</v>
      </c>
      <c r="K167" s="31"/>
      <c r="L167" s="59" t="n">
        <f aca="false">I167-J167-K167</f>
        <v>12000</v>
      </c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59" t="n">
        <f aca="false">V167-W167-X167</f>
        <v>0</v>
      </c>
    </row>
    <row collapsed="false" customFormat="false" customHeight="false" hidden="false" ht="15" outlineLevel="0" r="168">
      <c r="A168" s="19" t="n">
        <f aca="false">VLOOKUP(B168,справочник!$B$2:$E$322,4,0)</f>
        <v>118</v>
      </c>
      <c r="B168" s="0" t="e">
        <f aca="false">CONCATENATE(C168;D168)</f>
        <v>#VALUE!</v>
      </c>
      <c r="C168" s="24" t="n">
        <v>123</v>
      </c>
      <c r="D168" s="93" t="s">
        <v>167</v>
      </c>
      <c r="E168" s="24" t="s">
        <v>530</v>
      </c>
      <c r="F168" s="30" t="n">
        <v>41435</v>
      </c>
      <c r="G168" s="30" t="n">
        <v>41456</v>
      </c>
      <c r="H168" s="31" t="n">
        <f aca="false">INT(($H$327-G168)/30)</f>
        <v>30</v>
      </c>
      <c r="I168" s="24" t="n">
        <f aca="false">H168*1000</f>
        <v>30000</v>
      </c>
      <c r="J168" s="31" t="n">
        <v>23000</v>
      </c>
      <c r="K168" s="31"/>
      <c r="L168" s="59" t="n">
        <f aca="false">I168-J168-K168</f>
        <v>7000</v>
      </c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59" t="n">
        <f aca="false">V168-W168-X168</f>
        <v>0</v>
      </c>
    </row>
    <row collapsed="false" customFormat="false" customHeight="false" hidden="false" ht="15" outlineLevel="0" r="169">
      <c r="A169" s="19" t="n">
        <f aca="false">VLOOKUP(B169,справочник!$B$2:$E$322,4,0)</f>
        <v>199</v>
      </c>
      <c r="B169" s="0" t="e">
        <f aca="false">CONCATENATE(C169;D169)</f>
        <v>#VALUE!</v>
      </c>
      <c r="C169" s="94" t="n">
        <v>207</v>
      </c>
      <c r="D169" s="93" t="s">
        <v>25</v>
      </c>
      <c r="E169" s="24" t="s">
        <v>531</v>
      </c>
      <c r="F169" s="34" t="n">
        <v>41036</v>
      </c>
      <c r="G169" s="34" t="n">
        <v>41030</v>
      </c>
      <c r="H169" s="35" t="n">
        <f aca="false">INT(($H$327-G169)/30)</f>
        <v>44</v>
      </c>
      <c r="I169" s="36" t="n">
        <f aca="false">H169*1000</f>
        <v>44000</v>
      </c>
      <c r="J169" s="35" t="n">
        <v>1000</v>
      </c>
      <c r="K169" s="35"/>
      <c r="L169" s="66" t="n">
        <f aca="false">I169-J169-K169</f>
        <v>43000</v>
      </c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6" t="n">
        <f aca="false">V169-W169-X169</f>
        <v>0</v>
      </c>
    </row>
    <row collapsed="false" customFormat="false" customHeight="false" hidden="false" ht="15" outlineLevel="0" r="170">
      <c r="A170" s="19" t="n">
        <f aca="false">VLOOKUP(B170,справочник!$B$2:$E$322,4,0)</f>
        <v>199</v>
      </c>
      <c r="B170" s="0" t="e">
        <f aca="false">CONCATENATE(C170;D170)</f>
        <v>#VALUE!</v>
      </c>
      <c r="C170" s="94" t="n">
        <v>208</v>
      </c>
      <c r="D170" s="93" t="s">
        <v>25</v>
      </c>
      <c r="E170" s="24" t="s">
        <v>505</v>
      </c>
      <c r="F170" s="34" t="n">
        <v>41036</v>
      </c>
      <c r="G170" s="34" t="n">
        <v>41030</v>
      </c>
      <c r="H170" s="35" t="n">
        <f aca="false">INT(($H$327-G170)/30)</f>
        <v>44</v>
      </c>
      <c r="I170" s="36" t="n">
        <f aca="false">H170*1000</f>
        <v>44000</v>
      </c>
      <c r="J170" s="35" t="n">
        <v>1000</v>
      </c>
      <c r="K170" s="35"/>
      <c r="L170" s="66" t="n">
        <f aca="false">I170-J170-K170</f>
        <v>43000</v>
      </c>
      <c r="M170" s="60"/>
      <c r="N170" s="60"/>
      <c r="O170" s="60"/>
      <c r="P170" s="60"/>
      <c r="Q170" s="60"/>
      <c r="R170" s="60"/>
      <c r="S170" s="60"/>
      <c r="T170" s="60"/>
      <c r="U170" s="60"/>
      <c r="V170" s="60"/>
      <c r="W170" s="60"/>
      <c r="X170" s="60"/>
      <c r="Y170" s="66" t="n">
        <f aca="false">V170-W170-X170</f>
        <v>0</v>
      </c>
    </row>
    <row collapsed="false" customFormat="false" customHeight="false" hidden="false" ht="15" outlineLevel="0" r="171">
      <c r="A171" s="19" t="n">
        <f aca="false">VLOOKUP(B171,справочник!$B$2:$E$322,4,0)</f>
        <v>164</v>
      </c>
      <c r="B171" s="0" t="e">
        <f aca="false">CONCATENATE(C171;D171)</f>
        <v>#VALUE!</v>
      </c>
      <c r="C171" s="24" t="n">
        <v>172</v>
      </c>
      <c r="D171" s="93" t="s">
        <v>73</v>
      </c>
      <c r="E171" s="24" t="s">
        <v>532</v>
      </c>
      <c r="F171" s="30" t="n">
        <v>41576</v>
      </c>
      <c r="G171" s="30" t="n">
        <v>41579</v>
      </c>
      <c r="H171" s="31" t="n">
        <f aca="false">INT(($H$327-G171)/30)</f>
        <v>26</v>
      </c>
      <c r="I171" s="24" t="n">
        <f aca="false">H171*1000</f>
        <v>26000</v>
      </c>
      <c r="J171" s="31" t="n">
        <v>1000</v>
      </c>
      <c r="K171" s="31"/>
      <c r="L171" s="59" t="n">
        <f aca="false">I171-J171-K171</f>
        <v>25000</v>
      </c>
      <c r="M171" s="60"/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59" t="n">
        <f aca="false">V171-W171-X171</f>
        <v>0</v>
      </c>
    </row>
    <row collapsed="false" customFormat="false" customHeight="false" hidden="false" ht="15" outlineLevel="0" r="172">
      <c r="A172" s="19" t="n">
        <f aca="false">VLOOKUP(B172,справочник!$B$2:$E$322,4,0)</f>
        <v>34</v>
      </c>
      <c r="B172" s="0" t="e">
        <f aca="false">CONCATENATE(C172;D172)</f>
        <v>#VALUE!</v>
      </c>
      <c r="C172" s="24" t="n">
        <v>34</v>
      </c>
      <c r="D172" s="29" t="s">
        <v>249</v>
      </c>
      <c r="E172" s="24" t="s">
        <v>533</v>
      </c>
      <c r="F172" s="30" t="n">
        <v>40781</v>
      </c>
      <c r="G172" s="30" t="n">
        <v>40787</v>
      </c>
      <c r="H172" s="31" t="n">
        <f aca="false">INT(($H$327-G172)/30)</f>
        <v>52</v>
      </c>
      <c r="I172" s="24" t="n">
        <f aca="false">H172*1000</f>
        <v>52000</v>
      </c>
      <c r="J172" s="31" t="n">
        <v>55000</v>
      </c>
      <c r="K172" s="31"/>
      <c r="L172" s="59" t="n">
        <f aca="false">I172-J172-K172</f>
        <v>-3000</v>
      </c>
      <c r="M172" s="60"/>
      <c r="N172" s="60"/>
      <c r="O172" s="60"/>
      <c r="P172" s="60"/>
      <c r="Q172" s="60"/>
      <c r="R172" s="60"/>
      <c r="S172" s="60"/>
      <c r="T172" s="60"/>
      <c r="U172" s="60"/>
      <c r="V172" s="60"/>
      <c r="W172" s="60"/>
      <c r="X172" s="60"/>
      <c r="Y172" s="59" t="n">
        <f aca="false">V172-W172-X172</f>
        <v>0</v>
      </c>
    </row>
    <row collapsed="false" customFormat="false" customHeight="false" hidden="false" ht="15" outlineLevel="0" r="173">
      <c r="A173" s="19" t="n">
        <f aca="false">VLOOKUP(B173,справочник!$B$2:$E$322,4,0)</f>
        <v>13</v>
      </c>
      <c r="B173" s="0" t="e">
        <f aca="false">CONCATENATE(C173;D173)</f>
        <v>#VALUE!</v>
      </c>
      <c r="C173" s="24" t="n">
        <v>13</v>
      </c>
      <c r="D173" s="93" t="s">
        <v>116</v>
      </c>
      <c r="E173" s="24" t="s">
        <v>534</v>
      </c>
      <c r="F173" s="30" t="n">
        <v>41464</v>
      </c>
      <c r="G173" s="30" t="n">
        <v>41487</v>
      </c>
      <c r="H173" s="31" t="n">
        <f aca="false">INT(($H$327-G173)/30)</f>
        <v>29</v>
      </c>
      <c r="I173" s="24" t="n">
        <f aca="false">H173*1000</f>
        <v>29000</v>
      </c>
      <c r="J173" s="31" t="n">
        <v>13000</v>
      </c>
      <c r="K173" s="31"/>
      <c r="L173" s="59" t="n">
        <f aca="false">I173-J173-K173</f>
        <v>16000</v>
      </c>
      <c r="M173" s="60"/>
      <c r="N173" s="60"/>
      <c r="O173" s="60"/>
      <c r="P173" s="60"/>
      <c r="Q173" s="60"/>
      <c r="R173" s="60"/>
      <c r="S173" s="60"/>
      <c r="T173" s="60"/>
      <c r="U173" s="60"/>
      <c r="V173" s="60"/>
      <c r="W173" s="60"/>
      <c r="X173" s="60"/>
      <c r="Y173" s="59" t="n">
        <f aca="false">V173-W173-X173</f>
        <v>0</v>
      </c>
    </row>
    <row collapsed="false" customFormat="false" customHeight="false" hidden="false" ht="15" outlineLevel="0" r="174">
      <c r="A174" s="19" t="n">
        <f aca="false">VLOOKUP(B174,справочник!$B$2:$E$322,4,0)</f>
        <v>273</v>
      </c>
      <c r="B174" s="0" t="e">
        <f aca="false">CONCATENATE(C174;D174)</f>
        <v>#VALUE!</v>
      </c>
      <c r="C174" s="24" t="n">
        <v>286</v>
      </c>
      <c r="D174" s="96" t="s">
        <v>257</v>
      </c>
      <c r="E174" s="24" t="s">
        <v>535</v>
      </c>
      <c r="F174" s="30" t="n">
        <v>41992</v>
      </c>
      <c r="G174" s="30" t="n">
        <v>42005</v>
      </c>
      <c r="H174" s="31" t="n">
        <f aca="false">INT(($H$327-G174)/30)</f>
        <v>12</v>
      </c>
      <c r="I174" s="24" t="n">
        <f aca="false">H174*1000</f>
        <v>12000</v>
      </c>
      <c r="J174" s="31" t="n">
        <v>8000</v>
      </c>
      <c r="K174" s="31"/>
      <c r="L174" s="59" t="n">
        <f aca="false">I174-J174-K174</f>
        <v>4000</v>
      </c>
      <c r="M174" s="60"/>
      <c r="N174" s="60"/>
      <c r="O174" s="60"/>
      <c r="P174" s="60"/>
      <c r="Q174" s="60"/>
      <c r="R174" s="60"/>
      <c r="S174" s="60"/>
      <c r="T174" s="60"/>
      <c r="U174" s="60"/>
      <c r="V174" s="60"/>
      <c r="W174" s="60"/>
      <c r="X174" s="60"/>
      <c r="Y174" s="59" t="n">
        <f aca="false">V174-W174-X174</f>
        <v>0</v>
      </c>
    </row>
    <row collapsed="false" customFormat="false" customHeight="false" hidden="false" ht="15" outlineLevel="0" r="175">
      <c r="A175" s="19" t="n">
        <f aca="false">VLOOKUP(B175,справочник!$B$2:$E$322,4,0)</f>
        <v>87</v>
      </c>
      <c r="B175" s="0" t="e">
        <f aca="false">CONCATENATE(C175;D175)</f>
        <v>#VALUE!</v>
      </c>
      <c r="C175" s="24" t="n">
        <v>92</v>
      </c>
      <c r="D175" s="93" t="s">
        <v>188</v>
      </c>
      <c r="E175" s="24" t="s">
        <v>536</v>
      </c>
      <c r="F175" s="30" t="n">
        <v>41144</v>
      </c>
      <c r="G175" s="30" t="n">
        <v>41153</v>
      </c>
      <c r="H175" s="31" t="n">
        <f aca="false">INT(($H$327-G175)/30)</f>
        <v>40</v>
      </c>
      <c r="I175" s="24" t="n">
        <f aca="false">H175*1000</f>
        <v>40000</v>
      </c>
      <c r="J175" s="31" t="n">
        <v>37000</v>
      </c>
      <c r="K175" s="31"/>
      <c r="L175" s="59" t="n">
        <f aca="false">I175-J175-K175</f>
        <v>3000</v>
      </c>
      <c r="M175" s="60"/>
      <c r="N175" s="60"/>
      <c r="O175" s="60"/>
      <c r="P175" s="60"/>
      <c r="Q175" s="60"/>
      <c r="R175" s="60"/>
      <c r="S175" s="60"/>
      <c r="T175" s="60"/>
      <c r="U175" s="60"/>
      <c r="V175" s="60"/>
      <c r="W175" s="60"/>
      <c r="X175" s="60"/>
      <c r="Y175" s="59" t="n">
        <f aca="false">V175-W175-X175</f>
        <v>0</v>
      </c>
    </row>
    <row collapsed="false" customFormat="false" customHeight="false" hidden="false" ht="15" outlineLevel="0" r="176">
      <c r="A176" s="19" t="n">
        <f aca="false">VLOOKUP(B176,справочник!$B$2:$E$322,4,0)</f>
        <v>154</v>
      </c>
      <c r="B176" s="0" t="e">
        <f aca="false">CONCATENATE(C176;D176)</f>
        <v>#VALUE!</v>
      </c>
      <c r="C176" s="24" t="n">
        <v>162</v>
      </c>
      <c r="D176" s="29" t="s">
        <v>224</v>
      </c>
      <c r="E176" s="24" t="s">
        <v>519</v>
      </c>
      <c r="F176" s="30" t="n">
        <v>40720</v>
      </c>
      <c r="G176" s="30" t="n">
        <v>40725</v>
      </c>
      <c r="H176" s="31" t="n">
        <f aca="false">INT(($H$327-G176)/30)</f>
        <v>54</v>
      </c>
      <c r="I176" s="24" t="n">
        <f aca="false">H176*1000</f>
        <v>54000</v>
      </c>
      <c r="J176" s="31" t="n">
        <v>50000</v>
      </c>
      <c r="K176" s="31"/>
      <c r="L176" s="59" t="n">
        <f aca="false">I176-J176-K176</f>
        <v>4000</v>
      </c>
      <c r="M176" s="60"/>
      <c r="N176" s="60"/>
      <c r="O176" s="60"/>
      <c r="P176" s="60"/>
      <c r="Q176" s="60"/>
      <c r="R176" s="60"/>
      <c r="S176" s="60"/>
      <c r="T176" s="60"/>
      <c r="U176" s="60"/>
      <c r="V176" s="60"/>
      <c r="W176" s="60"/>
      <c r="X176" s="60"/>
      <c r="Y176" s="59" t="n">
        <f aca="false">V176-W176-X176</f>
        <v>0</v>
      </c>
    </row>
    <row collapsed="false" customFormat="false" customHeight="false" hidden="false" ht="15" outlineLevel="0" r="177">
      <c r="A177" s="19" t="n">
        <f aca="false">VLOOKUP(B177,справочник!$B$2:$E$322,4,0)</f>
        <v>270</v>
      </c>
      <c r="B177" s="0" t="e">
        <f aca="false">CONCATENATE(C177;D177)</f>
        <v>#VALUE!</v>
      </c>
      <c r="C177" s="24" t="n">
        <v>283</v>
      </c>
      <c r="D177" s="93" t="s">
        <v>151</v>
      </c>
      <c r="E177" s="24" t="s">
        <v>537</v>
      </c>
      <c r="F177" s="30" t="n">
        <v>41422</v>
      </c>
      <c r="G177" s="30" t="n">
        <v>41456</v>
      </c>
      <c r="H177" s="31" t="n">
        <f aca="false">INT(($H$327-G177)/30)</f>
        <v>30</v>
      </c>
      <c r="I177" s="24" t="n">
        <f aca="false">H177*1000</f>
        <v>30000</v>
      </c>
      <c r="J177" s="31" t="n">
        <v>20000</v>
      </c>
      <c r="K177" s="31"/>
      <c r="L177" s="59" t="n">
        <f aca="false">I177-J177-K177</f>
        <v>10000</v>
      </c>
      <c r="M177" s="60"/>
      <c r="N177" s="60"/>
      <c r="O177" s="60"/>
      <c r="P177" s="60"/>
      <c r="Q177" s="60"/>
      <c r="R177" s="60"/>
      <c r="S177" s="60"/>
      <c r="T177" s="60"/>
      <c r="U177" s="60"/>
      <c r="V177" s="60"/>
      <c r="W177" s="60"/>
      <c r="X177" s="60"/>
      <c r="Y177" s="59" t="n">
        <f aca="false">V177-W177-X177</f>
        <v>0</v>
      </c>
    </row>
    <row collapsed="false" customFormat="false" customHeight="false" hidden="false" ht="15" outlineLevel="0" r="178">
      <c r="A178" s="19" t="n">
        <f aca="false">VLOOKUP(B178,справочник!$B$2:$E$322,4,0)</f>
        <v>9</v>
      </c>
      <c r="B178" s="0" t="e">
        <f aca="false">CONCATENATE(C178;D178)</f>
        <v>#VALUE!</v>
      </c>
      <c r="C178" s="24" t="n">
        <v>9</v>
      </c>
      <c r="D178" s="93" t="s">
        <v>132</v>
      </c>
      <c r="E178" s="24" t="s">
        <v>538</v>
      </c>
      <c r="F178" s="30" t="n">
        <v>41114</v>
      </c>
      <c r="G178" s="30" t="n">
        <v>41122</v>
      </c>
      <c r="H178" s="31" t="n">
        <f aca="false">INT(($H$327-G178)/30)</f>
        <v>41</v>
      </c>
      <c r="I178" s="24" t="n">
        <f aca="false">H178*1000</f>
        <v>41000</v>
      </c>
      <c r="J178" s="31" t="n">
        <v>18000</v>
      </c>
      <c r="K178" s="31"/>
      <c r="L178" s="59" t="n">
        <f aca="false">I178-J178-K178</f>
        <v>23000</v>
      </c>
      <c r="M178" s="60"/>
      <c r="N178" s="60"/>
      <c r="O178" s="60"/>
      <c r="P178" s="60"/>
      <c r="Q178" s="60"/>
      <c r="R178" s="60"/>
      <c r="S178" s="60"/>
      <c r="T178" s="60"/>
      <c r="U178" s="60"/>
      <c r="V178" s="60"/>
      <c r="W178" s="60"/>
      <c r="X178" s="60"/>
      <c r="Y178" s="59" t="n">
        <f aca="false">V178-W178-X178</f>
        <v>0</v>
      </c>
    </row>
    <row collapsed="false" customFormat="false" customHeight="false" hidden="false" ht="15" outlineLevel="0" r="179">
      <c r="A179" s="19" t="n">
        <f aca="false">VLOOKUP(B179,справочник!$B$2:$E$322,4,0)</f>
        <v>129</v>
      </c>
      <c r="B179" s="0" t="e">
        <f aca="false">CONCATENATE(C179;D179)</f>
        <v>#VALUE!</v>
      </c>
      <c r="C179" s="24" t="n">
        <v>136</v>
      </c>
      <c r="D179" s="29" t="s">
        <v>266</v>
      </c>
      <c r="E179" s="24" t="s">
        <v>539</v>
      </c>
      <c r="F179" s="30" t="n">
        <v>41352</v>
      </c>
      <c r="G179" s="30" t="n">
        <v>41365</v>
      </c>
      <c r="H179" s="31" t="n">
        <f aca="false">INT(($H$327-G179)/30)</f>
        <v>33</v>
      </c>
      <c r="I179" s="24" t="n">
        <f aca="false">H179*1000</f>
        <v>33000</v>
      </c>
      <c r="J179" s="31" t="n">
        <v>31000</v>
      </c>
      <c r="K179" s="31"/>
      <c r="L179" s="59" t="n">
        <f aca="false">I179-J179-K179</f>
        <v>2000</v>
      </c>
      <c r="M179" s="60"/>
      <c r="N179" s="60"/>
      <c r="O179" s="60"/>
      <c r="P179" s="60"/>
      <c r="Q179" s="60"/>
      <c r="R179" s="60"/>
      <c r="S179" s="60"/>
      <c r="T179" s="60"/>
      <c r="U179" s="60"/>
      <c r="V179" s="60"/>
      <c r="W179" s="60"/>
      <c r="X179" s="60"/>
      <c r="Y179" s="59" t="n">
        <f aca="false">V179-W179-X179</f>
        <v>0</v>
      </c>
    </row>
    <row collapsed="false" customFormat="false" customHeight="false" hidden="false" ht="25.5" outlineLevel="0" r="180">
      <c r="A180" s="19" t="n">
        <f aca="false">VLOOKUP(B180,справочник!$B$2:$E$322,4,0)</f>
        <v>42</v>
      </c>
      <c r="B180" s="0" t="e">
        <f aca="false">CONCATENATE(C180;D180)</f>
        <v>#VALUE!</v>
      </c>
      <c r="C180" s="24" t="n">
        <v>42</v>
      </c>
      <c r="D180" s="29" t="s">
        <v>299</v>
      </c>
      <c r="E180" s="24" t="s">
        <v>540</v>
      </c>
      <c r="F180" s="30" t="n">
        <v>40785</v>
      </c>
      <c r="G180" s="30" t="n">
        <v>40787</v>
      </c>
      <c r="H180" s="31" t="n">
        <f aca="false">INT(($H$327-G180)/30)</f>
        <v>52</v>
      </c>
      <c r="I180" s="24" t="n">
        <f aca="false">H180*1000</f>
        <v>52000</v>
      </c>
      <c r="J180" s="31" t="n">
        <f aca="false">19500+500+4500+23500</f>
        <v>48000</v>
      </c>
      <c r="K180" s="31"/>
      <c r="L180" s="59" t="n">
        <f aca="false">I180-J180-K180</f>
        <v>4000</v>
      </c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59" t="n">
        <f aca="false">V180-W180-X180</f>
        <v>0</v>
      </c>
    </row>
    <row collapsed="false" customFormat="false" customHeight="false" hidden="false" ht="15" outlineLevel="0" r="181">
      <c r="A181" s="19" t="n">
        <f aca="false">VLOOKUP(B181,справочник!$B$2:$E$322,4,0)</f>
        <v>96</v>
      </c>
      <c r="B181" s="0" t="e">
        <f aca="false">CONCATENATE(C181;D181)</f>
        <v>#VALUE!</v>
      </c>
      <c r="C181" s="36" t="n">
        <v>101</v>
      </c>
      <c r="D181" s="93" t="s">
        <v>131</v>
      </c>
      <c r="E181" s="24" t="s">
        <v>541</v>
      </c>
      <c r="F181" s="34" t="n">
        <v>40708</v>
      </c>
      <c r="G181" s="34" t="n">
        <v>40725</v>
      </c>
      <c r="H181" s="35" t="n">
        <f aca="false">INT(($H$327-G181)/30)</f>
        <v>54</v>
      </c>
      <c r="I181" s="36" t="n">
        <f aca="false">H181*1000</f>
        <v>54000</v>
      </c>
      <c r="J181" s="35" t="n">
        <v>41012</v>
      </c>
      <c r="K181" s="35"/>
      <c r="L181" s="66" t="n">
        <f aca="false">I181-J181-K181</f>
        <v>12988</v>
      </c>
      <c r="M181" s="60"/>
      <c r="N181" s="60"/>
      <c r="O181" s="60"/>
      <c r="P181" s="60"/>
      <c r="Q181" s="60"/>
      <c r="R181" s="60"/>
      <c r="S181" s="60"/>
      <c r="T181" s="60"/>
      <c r="U181" s="60"/>
      <c r="V181" s="60"/>
      <c r="W181" s="60"/>
      <c r="X181" s="60"/>
      <c r="Y181" s="66" t="n">
        <f aca="false">V181-W181-X181</f>
        <v>0</v>
      </c>
    </row>
    <row collapsed="false" customFormat="false" customHeight="false" hidden="false" ht="15" outlineLevel="0" r="182">
      <c r="A182" s="19" t="n">
        <f aca="false">VLOOKUP(B182,справочник!$B$2:$E$322,4,0)</f>
        <v>96</v>
      </c>
      <c r="B182" s="0" t="e">
        <f aca="false">CONCATENATE(C182;D182)</f>
        <v>#VALUE!</v>
      </c>
      <c r="C182" s="36" t="n">
        <v>102</v>
      </c>
      <c r="D182" s="93" t="s">
        <v>131</v>
      </c>
      <c r="E182" s="24"/>
      <c r="F182" s="34" t="n">
        <v>40708</v>
      </c>
      <c r="G182" s="34" t="n">
        <v>40725</v>
      </c>
      <c r="H182" s="35" t="n">
        <f aca="false">INT(($H$327-G182)/30)</f>
        <v>54</v>
      </c>
      <c r="I182" s="36" t="n">
        <f aca="false">H182*1000</f>
        <v>54000</v>
      </c>
      <c r="J182" s="35" t="n">
        <v>41000</v>
      </c>
      <c r="K182" s="35"/>
      <c r="L182" s="66" t="n">
        <f aca="false">I182-J182-K182</f>
        <v>13000</v>
      </c>
      <c r="M182" s="60"/>
      <c r="N182" s="60"/>
      <c r="O182" s="60"/>
      <c r="P182" s="60"/>
      <c r="Q182" s="60"/>
      <c r="R182" s="60"/>
      <c r="S182" s="60"/>
      <c r="T182" s="60"/>
      <c r="U182" s="60"/>
      <c r="V182" s="60"/>
      <c r="W182" s="60"/>
      <c r="X182" s="60"/>
      <c r="Y182" s="66" t="n">
        <f aca="false">V182-W182-X182</f>
        <v>0</v>
      </c>
    </row>
    <row collapsed="false" customFormat="false" customHeight="false" hidden="false" ht="15" outlineLevel="0" r="183">
      <c r="A183" s="19" t="n">
        <f aca="false">VLOOKUP(B183,справочник!$B$2:$E$322,4,0)</f>
        <v>292</v>
      </c>
      <c r="B183" s="0" t="e">
        <f aca="false">CONCATENATE(C183;D183)</f>
        <v>#VALUE!</v>
      </c>
      <c r="C183" s="24" t="n">
        <v>305</v>
      </c>
      <c r="D183" s="93" t="s">
        <v>144</v>
      </c>
      <c r="E183" s="24" t="s">
        <v>542</v>
      </c>
      <c r="F183" s="30" t="n">
        <v>42018</v>
      </c>
      <c r="G183" s="30" t="n">
        <v>42036</v>
      </c>
      <c r="H183" s="31" t="n">
        <f aca="false">INT(($H$327-G183)/30)</f>
        <v>11</v>
      </c>
      <c r="I183" s="24" t="n">
        <f aca="false">H183*1000</f>
        <v>11000</v>
      </c>
      <c r="J183" s="31"/>
      <c r="K183" s="31"/>
      <c r="L183" s="59" t="n">
        <f aca="false">I183-J183-K183</f>
        <v>11000</v>
      </c>
      <c r="M183" s="60"/>
      <c r="N183" s="60"/>
      <c r="O183" s="60"/>
      <c r="P183" s="60"/>
      <c r="Q183" s="60"/>
      <c r="R183" s="60"/>
      <c r="S183" s="60"/>
      <c r="T183" s="60"/>
      <c r="U183" s="60"/>
      <c r="V183" s="60"/>
      <c r="W183" s="60"/>
      <c r="X183" s="60"/>
      <c r="Y183" s="59" t="n">
        <f aca="false">V183-W183-X183</f>
        <v>0</v>
      </c>
    </row>
    <row collapsed="false" customFormat="false" customHeight="false" hidden="false" ht="15" outlineLevel="0" r="184">
      <c r="A184" s="19" t="n">
        <f aca="false">VLOOKUP(B184,справочник!$B$2:$E$322,4,0)</f>
        <v>209</v>
      </c>
      <c r="B184" s="0" t="e">
        <f aca="false">CONCATENATE(C184;D184)</f>
        <v>#VALUE!</v>
      </c>
      <c r="C184" s="24" t="n">
        <v>219</v>
      </c>
      <c r="D184" s="93" t="s">
        <v>118</v>
      </c>
      <c r="E184" s="24"/>
      <c r="F184" s="30" t="n">
        <v>41248</v>
      </c>
      <c r="G184" s="30" t="n">
        <v>41334</v>
      </c>
      <c r="H184" s="31" t="n">
        <v>20</v>
      </c>
      <c r="I184" s="24" t="n">
        <f aca="false">H184*1000</f>
        <v>20000</v>
      </c>
      <c r="J184" s="31"/>
      <c r="K184" s="31"/>
      <c r="L184" s="59" t="n">
        <f aca="false">I184-J184-K184</f>
        <v>20000</v>
      </c>
      <c r="M184" s="60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59" t="n">
        <f aca="false">V184-W184-X184</f>
        <v>0</v>
      </c>
    </row>
    <row collapsed="false" customFormat="false" customHeight="false" hidden="false" ht="15" outlineLevel="0" r="185">
      <c r="A185" s="19" t="n">
        <f aca="false">VLOOKUP(B185,справочник!$B$2:$E$322,4,0)</f>
        <v>257</v>
      </c>
      <c r="B185" s="0" t="e">
        <f aca="false">CONCATENATE(C185;D185)</f>
        <v>#VALUE!</v>
      </c>
      <c r="C185" s="24" t="n">
        <v>270</v>
      </c>
      <c r="D185" s="93" t="s">
        <v>69</v>
      </c>
      <c r="E185" s="24" t="s">
        <v>543</v>
      </c>
      <c r="F185" s="30" t="n">
        <v>41526</v>
      </c>
      <c r="G185" s="30" t="n">
        <v>41548</v>
      </c>
      <c r="H185" s="31" t="n">
        <f aca="false">INT(($H$327-G185)/30)</f>
        <v>27</v>
      </c>
      <c r="I185" s="24" t="n">
        <f aca="false">H185*1000</f>
        <v>27000</v>
      </c>
      <c r="J185" s="31" t="n">
        <v>1000</v>
      </c>
      <c r="K185" s="31"/>
      <c r="L185" s="59" t="n">
        <f aca="false">I185-J185-K185</f>
        <v>26000</v>
      </c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59" t="n">
        <f aca="false">V185-W185-X185</f>
        <v>0</v>
      </c>
    </row>
    <row collapsed="false" customFormat="false" customHeight="false" hidden="false" ht="15" outlineLevel="0" r="186">
      <c r="A186" s="19" t="n">
        <f aca="false">VLOOKUP(B186,справочник!$B$2:$E$322,4,0)</f>
        <v>212</v>
      </c>
      <c r="B186" s="0" t="e">
        <f aca="false">CONCATENATE(C186;D186)</f>
        <v>#VALUE!</v>
      </c>
      <c r="C186" s="24" t="n">
        <v>221</v>
      </c>
      <c r="D186" s="29" t="s">
        <v>209</v>
      </c>
      <c r="E186" s="24" t="s">
        <v>544</v>
      </c>
      <c r="F186" s="30" t="n">
        <v>41552</v>
      </c>
      <c r="G186" s="30" t="n">
        <v>41579</v>
      </c>
      <c r="H186" s="31" t="n">
        <f aca="false">INT(($H$327-G186)/30)</f>
        <v>26</v>
      </c>
      <c r="I186" s="24" t="n">
        <f aca="false">H186*1000</f>
        <v>26000</v>
      </c>
      <c r="J186" s="31" t="n">
        <v>23000</v>
      </c>
      <c r="K186" s="31"/>
      <c r="L186" s="59" t="n">
        <f aca="false">I186-J186-K186</f>
        <v>3000</v>
      </c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59" t="n">
        <f aca="false">V186-W186-X186</f>
        <v>0</v>
      </c>
    </row>
    <row collapsed="false" customFormat="false" customHeight="false" hidden="false" ht="15" outlineLevel="0" r="187">
      <c r="A187" s="19" t="n">
        <f aca="false">VLOOKUP(B187,справочник!$B$2:$E$322,4,0)</f>
        <v>320</v>
      </c>
      <c r="B187" s="0" t="e">
        <f aca="false">CONCATENATE(C187;D187)</f>
        <v>#VALUE!</v>
      </c>
      <c r="C187" s="24"/>
      <c r="D187" s="29" t="s">
        <v>324</v>
      </c>
      <c r="E187" s="24"/>
      <c r="F187" s="30"/>
      <c r="G187" s="30"/>
      <c r="H187" s="31"/>
      <c r="I187" s="24"/>
      <c r="J187" s="31"/>
      <c r="K187" s="31"/>
      <c r="L187" s="59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59"/>
    </row>
    <row collapsed="false" customFormat="false" customHeight="false" hidden="false" ht="25.5" outlineLevel="0" r="188">
      <c r="A188" s="19" t="n">
        <f aca="false">VLOOKUP(B188,справочник!$B$2:$E$322,4,0)</f>
        <v>186</v>
      </c>
      <c r="B188" s="0" t="e">
        <f aca="false">CONCATENATE(C188;D188)</f>
        <v>#VALUE!</v>
      </c>
      <c r="C188" s="24" t="n">
        <v>194</v>
      </c>
      <c r="D188" s="29" t="s">
        <v>228</v>
      </c>
      <c r="E188" s="24" t="s">
        <v>545</v>
      </c>
      <c r="F188" s="30" t="n">
        <v>41872</v>
      </c>
      <c r="G188" s="30" t="n">
        <v>41883</v>
      </c>
      <c r="H188" s="31" t="n">
        <f aca="false">INT(($H$327-G188)/30)</f>
        <v>16</v>
      </c>
      <c r="I188" s="24" t="n">
        <f aca="false">H188*1000</f>
        <v>16000</v>
      </c>
      <c r="J188" s="31" t="n">
        <v>12000</v>
      </c>
      <c r="K188" s="31"/>
      <c r="L188" s="59" t="n">
        <f aca="false">I188-J188-K188</f>
        <v>4000</v>
      </c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59" t="n">
        <f aca="false">V188-W188-X188</f>
        <v>0</v>
      </c>
    </row>
    <row collapsed="false" customFormat="false" customHeight="false" hidden="false" ht="15" outlineLevel="0" r="189">
      <c r="A189" s="19" t="n">
        <f aca="false">VLOOKUP(B189,справочник!$B$2:$E$322,4,0)</f>
        <v>187</v>
      </c>
      <c r="B189" s="0" t="e">
        <f aca="false">CONCATENATE(C189;D189)</f>
        <v>#VALUE!</v>
      </c>
      <c r="C189" s="24" t="n">
        <v>195</v>
      </c>
      <c r="D189" s="93" t="s">
        <v>83</v>
      </c>
      <c r="E189" s="24" t="s">
        <v>546</v>
      </c>
      <c r="F189" s="30" t="n">
        <v>41542</v>
      </c>
      <c r="G189" s="30" t="n">
        <v>41548</v>
      </c>
      <c r="H189" s="31" t="n">
        <f aca="false">INT(($H$327-G189)/30)</f>
        <v>27</v>
      </c>
      <c r="I189" s="24" t="n">
        <f aca="false">H189*1000</f>
        <v>27000</v>
      </c>
      <c r="J189" s="31"/>
      <c r="K189" s="31"/>
      <c r="L189" s="59" t="n">
        <f aca="false">I189-J189-K189</f>
        <v>27000</v>
      </c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59" t="n">
        <f aca="false">V189-W189-X189</f>
        <v>0</v>
      </c>
    </row>
    <row collapsed="false" customFormat="false" customHeight="false" hidden="false" ht="15" outlineLevel="0" r="190">
      <c r="A190" s="19" t="n">
        <f aca="false">VLOOKUP(B190,справочник!$B$2:$E$322,4,0)</f>
        <v>211</v>
      </c>
      <c r="B190" s="0" t="e">
        <f aca="false">CONCATENATE(C190;D190)</f>
        <v>#VALUE!</v>
      </c>
      <c r="C190" s="24" t="n">
        <v>220</v>
      </c>
      <c r="D190" s="29" t="s">
        <v>236</v>
      </c>
      <c r="E190" s="24" t="s">
        <v>547</v>
      </c>
      <c r="F190" s="30" t="n">
        <v>41417</v>
      </c>
      <c r="G190" s="30" t="n">
        <v>41426</v>
      </c>
      <c r="H190" s="31" t="n">
        <f aca="false">INT(($H$327-G190)/30)</f>
        <v>31</v>
      </c>
      <c r="I190" s="24" t="n">
        <f aca="false">H190*1000</f>
        <v>31000</v>
      </c>
      <c r="J190" s="31" t="n">
        <v>26000</v>
      </c>
      <c r="K190" s="31" t="n">
        <v>7000</v>
      </c>
      <c r="L190" s="59" t="n">
        <f aca="false">I190-J190-K190</f>
        <v>-2000</v>
      </c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59" t="n">
        <f aca="false">V190-W190-X190</f>
        <v>0</v>
      </c>
    </row>
    <row collapsed="false" customFormat="false" customHeight="true" hidden="false" ht="25.5" outlineLevel="0" r="191">
      <c r="A191" s="19" t="n">
        <f aca="false">VLOOKUP(B191,справочник!$B$2:$E$322,4,0)</f>
        <v>242</v>
      </c>
      <c r="B191" s="0" t="e">
        <f aca="false">CONCATENATE(C191;D191)</f>
        <v>#VALUE!</v>
      </c>
      <c r="C191" s="24" t="n">
        <v>253</v>
      </c>
      <c r="D191" s="93" t="s">
        <v>63</v>
      </c>
      <c r="E191" s="24" t="s">
        <v>548</v>
      </c>
      <c r="F191" s="30" t="n">
        <v>41352</v>
      </c>
      <c r="G191" s="30" t="n">
        <v>41365</v>
      </c>
      <c r="H191" s="31" t="n">
        <f aca="false">INT(($H$327-G191)/30)</f>
        <v>33</v>
      </c>
      <c r="I191" s="24" t="n">
        <f aca="false">H191*1000</f>
        <v>33000</v>
      </c>
      <c r="J191" s="31" t="n">
        <v>4000</v>
      </c>
      <c r="K191" s="31"/>
      <c r="L191" s="59" t="n">
        <f aca="false">I191-J191-K191</f>
        <v>29000</v>
      </c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59" t="n">
        <f aca="false">V191-W191-X191</f>
        <v>0</v>
      </c>
    </row>
    <row collapsed="false" customFormat="false" customHeight="false" hidden="false" ht="15" outlineLevel="0" r="192">
      <c r="A192" s="19" t="n">
        <f aca="false">VLOOKUP(B192,справочник!$B$2:$E$322,4,0)</f>
        <v>218</v>
      </c>
      <c r="B192" s="0" t="e">
        <f aca="false">CONCATENATE(C192;D192)</f>
        <v>#VALUE!</v>
      </c>
      <c r="C192" s="44" t="n">
        <v>227</v>
      </c>
      <c r="D192" s="93" t="s">
        <v>164</v>
      </c>
      <c r="E192" s="24" t="s">
        <v>549</v>
      </c>
      <c r="F192" s="30" t="n">
        <v>40793</v>
      </c>
      <c r="G192" s="30" t="n">
        <v>40787</v>
      </c>
      <c r="H192" s="31" t="n">
        <f aca="false">INT(($H$327-G192)/30)</f>
        <v>52</v>
      </c>
      <c r="I192" s="24" t="n">
        <f aca="false">H192*1000</f>
        <v>52000</v>
      </c>
      <c r="J192" s="31" t="n">
        <v>33000</v>
      </c>
      <c r="K192" s="31" t="n">
        <v>5000</v>
      </c>
      <c r="L192" s="59" t="n">
        <f aca="false">I192-J192-K192</f>
        <v>14000</v>
      </c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59" t="n">
        <f aca="false">V192-W192-X192</f>
        <v>0</v>
      </c>
    </row>
    <row collapsed="false" customFormat="false" customHeight="false" hidden="false" ht="15" outlineLevel="0" r="193">
      <c r="A193" s="19" t="n">
        <f aca="false">VLOOKUP(B193,справочник!$B$2:$E$322,4,0)</f>
        <v>120</v>
      </c>
      <c r="B193" s="0" t="e">
        <f aca="false">CONCATENATE(C193;D193)</f>
        <v>#VALUE!</v>
      </c>
      <c r="C193" s="24" t="n">
        <v>125</v>
      </c>
      <c r="D193" s="29" t="s">
        <v>284</v>
      </c>
      <c r="E193" s="24" t="s">
        <v>550</v>
      </c>
      <c r="F193" s="30" t="n">
        <v>41417</v>
      </c>
      <c r="G193" s="30" t="n">
        <v>41426</v>
      </c>
      <c r="H193" s="31" t="n">
        <f aca="false">INT(($H$327-G193)/30)</f>
        <v>31</v>
      </c>
      <c r="I193" s="24" t="n">
        <f aca="false">H193*1000</f>
        <v>31000</v>
      </c>
      <c r="J193" s="31" t="n">
        <v>21000</v>
      </c>
      <c r="K193" s="31"/>
      <c r="L193" s="59" t="n">
        <f aca="false">I193-J193-K193</f>
        <v>10000</v>
      </c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59" t="n">
        <f aca="false">V193-W193-X193</f>
        <v>0</v>
      </c>
    </row>
    <row collapsed="false" customFormat="false" customHeight="false" hidden="false" ht="15" outlineLevel="0" r="194">
      <c r="A194" s="19" t="n">
        <f aca="false">VLOOKUP(B194,справочник!$B$2:$E$322,4,0)</f>
        <v>287</v>
      </c>
      <c r="B194" s="0" t="e">
        <f aca="false">CONCATENATE(C194;D194)</f>
        <v>#VALUE!</v>
      </c>
      <c r="C194" s="24" t="n">
        <v>299</v>
      </c>
      <c r="D194" s="93" t="s">
        <v>193</v>
      </c>
      <c r="E194" s="24" t="s">
        <v>551</v>
      </c>
      <c r="F194" s="30" t="n">
        <v>41897</v>
      </c>
      <c r="G194" s="30" t="n">
        <v>41913</v>
      </c>
      <c r="H194" s="31" t="n">
        <f aca="false">INT(($H$327-G194)/30)</f>
        <v>15</v>
      </c>
      <c r="I194" s="24" t="n">
        <f aca="false">H194*1000</f>
        <v>15000</v>
      </c>
      <c r="J194" s="31" t="n">
        <v>13000</v>
      </c>
      <c r="K194" s="31"/>
      <c r="L194" s="59" t="n">
        <f aca="false">I194-J194-K194</f>
        <v>2000</v>
      </c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59" t="n">
        <f aca="false">V194-W194-X194</f>
        <v>0</v>
      </c>
    </row>
    <row collapsed="false" customFormat="false" customHeight="false" hidden="false" ht="15" outlineLevel="0" r="195">
      <c r="A195" s="19" t="n">
        <f aca="false">VLOOKUP(B195,справочник!$B$2:$E$322,4,0)</f>
        <v>170</v>
      </c>
      <c r="B195" s="0" t="e">
        <f aca="false">CONCATENATE(C195;D195)</f>
        <v>#VALUE!</v>
      </c>
      <c r="C195" s="36" t="n">
        <v>178</v>
      </c>
      <c r="D195" s="65" t="s">
        <v>312</v>
      </c>
      <c r="E195" s="36" t="s">
        <v>552</v>
      </c>
      <c r="F195" s="34" t="n">
        <v>41414</v>
      </c>
      <c r="G195" s="34" t="n">
        <v>41456</v>
      </c>
      <c r="H195" s="35" t="n">
        <f aca="false">INT(($H$327-G195)/30)</f>
        <v>30</v>
      </c>
      <c r="I195" s="36" t="n">
        <f aca="false">H195*1000</f>
        <v>30000</v>
      </c>
      <c r="J195" s="35" t="n">
        <v>29000</v>
      </c>
      <c r="K195" s="35" t="n">
        <v>1000</v>
      </c>
      <c r="L195" s="66" t="n">
        <f aca="false">I195-J195-K195</f>
        <v>0</v>
      </c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6" t="n">
        <f aca="false">V195-W195-X195</f>
        <v>0</v>
      </c>
    </row>
    <row collapsed="false" customFormat="false" customHeight="false" hidden="false" ht="15" outlineLevel="0" r="196">
      <c r="A196" s="19" t="n">
        <f aca="false">VLOOKUP(B196,справочник!$B$2:$E$322,4,0)</f>
        <v>170</v>
      </c>
      <c r="B196" s="0" t="e">
        <f aca="false">CONCATENATE(C196;D196)</f>
        <v>#VALUE!</v>
      </c>
      <c r="C196" s="36" t="n">
        <v>179</v>
      </c>
      <c r="D196" s="65" t="s">
        <v>312</v>
      </c>
      <c r="E196" s="36" t="s">
        <v>553</v>
      </c>
      <c r="F196" s="34" t="n">
        <v>41414</v>
      </c>
      <c r="G196" s="34" t="n">
        <v>41456</v>
      </c>
      <c r="H196" s="35" t="n">
        <f aca="false">INT(($H$327-G196)/30)</f>
        <v>30</v>
      </c>
      <c r="I196" s="36" t="n">
        <f aca="false">H196*1000</f>
        <v>30000</v>
      </c>
      <c r="J196" s="35" t="n">
        <v>29000</v>
      </c>
      <c r="K196" s="35" t="n">
        <v>1000</v>
      </c>
      <c r="L196" s="66" t="n">
        <f aca="false">I196-J196-K196</f>
        <v>0</v>
      </c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6" t="n">
        <f aca="false">V196-W196-X196</f>
        <v>0</v>
      </c>
    </row>
    <row collapsed="false" customFormat="false" customHeight="false" hidden="false" ht="15" outlineLevel="0" r="197">
      <c r="A197" s="19" t="n">
        <f aca="false">VLOOKUP(B197,справочник!$B$2:$E$322,4,0)</f>
        <v>290</v>
      </c>
      <c r="B197" s="0" t="e">
        <f aca="false">CONCATENATE(C197;D197)</f>
        <v>#VALUE!</v>
      </c>
      <c r="C197" s="24" t="n">
        <v>303</v>
      </c>
      <c r="D197" s="29" t="s">
        <v>293</v>
      </c>
      <c r="E197" s="24" t="s">
        <v>554</v>
      </c>
      <c r="F197" s="30" t="n">
        <v>40959</v>
      </c>
      <c r="G197" s="30" t="n">
        <v>40940</v>
      </c>
      <c r="H197" s="31" t="n">
        <f aca="false">INT(($H$327-G197)/30)</f>
        <v>47</v>
      </c>
      <c r="I197" s="24" t="n">
        <f aca="false">H197*1000</f>
        <v>47000</v>
      </c>
      <c r="J197" s="31" t="n">
        <v>42000</v>
      </c>
      <c r="K197" s="31" t="n">
        <v>5000</v>
      </c>
      <c r="L197" s="59" t="n">
        <f aca="false">I197-J197-K197</f>
        <v>0</v>
      </c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59" t="n">
        <f aca="false">V197-W197-X197</f>
        <v>0</v>
      </c>
    </row>
    <row collapsed="false" customFormat="false" customHeight="false" hidden="false" ht="15" outlineLevel="0" r="198">
      <c r="A198" s="19" t="n">
        <f aca="false">VLOOKUP(B198,справочник!$B$2:$E$322,4,0)</f>
        <v>81</v>
      </c>
      <c r="B198" s="0" t="e">
        <f aca="false">CONCATENATE(C198;D198)</f>
        <v>#VALUE!</v>
      </c>
      <c r="C198" s="24" t="n">
        <v>86</v>
      </c>
      <c r="D198" s="29" t="s">
        <v>42</v>
      </c>
      <c r="E198" s="24" t="s">
        <v>555</v>
      </c>
      <c r="F198" s="30" t="n">
        <v>40949</v>
      </c>
      <c r="G198" s="30" t="n">
        <v>40940</v>
      </c>
      <c r="H198" s="31" t="n">
        <f aca="false">INT(($H$327-G198)/30)</f>
        <v>47</v>
      </c>
      <c r="I198" s="24" t="n">
        <f aca="false">H198*1000</f>
        <v>47000</v>
      </c>
      <c r="J198" s="31" t="n">
        <v>44000</v>
      </c>
      <c r="K198" s="31" t="n">
        <v>3000</v>
      </c>
      <c r="L198" s="59" t="n">
        <f aca="false">I198-J198-K198</f>
        <v>0</v>
      </c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59" t="n">
        <f aca="false">V198-W198-X198</f>
        <v>0</v>
      </c>
    </row>
    <row collapsed="false" customFormat="false" customHeight="false" hidden="false" ht="15" outlineLevel="0" r="199">
      <c r="A199" s="19" t="n">
        <f aca="false">VLOOKUP(B199,справочник!$B$2:$E$322,4,0)</f>
        <v>31</v>
      </c>
      <c r="B199" s="0" t="e">
        <f aca="false">CONCATENATE(C199;D199)</f>
        <v>#VALUE!</v>
      </c>
      <c r="C199" s="24" t="n">
        <v>31</v>
      </c>
      <c r="D199" s="29" t="s">
        <v>291</v>
      </c>
      <c r="E199" s="24" t="s">
        <v>556</v>
      </c>
      <c r="F199" s="30" t="n">
        <v>40786</v>
      </c>
      <c r="G199" s="30" t="n">
        <v>40787</v>
      </c>
      <c r="H199" s="31" t="n">
        <f aca="false">INT(($H$327-G199)/30)</f>
        <v>52</v>
      </c>
      <c r="I199" s="24" t="n">
        <f aca="false">H199*1000</f>
        <v>52000</v>
      </c>
      <c r="J199" s="31" t="n">
        <f aca="false">10000+42000</f>
        <v>52000</v>
      </c>
      <c r="K199" s="31"/>
      <c r="L199" s="59" t="n">
        <f aca="false">I199-J199-K199</f>
        <v>0</v>
      </c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59" t="n">
        <f aca="false">V199-W199-X199</f>
        <v>0</v>
      </c>
    </row>
    <row collapsed="false" customFormat="false" customHeight="false" hidden="false" ht="15" outlineLevel="0" r="200">
      <c r="A200" s="19" t="n">
        <f aca="false">VLOOKUP(B200,справочник!$B$2:$E$322,4,0)</f>
        <v>104</v>
      </c>
      <c r="B200" s="0" t="e">
        <f aca="false">CONCATENATE(C200;D200)</f>
        <v>#VALUE!</v>
      </c>
      <c r="C200" s="24" t="n">
        <v>109</v>
      </c>
      <c r="D200" s="93" t="s">
        <v>187</v>
      </c>
      <c r="E200" s="24" t="s">
        <v>557</v>
      </c>
      <c r="F200" s="30" t="n">
        <v>40893</v>
      </c>
      <c r="G200" s="30" t="n">
        <v>40878</v>
      </c>
      <c r="H200" s="31" t="n">
        <f aca="false">INT(($H$327-G200)/30)</f>
        <v>49</v>
      </c>
      <c r="I200" s="24" t="n">
        <f aca="false">H200*1000</f>
        <v>49000</v>
      </c>
      <c r="J200" s="31" t="n">
        <f aca="false">1000+45000</f>
        <v>46000</v>
      </c>
      <c r="K200" s="31"/>
      <c r="L200" s="59" t="n">
        <f aca="false">I200-J200-K200</f>
        <v>3000</v>
      </c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59" t="n">
        <f aca="false">V200-W200-X200</f>
        <v>0</v>
      </c>
    </row>
    <row collapsed="false" customFormat="false" customHeight="true" hidden="false" ht="25.5" outlineLevel="0" r="201">
      <c r="A201" s="19" t="n">
        <f aca="false">VLOOKUP(B201,справочник!$B$2:$E$322,4,0)</f>
        <v>85</v>
      </c>
      <c r="B201" s="0" t="e">
        <f aca="false">CONCATENATE(C201;D201)</f>
        <v>#VALUE!</v>
      </c>
      <c r="C201" s="24" t="n">
        <v>90</v>
      </c>
      <c r="D201" s="29" t="s">
        <v>287</v>
      </c>
      <c r="E201" s="24" t="s">
        <v>558</v>
      </c>
      <c r="F201" s="30" t="n">
        <v>40695</v>
      </c>
      <c r="G201" s="30" t="n">
        <v>40725</v>
      </c>
      <c r="H201" s="31" t="n">
        <f aca="false">INT(($H$327-G201)/30)</f>
        <v>54</v>
      </c>
      <c r="I201" s="24" t="n">
        <f aca="false">H201*1000</f>
        <v>54000</v>
      </c>
      <c r="J201" s="31" t="n">
        <f aca="false">1000+53000</f>
        <v>54000</v>
      </c>
      <c r="K201" s="31"/>
      <c r="L201" s="59" t="n">
        <f aca="false">I201-J201-K201</f>
        <v>0</v>
      </c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59" t="n">
        <f aca="false">V201-W201-X201</f>
        <v>0</v>
      </c>
    </row>
    <row collapsed="false" customFormat="false" customHeight="true" hidden="false" ht="25.5" outlineLevel="0" r="202">
      <c r="A202" s="19" t="n">
        <f aca="false">VLOOKUP(B202,справочник!$B$2:$E$322,4,0)</f>
        <v>300</v>
      </c>
      <c r="B202" s="0" t="e">
        <f aca="false">CONCATENATE(C202;D202)</f>
        <v>#VALUE!</v>
      </c>
      <c r="C202" s="24" t="n">
        <v>315</v>
      </c>
      <c r="D202" s="93" t="s">
        <v>143</v>
      </c>
      <c r="E202" s="24" t="s">
        <v>559</v>
      </c>
      <c r="F202" s="30" t="n">
        <v>41999</v>
      </c>
      <c r="G202" s="30" t="n">
        <v>42005</v>
      </c>
      <c r="H202" s="31" t="n">
        <f aca="false">INT(($H$327-G202)/30)</f>
        <v>12</v>
      </c>
      <c r="I202" s="24" t="n">
        <f aca="false">H202*1000</f>
        <v>12000</v>
      </c>
      <c r="J202" s="31" t="n">
        <v>1000</v>
      </c>
      <c r="K202" s="31"/>
      <c r="L202" s="59" t="n">
        <f aca="false">I202-J202-K202</f>
        <v>11000</v>
      </c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59" t="n">
        <f aca="false">V202-W202-X202</f>
        <v>0</v>
      </c>
    </row>
    <row collapsed="false" customFormat="false" customHeight="false" hidden="false" ht="25.5" outlineLevel="0" r="203">
      <c r="A203" s="19" t="n">
        <f aca="false">VLOOKUP(B203,справочник!$B$2:$E$322,4,0)</f>
        <v>47</v>
      </c>
      <c r="B203" s="0" t="e">
        <f aca="false">CONCATENATE(C203;D203)</f>
        <v>#VALUE!</v>
      </c>
      <c r="C203" s="24" t="n">
        <v>47</v>
      </c>
      <c r="D203" s="93" t="s">
        <v>81</v>
      </c>
      <c r="E203" s="24" t="s">
        <v>560</v>
      </c>
      <c r="F203" s="30" t="n">
        <v>41375</v>
      </c>
      <c r="G203" s="30" t="n">
        <v>41395</v>
      </c>
      <c r="H203" s="31" t="n">
        <f aca="false">INT(($H$327-G203)/30)</f>
        <v>32</v>
      </c>
      <c r="I203" s="24" t="n">
        <f aca="false">H203*1000</f>
        <v>32000</v>
      </c>
      <c r="J203" s="31" t="n">
        <v>9000</v>
      </c>
      <c r="K203" s="31"/>
      <c r="L203" s="59" t="n">
        <f aca="false">I203-J203-K203</f>
        <v>23000</v>
      </c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59" t="n">
        <f aca="false">V203-W203-X203</f>
        <v>0</v>
      </c>
    </row>
    <row collapsed="false" customFormat="false" customHeight="false" hidden="false" ht="15" outlineLevel="0" r="204">
      <c r="A204" s="19" t="n">
        <f aca="false">VLOOKUP(B204,справочник!$B$2:$E$322,4,0)</f>
        <v>282</v>
      </c>
      <c r="B204" s="0" t="e">
        <f aca="false">CONCATENATE(C204;D204)</f>
        <v>#VALUE!</v>
      </c>
      <c r="C204" s="24" t="n">
        <v>294</v>
      </c>
      <c r="D204" s="93" t="s">
        <v>181</v>
      </c>
      <c r="E204" s="40" t="s">
        <v>531</v>
      </c>
      <c r="F204" s="41" t="n">
        <v>41716</v>
      </c>
      <c r="G204" s="41" t="n">
        <v>41730</v>
      </c>
      <c r="H204" s="31" t="n">
        <f aca="false">INT(($H$327-G204)/30)</f>
        <v>21</v>
      </c>
      <c r="I204" s="24" t="n">
        <f aca="false">H204*1000</f>
        <v>21000</v>
      </c>
      <c r="J204" s="31" t="n">
        <v>18000</v>
      </c>
      <c r="K204" s="31"/>
      <c r="L204" s="59" t="n">
        <f aca="false">I204-J204-K204</f>
        <v>3000</v>
      </c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59" t="n">
        <f aca="false">V204-W204-X204</f>
        <v>0</v>
      </c>
    </row>
    <row collapsed="false" customFormat="false" customHeight="true" hidden="false" ht="25.5" outlineLevel="0" r="205">
      <c r="A205" s="19" t="n">
        <f aca="false">VLOOKUP(B205,справочник!$B$2:$E$322,4,0)</f>
        <v>204</v>
      </c>
      <c r="B205" s="0" t="e">
        <f aca="false">CONCATENATE(C205;D205)</f>
        <v>#VALUE!</v>
      </c>
      <c r="C205" s="24" t="n">
        <v>214</v>
      </c>
      <c r="D205" s="29" t="s">
        <v>211</v>
      </c>
      <c r="E205" s="24" t="s">
        <v>561</v>
      </c>
      <c r="F205" s="24"/>
      <c r="G205" s="24"/>
      <c r="H205" s="31"/>
      <c r="I205" s="24" t="n">
        <f aca="false">H205*1000</f>
        <v>0</v>
      </c>
      <c r="J205" s="31"/>
      <c r="K205" s="31"/>
      <c r="L205" s="59" t="n">
        <f aca="false">I205-J205-K205</f>
        <v>0</v>
      </c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59" t="n">
        <f aca="false">V205-W205-X205</f>
        <v>0</v>
      </c>
    </row>
    <row collapsed="false" customFormat="false" customHeight="false" hidden="false" ht="15" outlineLevel="0" r="206">
      <c r="A206" s="19" t="n">
        <f aca="false">VLOOKUP(B206,справочник!$B$2:$E$322,4,0)</f>
        <v>291</v>
      </c>
      <c r="B206" s="0" t="e">
        <f aca="false">CONCATENATE(C206;D206)</f>
        <v>#VALUE!</v>
      </c>
      <c r="C206" s="24" t="n">
        <v>304</v>
      </c>
      <c r="D206" s="29" t="s">
        <v>207</v>
      </c>
      <c r="E206" s="24" t="s">
        <v>562</v>
      </c>
      <c r="F206" s="24"/>
      <c r="G206" s="24"/>
      <c r="H206" s="31"/>
      <c r="I206" s="24" t="n">
        <f aca="false">H206*1000</f>
        <v>0</v>
      </c>
      <c r="J206" s="31"/>
      <c r="K206" s="31"/>
      <c r="L206" s="59" t="n">
        <f aca="false">I206-J206-K206</f>
        <v>0</v>
      </c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59" t="n">
        <f aca="false">V206-W206-X206</f>
        <v>0</v>
      </c>
    </row>
    <row collapsed="false" customFormat="false" customHeight="false" hidden="false" ht="15" outlineLevel="0" r="207">
      <c r="A207" s="19" t="n">
        <f aca="false">VLOOKUP(B207,справочник!$B$2:$E$322,4,0)</f>
        <v>89</v>
      </c>
      <c r="B207" s="0" t="e">
        <f aca="false">CONCATENATE(C207;D207)</f>
        <v>#VALUE!</v>
      </c>
      <c r="C207" s="24" t="n">
        <v>94</v>
      </c>
      <c r="D207" s="93" t="s">
        <v>87</v>
      </c>
      <c r="E207" s="24" t="s">
        <v>563</v>
      </c>
      <c r="F207" s="30" t="n">
        <v>41106</v>
      </c>
      <c r="G207" s="30" t="n">
        <v>41091</v>
      </c>
      <c r="H207" s="31" t="n">
        <f aca="false">INT(($H$327-G207)/30)</f>
        <v>42</v>
      </c>
      <c r="I207" s="24" t="n">
        <f aca="false">H207*1000</f>
        <v>42000</v>
      </c>
      <c r="J207" s="31" t="n">
        <f aca="false">21000</f>
        <v>21000</v>
      </c>
      <c r="K207" s="31"/>
      <c r="L207" s="59" t="n">
        <f aca="false">I207-J207-K207</f>
        <v>21000</v>
      </c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59" t="n">
        <f aca="false">V207-W207-X207</f>
        <v>0</v>
      </c>
    </row>
    <row collapsed="false" customFormat="false" customHeight="false" hidden="false" ht="15" outlineLevel="0" r="208">
      <c r="A208" s="19" t="n">
        <f aca="false">VLOOKUP(B208,справочник!$B$2:$E$322,4,0)</f>
        <v>26</v>
      </c>
      <c r="B208" s="0" t="e">
        <f aca="false">CONCATENATE(C208;D208)</f>
        <v>#VALUE!</v>
      </c>
      <c r="C208" s="24" t="n">
        <v>26</v>
      </c>
      <c r="D208" s="93" t="s">
        <v>29</v>
      </c>
      <c r="E208" s="24" t="s">
        <v>564</v>
      </c>
      <c r="F208" s="30" t="n">
        <v>40788</v>
      </c>
      <c r="G208" s="30" t="n">
        <v>40787</v>
      </c>
      <c r="H208" s="31" t="n">
        <f aca="false">INT(($H$327-G208)/30)</f>
        <v>52</v>
      </c>
      <c r="I208" s="24" t="n">
        <f aca="false">H208*1000</f>
        <v>52000</v>
      </c>
      <c r="J208" s="31"/>
      <c r="K208" s="31"/>
      <c r="L208" s="59" t="n">
        <f aca="false">I208-J208-K208</f>
        <v>52000</v>
      </c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59" t="n">
        <f aca="false">V208-W208-X208</f>
        <v>0</v>
      </c>
    </row>
    <row collapsed="false" customFormat="false" customHeight="false" hidden="false" ht="15" outlineLevel="0" r="209">
      <c r="A209" s="19" t="n">
        <f aca="false">VLOOKUP(B209,справочник!$B$2:$E$322,4,0)</f>
        <v>71</v>
      </c>
      <c r="B209" s="0" t="e">
        <f aca="false">CONCATENATE(C209;D209)</f>
        <v>#VALUE!</v>
      </c>
      <c r="C209" s="94" t="n">
        <v>77</v>
      </c>
      <c r="D209" s="93" t="s">
        <v>139</v>
      </c>
      <c r="E209" s="24" t="s">
        <v>565</v>
      </c>
      <c r="F209" s="30" t="n">
        <v>40788</v>
      </c>
      <c r="G209" s="30" t="n">
        <v>40787</v>
      </c>
      <c r="H209" s="31" t="n">
        <f aca="false">INT(($H$327-G209)/30)</f>
        <v>52</v>
      </c>
      <c r="I209" s="24" t="n">
        <f aca="false">H209*1000</f>
        <v>52000</v>
      </c>
      <c r="J209" s="31" t="n">
        <f aca="false">36000+4000</f>
        <v>40000</v>
      </c>
      <c r="K209" s="31"/>
      <c r="L209" s="59" t="n">
        <f aca="false">I209-J209-K209</f>
        <v>12000</v>
      </c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59" t="n">
        <f aca="false">V209-W209-X209</f>
        <v>0</v>
      </c>
    </row>
    <row collapsed="false" customFormat="false" customHeight="true" hidden="false" ht="25.5" outlineLevel="0" r="210">
      <c r="A210" s="19" t="n">
        <f aca="false">VLOOKUP(B210,справочник!$B$2:$E$322,4,0)</f>
        <v>6</v>
      </c>
      <c r="B210" s="0" t="e">
        <f aca="false">CONCATENATE(C210;D210)</f>
        <v>#VALUE!</v>
      </c>
      <c r="C210" s="24" t="n">
        <v>6</v>
      </c>
      <c r="D210" s="93" t="s">
        <v>156</v>
      </c>
      <c r="E210" s="24" t="s">
        <v>566</v>
      </c>
      <c r="F210" s="30" t="n">
        <v>41939</v>
      </c>
      <c r="G210" s="30" t="n">
        <v>41944</v>
      </c>
      <c r="H210" s="31" t="n">
        <f aca="false">INT(($H$327-G210)/30)</f>
        <v>14</v>
      </c>
      <c r="I210" s="24" t="n">
        <f aca="false">H210*1000</f>
        <v>14000</v>
      </c>
      <c r="J210" s="31"/>
      <c r="K210" s="31"/>
      <c r="L210" s="59" t="n">
        <f aca="false">I210-J210-K210</f>
        <v>14000</v>
      </c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59" t="n">
        <f aca="false">V210-W210-X210</f>
        <v>0</v>
      </c>
    </row>
    <row collapsed="false" customFormat="false" customHeight="true" hidden="false" ht="25.5" outlineLevel="0" r="211">
      <c r="A211" s="19" t="n">
        <f aca="false">VLOOKUP(B211,справочник!$B$2:$E$322,4,0)</f>
        <v>80</v>
      </c>
      <c r="B211" s="0" t="e">
        <f aca="false">CONCATENATE(C211;D211)</f>
        <v>#VALUE!</v>
      </c>
      <c r="C211" s="24" t="n">
        <v>85</v>
      </c>
      <c r="D211" s="29" t="s">
        <v>271</v>
      </c>
      <c r="E211" s="24" t="s">
        <v>567</v>
      </c>
      <c r="F211" s="30" t="n">
        <v>40995</v>
      </c>
      <c r="G211" s="30" t="n">
        <v>41000</v>
      </c>
      <c r="H211" s="31" t="n">
        <f aca="false">INT(($H$327-G211)/30)</f>
        <v>45</v>
      </c>
      <c r="I211" s="24" t="n">
        <f aca="false">H211*1000</f>
        <v>45000</v>
      </c>
      <c r="J211" s="31" t="n">
        <v>45000</v>
      </c>
      <c r="K211" s="31"/>
      <c r="L211" s="59" t="n">
        <f aca="false">I211-J211-K211</f>
        <v>0</v>
      </c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59" t="n">
        <f aca="false">V211-W211-X211</f>
        <v>0</v>
      </c>
    </row>
    <row collapsed="false" customFormat="false" customHeight="true" hidden="false" ht="38.25" outlineLevel="0" r="212">
      <c r="A212" s="19" t="n">
        <f aca="false">VLOOKUP(B212,справочник!$B$2:$E$322,4,0)</f>
        <v>201</v>
      </c>
      <c r="B212" s="0" t="e">
        <f aca="false">CONCATENATE(C212;D212)</f>
        <v>#VALUE!</v>
      </c>
      <c r="C212" s="24" t="n">
        <v>209</v>
      </c>
      <c r="D212" s="29" t="s">
        <v>203</v>
      </c>
      <c r="E212" s="24" t="s">
        <v>568</v>
      </c>
      <c r="F212" s="30" t="n">
        <v>40974</v>
      </c>
      <c r="G212" s="30" t="n">
        <v>40969</v>
      </c>
      <c r="H212" s="31" t="n">
        <f aca="false">INT(($H$327-G212)/30)</f>
        <v>46</v>
      </c>
      <c r="I212" s="24" t="n">
        <f aca="false">H212*1000</f>
        <v>46000</v>
      </c>
      <c r="J212" s="31" t="n">
        <v>38000</v>
      </c>
      <c r="K212" s="31"/>
      <c r="L212" s="59" t="n">
        <f aca="false">I212-J212-K212</f>
        <v>8000</v>
      </c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59" t="n">
        <f aca="false">V212-W212-X212</f>
        <v>0</v>
      </c>
    </row>
    <row collapsed="false" customFormat="false" customHeight="false" hidden="false" ht="15" outlineLevel="0" r="213">
      <c r="A213" s="19" t="n">
        <f aca="false">VLOOKUP(B213,справочник!$B$2:$E$322,4,0)</f>
        <v>147</v>
      </c>
      <c r="B213" s="0" t="e">
        <f aca="false">CONCATENATE(C213;D213)</f>
        <v>#VALUE!</v>
      </c>
      <c r="C213" s="24" t="n">
        <v>155</v>
      </c>
      <c r="D213" s="93" t="s">
        <v>119</v>
      </c>
      <c r="E213" s="24" t="s">
        <v>569</v>
      </c>
      <c r="F213" s="30" t="n">
        <v>40952</v>
      </c>
      <c r="G213" s="30" t="n">
        <v>40940</v>
      </c>
      <c r="H213" s="31" t="n">
        <f aca="false">INT(($H$327-G213)/30)</f>
        <v>47</v>
      </c>
      <c r="I213" s="24" t="n">
        <f aca="false">H213*1000</f>
        <v>47000</v>
      </c>
      <c r="J213" s="31" t="n">
        <v>32000</v>
      </c>
      <c r="K213" s="31"/>
      <c r="L213" s="59" t="n">
        <f aca="false">I213-J213-K213</f>
        <v>15000</v>
      </c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59" t="n">
        <f aca="false">V213-W213-X213</f>
        <v>0</v>
      </c>
    </row>
    <row collapsed="false" customFormat="false" customHeight="false" hidden="false" ht="25.5" outlineLevel="0" r="214">
      <c r="A214" s="19" t="e">
        <f aca="false">VLOOKUP(B214,справочник!$B$2:$E$322,4,0)</f>
        <v>#VALUE!</v>
      </c>
      <c r="B214" s="0" t="e">
        <f aca="false">CONCATENATE(C214;D214)</f>
        <v>#VALUE!</v>
      </c>
      <c r="C214" s="24" t="n">
        <v>29</v>
      </c>
      <c r="D214" s="29" t="s">
        <v>219</v>
      </c>
      <c r="E214" s="24" t="s">
        <v>571</v>
      </c>
      <c r="F214" s="30" t="n">
        <v>40923</v>
      </c>
      <c r="G214" s="30" t="n">
        <v>40909</v>
      </c>
      <c r="H214" s="31" t="n">
        <v>7</v>
      </c>
      <c r="I214" s="24" t="n">
        <f aca="false">H214*1000</f>
        <v>7000</v>
      </c>
      <c r="J214" s="31" t="n">
        <v>7000</v>
      </c>
      <c r="K214" s="31"/>
      <c r="L214" s="59" t="n">
        <f aca="false">I214-J214-K214</f>
        <v>0</v>
      </c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59" t="n">
        <f aca="false">V214-W214-X214</f>
        <v>0</v>
      </c>
    </row>
    <row collapsed="false" customFormat="false" customHeight="false" hidden="false" ht="15" outlineLevel="0" r="215">
      <c r="A215" s="19" t="n">
        <f aca="false">VLOOKUP(B215,справочник!$B$2:$E$322,4,0)</f>
        <v>33</v>
      </c>
      <c r="B215" s="0" t="e">
        <f aca="false">CONCATENATE(C215;D215)</f>
        <v>#VALUE!</v>
      </c>
      <c r="C215" s="24" t="n">
        <v>33</v>
      </c>
      <c r="D215" s="29" t="s">
        <v>250</v>
      </c>
      <c r="E215" s="24" t="s">
        <v>572</v>
      </c>
      <c r="F215" s="30" t="n">
        <v>40791</v>
      </c>
      <c r="G215" s="30" t="n">
        <v>40787</v>
      </c>
      <c r="H215" s="31" t="n">
        <f aca="false">INT(($H$327-G215)/30)</f>
        <v>52</v>
      </c>
      <c r="I215" s="24" t="n">
        <f aca="false">H215*1000</f>
        <v>52000</v>
      </c>
      <c r="J215" s="31" t="n">
        <f aca="false">1000+44000</f>
        <v>45000</v>
      </c>
      <c r="K215" s="31"/>
      <c r="L215" s="59" t="n">
        <f aca="false">I215-J215-K215</f>
        <v>7000</v>
      </c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59" t="n">
        <f aca="false">V215-W215-X215</f>
        <v>0</v>
      </c>
    </row>
    <row collapsed="false" customFormat="false" customHeight="false" hidden="false" ht="15" outlineLevel="0" r="216">
      <c r="A216" s="19" t="n">
        <f aca="false">VLOOKUP(B216,справочник!$B$2:$E$322,4,0)</f>
        <v>169</v>
      </c>
      <c r="B216" s="0" t="e">
        <f aca="false">CONCATENATE(C216;D216)</f>
        <v>#VALUE!</v>
      </c>
      <c r="C216" s="24" t="n">
        <v>177</v>
      </c>
      <c r="D216" s="29" t="s">
        <v>255</v>
      </c>
      <c r="E216" s="24" t="s">
        <v>573</v>
      </c>
      <c r="F216" s="30" t="n">
        <v>41598</v>
      </c>
      <c r="G216" s="30" t="n">
        <v>41609</v>
      </c>
      <c r="H216" s="31" t="n">
        <f aca="false">INT(($H$327-G216)/30)</f>
        <v>25</v>
      </c>
      <c r="I216" s="24" t="n">
        <f aca="false">H216*1000</f>
        <v>25000</v>
      </c>
      <c r="J216" s="31" t="n">
        <v>21000</v>
      </c>
      <c r="K216" s="31"/>
      <c r="L216" s="59" t="n">
        <f aca="false">I216-J216-K216</f>
        <v>4000</v>
      </c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59" t="n">
        <f aca="false">V216-W216-X216</f>
        <v>0</v>
      </c>
    </row>
    <row collapsed="false" customFormat="false" customHeight="false" hidden="false" ht="15" outlineLevel="0" r="217">
      <c r="A217" s="19" t="n">
        <f aca="false">VLOOKUP(B217,справочник!$B$2:$E$322,4,0)</f>
        <v>185</v>
      </c>
      <c r="B217" s="0" t="e">
        <f aca="false">CONCATENATE(C217;D217)</f>
        <v>#VALUE!</v>
      </c>
      <c r="C217" s="24" t="n">
        <v>193</v>
      </c>
      <c r="D217" s="93" t="s">
        <v>124</v>
      </c>
      <c r="E217" s="24" t="s">
        <v>574</v>
      </c>
      <c r="F217" s="30" t="n">
        <v>41506</v>
      </c>
      <c r="G217" s="30" t="n">
        <v>41518</v>
      </c>
      <c r="H217" s="31" t="n">
        <f aca="false">INT(($H$327-G217)/30)</f>
        <v>28</v>
      </c>
      <c r="I217" s="24" t="n">
        <f aca="false">H217*1000</f>
        <v>28000</v>
      </c>
      <c r="J217" s="31" t="n">
        <v>14000</v>
      </c>
      <c r="K217" s="31"/>
      <c r="L217" s="59" t="n">
        <f aca="false">I217-J217-K217</f>
        <v>14000</v>
      </c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59" t="n">
        <f aca="false">V217-W217-X217</f>
        <v>0</v>
      </c>
    </row>
    <row collapsed="false" customFormat="false" customHeight="false" hidden="false" ht="15" outlineLevel="0" r="218">
      <c r="A218" s="19" t="n">
        <f aca="false">VLOOKUP(B218,справочник!$B$2:$E$322,4,0)</f>
        <v>176</v>
      </c>
      <c r="B218" s="0" t="e">
        <f aca="false">CONCATENATE(C218;D218)</f>
        <v>#VALUE!</v>
      </c>
      <c r="C218" s="24" t="n">
        <v>184</v>
      </c>
      <c r="D218" s="93" t="s">
        <v>190</v>
      </c>
      <c r="E218" s="24" t="s">
        <v>575</v>
      </c>
      <c r="F218" s="30" t="n">
        <v>41734</v>
      </c>
      <c r="G218" s="30" t="n">
        <v>41760</v>
      </c>
      <c r="H218" s="31" t="n">
        <f aca="false">INT(($H$327-G218)/30)</f>
        <v>20</v>
      </c>
      <c r="I218" s="24" t="n">
        <f aca="false">H218*1000</f>
        <v>20000</v>
      </c>
      <c r="J218" s="31" t="n">
        <v>3000</v>
      </c>
      <c r="K218" s="31"/>
      <c r="L218" s="59" t="n">
        <f aca="false">I218-J218-K218</f>
        <v>17000</v>
      </c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59" t="n">
        <f aca="false">V218-W218-X218</f>
        <v>0</v>
      </c>
    </row>
    <row collapsed="false" customFormat="false" customHeight="false" hidden="false" ht="15" outlineLevel="0" r="219">
      <c r="A219" s="19" t="n">
        <f aca="false">VLOOKUP(B219,справочник!$B$2:$E$322,4,0)</f>
        <v>307</v>
      </c>
      <c r="B219" s="0" t="e">
        <f aca="false">CONCATENATE(C219;D219)</f>
        <v>#VALUE!</v>
      </c>
      <c r="C219" s="24" t="n">
        <v>322</v>
      </c>
      <c r="D219" s="93" t="s">
        <v>169</v>
      </c>
      <c r="E219" s="24" t="s">
        <v>576</v>
      </c>
      <c r="F219" s="30" t="n">
        <v>41114</v>
      </c>
      <c r="G219" s="30" t="n">
        <v>41122</v>
      </c>
      <c r="H219" s="31" t="n">
        <f aca="false">INT(($H$327-G219)/30)</f>
        <v>41</v>
      </c>
      <c r="I219" s="24" t="n">
        <f aca="false">H219*1000</f>
        <v>41000</v>
      </c>
      <c r="J219" s="31" t="n">
        <v>27000</v>
      </c>
      <c r="K219" s="31"/>
      <c r="L219" s="59" t="n">
        <f aca="false">I219-J219-K219</f>
        <v>14000</v>
      </c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59" t="n">
        <f aca="false">V219-W219-X219</f>
        <v>0</v>
      </c>
    </row>
    <row collapsed="false" customFormat="false" customHeight="false" hidden="false" ht="15" outlineLevel="0" r="220">
      <c r="A220" s="19" t="n">
        <f aca="false">VLOOKUP(B220,справочник!$B$2:$E$322,4,0)</f>
        <v>177</v>
      </c>
      <c r="B220" s="0" t="e">
        <f aca="false">CONCATENATE(C220;D220)</f>
        <v>#VALUE!</v>
      </c>
      <c r="C220" s="24" t="n">
        <v>185</v>
      </c>
      <c r="D220" s="93" t="s">
        <v>184</v>
      </c>
      <c r="E220" s="24" t="s">
        <v>577</v>
      </c>
      <c r="F220" s="30" t="n">
        <v>41898</v>
      </c>
      <c r="G220" s="30" t="n">
        <v>41913</v>
      </c>
      <c r="H220" s="31" t="n">
        <f aca="false">INT(($H$327-G220)/30)</f>
        <v>15</v>
      </c>
      <c r="I220" s="24" t="n">
        <f aca="false">H220*1000</f>
        <v>15000</v>
      </c>
      <c r="J220" s="31" t="n">
        <v>12000</v>
      </c>
      <c r="K220" s="31"/>
      <c r="L220" s="59" t="n">
        <f aca="false">I220-J220-K220</f>
        <v>3000</v>
      </c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59" t="n">
        <f aca="false">V220-W220-X220</f>
        <v>0</v>
      </c>
    </row>
    <row collapsed="false" customFormat="false" customHeight="false" hidden="false" ht="15" outlineLevel="0" r="221">
      <c r="A221" s="19" t="n">
        <f aca="false">VLOOKUP(B221,справочник!$B$2:$E$322,4,0)</f>
        <v>160</v>
      </c>
      <c r="B221" s="0" t="e">
        <f aca="false">CONCATENATE(C221;D221)</f>
        <v>#VALUE!</v>
      </c>
      <c r="C221" s="24" t="n">
        <v>168</v>
      </c>
      <c r="D221" s="93" t="s">
        <v>86</v>
      </c>
      <c r="E221" s="24" t="s">
        <v>578</v>
      </c>
      <c r="F221" s="30" t="n">
        <v>41079</v>
      </c>
      <c r="G221" s="30" t="n">
        <v>41091</v>
      </c>
      <c r="H221" s="31" t="n">
        <f aca="false">INT(($H$327-G221)/30)</f>
        <v>42</v>
      </c>
      <c r="I221" s="24" t="n">
        <f aca="false">H221*1000</f>
        <v>42000</v>
      </c>
      <c r="J221" s="31" t="n">
        <v>21000</v>
      </c>
      <c r="K221" s="31"/>
      <c r="L221" s="59" t="n">
        <f aca="false">I221-J221-K221</f>
        <v>21000</v>
      </c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59" t="n">
        <f aca="false">V221-W221-X221</f>
        <v>0</v>
      </c>
    </row>
    <row collapsed="false" customFormat="false" customHeight="true" hidden="false" ht="25.5" outlineLevel="0" r="222">
      <c r="A222" s="19" t="n">
        <f aca="false">VLOOKUP(B222,справочник!$B$2:$E$322,4,0)</f>
        <v>53</v>
      </c>
      <c r="B222" s="0" t="e">
        <f aca="false">CONCATENATE(C222;D222)</f>
        <v>#VALUE!</v>
      </c>
      <c r="C222" s="24" t="n">
        <v>55</v>
      </c>
      <c r="D222" s="29" t="s">
        <v>217</v>
      </c>
      <c r="E222" s="24" t="s">
        <v>579</v>
      </c>
      <c r="F222" s="30" t="n">
        <v>41995</v>
      </c>
      <c r="G222" s="30" t="n">
        <v>42005</v>
      </c>
      <c r="H222" s="31" t="n">
        <f aca="false">INT(($H$327-G222)/30)</f>
        <v>12</v>
      </c>
      <c r="I222" s="24" t="n">
        <f aca="false">H222*1000</f>
        <v>12000</v>
      </c>
      <c r="J222" s="31" t="n">
        <v>12000</v>
      </c>
      <c r="K222" s="31"/>
      <c r="L222" s="59" t="n">
        <f aca="false">I222-J222-K222</f>
        <v>0</v>
      </c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59" t="n">
        <f aca="false">V222-W222-X222</f>
        <v>0</v>
      </c>
    </row>
    <row collapsed="false" customFormat="false" customHeight="false" hidden="false" ht="15" outlineLevel="0" r="223">
      <c r="A223" s="19" t="n">
        <f aca="false">VLOOKUP(B223,справочник!$B$2:$E$322,4,0)</f>
        <v>102</v>
      </c>
      <c r="B223" s="0" t="e">
        <f aca="false">CONCATENATE(C223;D223)</f>
        <v>#VALUE!</v>
      </c>
      <c r="C223" s="24" t="n">
        <v>107</v>
      </c>
      <c r="D223" s="29" t="s">
        <v>268</v>
      </c>
      <c r="E223" s="24" t="s">
        <v>580</v>
      </c>
      <c r="F223" s="30" t="n">
        <v>40757</v>
      </c>
      <c r="G223" s="30" t="n">
        <v>40756</v>
      </c>
      <c r="H223" s="31" t="n">
        <f aca="false">INT(($H$327-G223)/30)</f>
        <v>53</v>
      </c>
      <c r="I223" s="24" t="n">
        <f aca="false">H223*1000</f>
        <v>53000</v>
      </c>
      <c r="J223" s="31" t="n">
        <f aca="false">52000+1000</f>
        <v>53000</v>
      </c>
      <c r="K223" s="31"/>
      <c r="L223" s="59" t="n">
        <f aca="false">I223-J223-K223</f>
        <v>0</v>
      </c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59" t="n">
        <f aca="false">V223-W223-X223</f>
        <v>0</v>
      </c>
    </row>
    <row collapsed="false" customFormat="false" customHeight="false" hidden="false" ht="15" outlineLevel="0" r="224">
      <c r="A224" s="19" t="n">
        <f aca="false">VLOOKUP(B224,справочник!$B$2:$E$322,4,0)</f>
        <v>174</v>
      </c>
      <c r="B224" s="0" t="e">
        <f aca="false">CONCATENATE(C224;D224)</f>
        <v>#VALUE!</v>
      </c>
      <c r="C224" s="24" t="n">
        <v>182</v>
      </c>
      <c r="D224" s="29" t="s">
        <v>264</v>
      </c>
      <c r="E224" s="24" t="s">
        <v>581</v>
      </c>
      <c r="F224" s="30" t="n">
        <v>41352</v>
      </c>
      <c r="G224" s="30" t="n">
        <v>41365</v>
      </c>
      <c r="H224" s="31" t="n">
        <f aca="false">INT(($H$327-G224)/30)</f>
        <v>33</v>
      </c>
      <c r="I224" s="24" t="n">
        <f aca="false">H224*1000</f>
        <v>33000</v>
      </c>
      <c r="J224" s="31" t="n">
        <v>33000</v>
      </c>
      <c r="K224" s="31"/>
      <c r="L224" s="59" t="n">
        <f aca="false">I224-J224-K224</f>
        <v>0</v>
      </c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59" t="n">
        <f aca="false">V224-W224-X224</f>
        <v>0</v>
      </c>
    </row>
    <row collapsed="false" customFormat="false" customHeight="false" hidden="false" ht="15" outlineLevel="0" r="225">
      <c r="A225" s="19" t="n">
        <f aca="false">VLOOKUP(B225,справочник!$B$2:$E$322,4,0)</f>
        <v>165</v>
      </c>
      <c r="B225" s="0" t="e">
        <f aca="false">CONCATENATE(C225;D225)</f>
        <v>#VALUE!</v>
      </c>
      <c r="C225" s="24" t="n">
        <v>173</v>
      </c>
      <c r="D225" s="29" t="s">
        <v>214</v>
      </c>
      <c r="E225" s="24" t="s">
        <v>582</v>
      </c>
      <c r="F225" s="24"/>
      <c r="G225" s="24"/>
      <c r="H225" s="31" t="n">
        <v>17</v>
      </c>
      <c r="I225" s="24" t="n">
        <f aca="false">H225*1000</f>
        <v>17000</v>
      </c>
      <c r="J225" s="31" t="n">
        <v>17000</v>
      </c>
      <c r="K225" s="31"/>
      <c r="L225" s="59" t="n">
        <f aca="false">I225-J225-K225</f>
        <v>0</v>
      </c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59" t="n">
        <f aca="false">V225-W225-X225</f>
        <v>0</v>
      </c>
    </row>
    <row collapsed="false" customFormat="false" customHeight="false" hidden="false" ht="15" outlineLevel="0" r="226">
      <c r="A226" s="19" t="n">
        <f aca="false">VLOOKUP(B226,справочник!$B$2:$E$322,4,0)</f>
        <v>251</v>
      </c>
      <c r="B226" s="0" t="e">
        <f aca="false">CONCATENATE(C226;D226)</f>
        <v>#VALUE!</v>
      </c>
      <c r="C226" s="24" t="n">
        <v>262</v>
      </c>
      <c r="D226" s="93" t="s">
        <v>93</v>
      </c>
      <c r="E226" s="24" t="s">
        <v>583</v>
      </c>
      <c r="F226" s="30" t="n">
        <v>41751</v>
      </c>
      <c r="G226" s="30" t="n">
        <v>41760</v>
      </c>
      <c r="H226" s="31" t="n">
        <f aca="false">INT(($H$327-G226)/30)</f>
        <v>20</v>
      </c>
      <c r="I226" s="24" t="n">
        <f aca="false">H226*1000</f>
        <v>20000</v>
      </c>
      <c r="J226" s="31"/>
      <c r="K226" s="31"/>
      <c r="L226" s="59" t="n">
        <f aca="false">I226-J226-K226</f>
        <v>20000</v>
      </c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59" t="n">
        <f aca="false">V226-W226-X226</f>
        <v>0</v>
      </c>
    </row>
    <row collapsed="false" customFormat="false" customHeight="false" hidden="false" ht="15" outlineLevel="0" r="227">
      <c r="A227" s="19" t="n">
        <f aca="false">VLOOKUP(B227,справочник!$B$2:$E$322,4,0)</f>
        <v>315</v>
      </c>
      <c r="B227" s="0" t="e">
        <f aca="false">CONCATENATE(C227;D227)</f>
        <v>#VALUE!</v>
      </c>
      <c r="C227" s="94" t="s">
        <v>584</v>
      </c>
      <c r="D227" s="93" t="s">
        <v>99</v>
      </c>
      <c r="E227" s="24" t="s">
        <v>585</v>
      </c>
      <c r="F227" s="34" t="n">
        <v>40890</v>
      </c>
      <c r="G227" s="34" t="n">
        <v>40878</v>
      </c>
      <c r="H227" s="35" t="n">
        <f aca="false">INT(($H$327-G227)/30)</f>
        <v>49</v>
      </c>
      <c r="I227" s="36" t="n">
        <f aca="false">H227*1000</f>
        <v>49000</v>
      </c>
      <c r="J227" s="35" t="n">
        <f aca="false">28000+2000</f>
        <v>30000</v>
      </c>
      <c r="K227" s="35"/>
      <c r="L227" s="66" t="n">
        <f aca="false">I227-J227-K227</f>
        <v>19000</v>
      </c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6" t="n">
        <f aca="false">V227-W227-X227</f>
        <v>0</v>
      </c>
    </row>
    <row collapsed="false" customFormat="false" customHeight="true" hidden="false" ht="25.5" outlineLevel="0" r="228">
      <c r="A228" s="19" t="e">
        <f aca="false">VLOOKUP(B228,справочник!$B$2:$E$322,4,0)</f>
        <v>#VALUE!</v>
      </c>
      <c r="B228" s="0" t="e">
        <f aca="false">CONCATENATE(C228;D228)</f>
        <v>#VALUE!</v>
      </c>
      <c r="C228" s="94" t="s">
        <v>586</v>
      </c>
      <c r="D228" s="65" t="s">
        <v>303</v>
      </c>
      <c r="E228" s="36" t="s">
        <v>587</v>
      </c>
      <c r="F228" s="34" t="n">
        <v>40816</v>
      </c>
      <c r="G228" s="34" t="n">
        <v>40817</v>
      </c>
      <c r="H228" s="35" t="n">
        <f aca="false">INT(($H$327-G228)/30)</f>
        <v>51</v>
      </c>
      <c r="I228" s="36" t="n">
        <v>61000</v>
      </c>
      <c r="J228" s="35" t="n">
        <f aca="false">2000+55000</f>
        <v>57000</v>
      </c>
      <c r="K228" s="35" t="n">
        <v>4000</v>
      </c>
      <c r="L228" s="66" t="n">
        <f aca="false">I228-J228-K228</f>
        <v>0</v>
      </c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6" t="n">
        <f aca="false">V228-W228-X228</f>
        <v>0</v>
      </c>
    </row>
    <row collapsed="false" customFormat="false" customHeight="false" hidden="false" ht="15" outlineLevel="0" r="229">
      <c r="A229" s="19" t="e">
        <f aca="false">VLOOKUP(B229,справочник!$B$2:$E$322,4,0)</f>
        <v>#VALUE!</v>
      </c>
      <c r="B229" s="0" t="e">
        <f aca="false">CONCATENATE(C229;D229)</f>
        <v>#VALUE!</v>
      </c>
      <c r="C229" s="94" t="s">
        <v>715</v>
      </c>
      <c r="D229" s="65" t="s">
        <v>206</v>
      </c>
      <c r="E229" s="36" t="s">
        <v>587</v>
      </c>
      <c r="F229" s="34" t="n">
        <v>40816</v>
      </c>
      <c r="G229" s="34" t="n">
        <v>40817</v>
      </c>
      <c r="H229" s="35" t="n">
        <f aca="false">INT(($H$327-G229)/30)</f>
        <v>51</v>
      </c>
      <c r="I229" s="36" t="n">
        <v>61000</v>
      </c>
      <c r="J229" s="35" t="n">
        <v>58000</v>
      </c>
      <c r="K229" s="35" t="n">
        <v>3000</v>
      </c>
      <c r="L229" s="66" t="n">
        <f aca="false">I229-J229-K229</f>
        <v>0</v>
      </c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6" t="n">
        <f aca="false">V229-W229-X229</f>
        <v>0</v>
      </c>
    </row>
    <row collapsed="false" customFormat="false" customHeight="false" hidden="false" ht="25.5" outlineLevel="0" r="230">
      <c r="A230" s="19" t="n">
        <f aca="false">VLOOKUP(B230,справочник!$B$2:$E$322,4,0)</f>
        <v>195</v>
      </c>
      <c r="B230" s="0" t="e">
        <f aca="false">CONCATENATE(C230;D230)</f>
        <v>#VALUE!</v>
      </c>
      <c r="C230" s="94" t="n">
        <v>203</v>
      </c>
      <c r="D230" s="93" t="s">
        <v>97</v>
      </c>
      <c r="E230" s="24" t="s">
        <v>588</v>
      </c>
      <c r="F230" s="30" t="n">
        <v>41599</v>
      </c>
      <c r="G230" s="30" t="n">
        <v>41609</v>
      </c>
      <c r="H230" s="31" t="n">
        <f aca="false">INT(($H$327-G230)/30)</f>
        <v>25</v>
      </c>
      <c r="I230" s="24" t="n">
        <f aca="false">H230*1000</f>
        <v>25000</v>
      </c>
      <c r="J230" s="31" t="n">
        <v>1000</v>
      </c>
      <c r="K230" s="31"/>
      <c r="L230" s="59" t="n">
        <f aca="false">I230-J230-K230</f>
        <v>24000</v>
      </c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59" t="n">
        <f aca="false">V230-W230-X230</f>
        <v>0</v>
      </c>
    </row>
    <row collapsed="false" customFormat="false" customHeight="false" hidden="false" ht="15" outlineLevel="0" r="231">
      <c r="A231" s="19" t="n">
        <f aca="false">VLOOKUP(B231,справочник!$B$2:$E$322,4,0)</f>
        <v>144</v>
      </c>
      <c r="B231" s="0" t="e">
        <f aca="false">CONCATENATE(C231;D231)</f>
        <v>#VALUE!</v>
      </c>
      <c r="C231" s="94" t="n">
        <v>152</v>
      </c>
      <c r="D231" s="93" t="s">
        <v>23</v>
      </c>
      <c r="E231" s="24" t="s">
        <v>589</v>
      </c>
      <c r="F231" s="34" t="n">
        <v>40788</v>
      </c>
      <c r="G231" s="34" t="n">
        <v>40787</v>
      </c>
      <c r="H231" s="35" t="n">
        <f aca="false">INT(($H$327-G231)/30)</f>
        <v>52</v>
      </c>
      <c r="I231" s="36" t="n">
        <f aca="false">H231*1000</f>
        <v>52000</v>
      </c>
      <c r="J231" s="35" t="n">
        <v>1000</v>
      </c>
      <c r="K231" s="35"/>
      <c r="L231" s="66" t="n">
        <f aca="false">I231-J231-K231</f>
        <v>51000</v>
      </c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6" t="n">
        <f aca="false">V231-W231-X231</f>
        <v>0</v>
      </c>
    </row>
    <row collapsed="false" customFormat="false" customHeight="false" hidden="false" ht="15" outlineLevel="0" r="232">
      <c r="A232" s="19" t="n">
        <f aca="false">VLOOKUP(B232,справочник!$B$2:$E$322,4,0)</f>
        <v>144</v>
      </c>
      <c r="B232" s="0" t="e">
        <f aca="false">CONCATENATE(C232;D232)</f>
        <v>#VALUE!</v>
      </c>
      <c r="C232" s="94" t="n">
        <v>153</v>
      </c>
      <c r="D232" s="93" t="s">
        <v>23</v>
      </c>
      <c r="E232" s="24"/>
      <c r="F232" s="34" t="n">
        <v>40788</v>
      </c>
      <c r="G232" s="34" t="n">
        <v>40787</v>
      </c>
      <c r="H232" s="35" t="n">
        <f aca="false">INT(($H$327-G232)/30)</f>
        <v>52</v>
      </c>
      <c r="I232" s="36" t="n">
        <f aca="false">H232*1000</f>
        <v>52000</v>
      </c>
      <c r="J232" s="35" t="n">
        <v>1000</v>
      </c>
      <c r="K232" s="35"/>
      <c r="L232" s="66" t="n">
        <f aca="false">I232-J232-K232</f>
        <v>51000</v>
      </c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6" t="n">
        <f aca="false">V232-W232-X232</f>
        <v>0</v>
      </c>
    </row>
    <row collapsed="false" customFormat="false" customHeight="false" hidden="false" ht="15" outlineLevel="0" r="233">
      <c r="A233" s="19" t="n">
        <f aca="false">VLOOKUP(B233,справочник!$B$2:$E$322,4,0)</f>
        <v>74</v>
      </c>
      <c r="B233" s="0" t="e">
        <f aca="false">CONCATENATE(C233;D233)</f>
        <v>#VALUE!</v>
      </c>
      <c r="C233" s="36" t="n">
        <v>80</v>
      </c>
      <c r="D233" s="65" t="s">
        <v>245</v>
      </c>
      <c r="E233" s="36" t="s">
        <v>590</v>
      </c>
      <c r="F233" s="34" t="n">
        <v>41310</v>
      </c>
      <c r="G233" s="34" t="n">
        <v>41334</v>
      </c>
      <c r="H233" s="35" t="n">
        <f aca="false">INT(($H$327-G233)/30)</f>
        <v>34</v>
      </c>
      <c r="I233" s="36" t="n">
        <f aca="false">H233*1000</f>
        <v>34000</v>
      </c>
      <c r="J233" s="35" t="n">
        <v>31000</v>
      </c>
      <c r="K233" s="35"/>
      <c r="L233" s="66" t="n">
        <f aca="false">I233-J233-K233</f>
        <v>3000</v>
      </c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6" t="n">
        <f aca="false">V233-W233-X233</f>
        <v>0</v>
      </c>
    </row>
    <row collapsed="false" customFormat="false" customHeight="false" hidden="false" ht="15" outlineLevel="0" r="234">
      <c r="A234" s="19" t="n">
        <f aca="false">VLOOKUP(B234,справочник!$B$2:$E$322,4,0)</f>
        <v>74</v>
      </c>
      <c r="B234" s="0" t="e">
        <f aca="false">CONCATENATE(C234;D234)</f>
        <v>#VALUE!</v>
      </c>
      <c r="C234" s="36" t="n">
        <v>81</v>
      </c>
      <c r="D234" s="65" t="s">
        <v>245</v>
      </c>
      <c r="E234" s="36" t="s">
        <v>591</v>
      </c>
      <c r="F234" s="34" t="n">
        <v>40682</v>
      </c>
      <c r="G234" s="34" t="n">
        <v>40695</v>
      </c>
      <c r="H234" s="35" t="n">
        <f aca="false">INT(($H$327-G234)/30)</f>
        <v>55</v>
      </c>
      <c r="I234" s="36" t="n">
        <f aca="false">H234*1000</f>
        <v>55000</v>
      </c>
      <c r="J234" s="35" t="n">
        <f aca="false">7000+48000-3000</f>
        <v>52000</v>
      </c>
      <c r="K234" s="35"/>
      <c r="L234" s="66" t="n">
        <f aca="false">I234-J234-K234</f>
        <v>3000</v>
      </c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6" t="n">
        <f aca="false">V234-W234-X234</f>
        <v>0</v>
      </c>
    </row>
    <row collapsed="false" customFormat="false" customHeight="false" hidden="false" ht="15" outlineLevel="0" r="235">
      <c r="A235" s="19" t="n">
        <f aca="false">VLOOKUP(B235,справочник!$B$2:$E$322,4,0)</f>
        <v>68</v>
      </c>
      <c r="B235" s="0" t="e">
        <f aca="false">CONCATENATE(C235;D235)</f>
        <v>#VALUE!</v>
      </c>
      <c r="C235" s="24" t="n">
        <v>70</v>
      </c>
      <c r="D235" s="29" t="s">
        <v>272</v>
      </c>
      <c r="E235" s="24" t="s">
        <v>592</v>
      </c>
      <c r="F235" s="30" t="n">
        <v>40687</v>
      </c>
      <c r="G235" s="30" t="n">
        <v>40664</v>
      </c>
      <c r="H235" s="31" t="n">
        <f aca="false">INT(($H$327-G235)/30)</f>
        <v>56</v>
      </c>
      <c r="I235" s="24" t="n">
        <f aca="false">H235*1000</f>
        <v>56000</v>
      </c>
      <c r="J235" s="31" t="n">
        <f aca="false">12000+44000</f>
        <v>56000</v>
      </c>
      <c r="K235" s="31"/>
      <c r="L235" s="59" t="n">
        <f aca="false">I235-J235-K235</f>
        <v>0</v>
      </c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59" t="n">
        <f aca="false">V235-W235-X235</f>
        <v>0</v>
      </c>
    </row>
    <row collapsed="false" customFormat="false" customHeight="false" hidden="false" ht="15" outlineLevel="0" r="236">
      <c r="A236" s="19" t="n">
        <f aca="false">VLOOKUP(B236,справочник!$B$2:$E$322,4,0)</f>
        <v>224</v>
      </c>
      <c r="B236" s="0" t="e">
        <f aca="false">CONCATENATE(C236;D236)</f>
        <v>#VALUE!</v>
      </c>
      <c r="C236" s="24" t="n">
        <v>233</v>
      </c>
      <c r="D236" s="93" t="s">
        <v>96</v>
      </c>
      <c r="E236" s="24" t="s">
        <v>593</v>
      </c>
      <c r="F236" s="30" t="n">
        <v>41751</v>
      </c>
      <c r="G236" s="30" t="n">
        <v>41760</v>
      </c>
      <c r="H236" s="31" t="n">
        <f aca="false">INT(($H$327-G236)/30)</f>
        <v>20</v>
      </c>
      <c r="I236" s="24" t="n">
        <f aca="false">H236*1000</f>
        <v>20000</v>
      </c>
      <c r="J236" s="31"/>
      <c r="K236" s="31"/>
      <c r="L236" s="59" t="n">
        <f aca="false">I236-J236-K236</f>
        <v>20000</v>
      </c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59" t="n">
        <f aca="false">V236-W236-X236</f>
        <v>0</v>
      </c>
    </row>
    <row collapsed="false" customFormat="false" customHeight="false" hidden="false" ht="15" outlineLevel="0" r="237">
      <c r="A237" s="19" t="n">
        <f aca="false">VLOOKUP(B237,справочник!$B$2:$E$322,4,0)</f>
        <v>134</v>
      </c>
      <c r="B237" s="0" t="e">
        <f aca="false">CONCATENATE(C237;D237)</f>
        <v>#VALUE!</v>
      </c>
      <c r="C237" s="24" t="n">
        <v>141</v>
      </c>
      <c r="D237" s="29" t="s">
        <v>283</v>
      </c>
      <c r="E237" s="24" t="s">
        <v>594</v>
      </c>
      <c r="F237" s="30" t="n">
        <v>40893</v>
      </c>
      <c r="G237" s="30" t="n">
        <v>40878</v>
      </c>
      <c r="H237" s="31" t="n">
        <f aca="false">INT(($H$327-G237)/30)</f>
        <v>49</v>
      </c>
      <c r="I237" s="24" t="n">
        <f aca="false">H237*1000</f>
        <v>49000</v>
      </c>
      <c r="J237" s="31" t="n">
        <f aca="false">37000</f>
        <v>37000</v>
      </c>
      <c r="K237" s="31"/>
      <c r="L237" s="59" t="n">
        <f aca="false">I237-J237-K237</f>
        <v>12000</v>
      </c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59" t="n">
        <f aca="false">V237-W237-X237</f>
        <v>0</v>
      </c>
    </row>
    <row collapsed="false" customFormat="false" customHeight="true" hidden="false" ht="38.25" outlineLevel="0" r="238">
      <c r="A238" s="19" t="n">
        <f aca="false">VLOOKUP(B238,справочник!$B$2:$E$322,4,0)</f>
        <v>267</v>
      </c>
      <c r="B238" s="0" t="e">
        <f aca="false">CONCATENATE(C238;D238)</f>
        <v>#VALUE!</v>
      </c>
      <c r="C238" s="24" t="n">
        <v>280</v>
      </c>
      <c r="D238" s="29" t="s">
        <v>258</v>
      </c>
      <c r="E238" s="24" t="s">
        <v>595</v>
      </c>
      <c r="F238" s="30" t="n">
        <v>41023</v>
      </c>
      <c r="G238" s="30" t="n">
        <v>41000</v>
      </c>
      <c r="H238" s="31" t="n">
        <f aca="false">INT(($H$327-G238)/30)</f>
        <v>45</v>
      </c>
      <c r="I238" s="24" t="n">
        <f aca="false">H238*1000</f>
        <v>45000</v>
      </c>
      <c r="J238" s="31" t="n">
        <f aca="false">41000</f>
        <v>41000</v>
      </c>
      <c r="K238" s="31"/>
      <c r="L238" s="59" t="n">
        <f aca="false">I238-J238-K238</f>
        <v>4000</v>
      </c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59" t="n">
        <f aca="false">V238-W238-X238</f>
        <v>0</v>
      </c>
    </row>
    <row collapsed="false" customFormat="false" customHeight="false" hidden="false" ht="15" outlineLevel="0" r="239">
      <c r="A239" s="19" t="n">
        <f aca="false">VLOOKUP(B239,справочник!$B$2:$E$322,4,0)</f>
        <v>258</v>
      </c>
      <c r="B239" s="0" t="e">
        <f aca="false">CONCATENATE(C239;D239)</f>
        <v>#VALUE!</v>
      </c>
      <c r="C239" s="24" t="n">
        <v>271</v>
      </c>
      <c r="D239" s="29" t="s">
        <v>279</v>
      </c>
      <c r="E239" s="24" t="s">
        <v>596</v>
      </c>
      <c r="F239" s="30" t="n">
        <v>41039</v>
      </c>
      <c r="G239" s="30" t="n">
        <v>41030</v>
      </c>
      <c r="H239" s="31" t="n">
        <f aca="false">INT(($H$327-G239)/30)</f>
        <v>44</v>
      </c>
      <c r="I239" s="24" t="n">
        <f aca="false">H239*1000</f>
        <v>44000</v>
      </c>
      <c r="J239" s="31" t="n">
        <v>44000</v>
      </c>
      <c r="K239" s="31"/>
      <c r="L239" s="59" t="n">
        <f aca="false">I239-J239-K239</f>
        <v>0</v>
      </c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59" t="n">
        <f aca="false">V239-W239-X239</f>
        <v>0</v>
      </c>
    </row>
    <row collapsed="false" customFormat="false" customHeight="false" hidden="false" ht="25.5" outlineLevel="0" r="240">
      <c r="A240" s="19" t="n">
        <f aca="false">VLOOKUP(B240,справочник!$B$2:$E$322,4,0)</f>
        <v>299</v>
      </c>
      <c r="B240" s="0" t="e">
        <f aca="false">CONCATENATE(C240;D240)</f>
        <v>#VALUE!</v>
      </c>
      <c r="C240" s="24" t="n">
        <v>314</v>
      </c>
      <c r="D240" s="93" t="s">
        <v>56</v>
      </c>
      <c r="E240" s="24"/>
      <c r="F240" s="30" t="n">
        <v>42017</v>
      </c>
      <c r="G240" s="30" t="n">
        <v>41275</v>
      </c>
      <c r="H240" s="31" t="n">
        <f aca="false">INT(($H$327-G240)/30)</f>
        <v>36</v>
      </c>
      <c r="I240" s="24" t="n">
        <f aca="false">H240*1000</f>
        <v>36000</v>
      </c>
      <c r="J240" s="31" t="n">
        <f aca="false">1000</f>
        <v>1000</v>
      </c>
      <c r="K240" s="31" t="n">
        <v>3000</v>
      </c>
      <c r="L240" s="59" t="n">
        <f aca="false">I240-J240-K240</f>
        <v>32000</v>
      </c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59" t="n">
        <f aca="false">V240-W240-X240</f>
        <v>0</v>
      </c>
    </row>
    <row collapsed="false" customFormat="false" customHeight="false" hidden="false" ht="25.5" outlineLevel="0" r="241">
      <c r="A241" s="19" t="n">
        <f aca="false">VLOOKUP(B241,справочник!$B$2:$E$322,4,0)</f>
        <v>210</v>
      </c>
      <c r="B241" s="0" t="e">
        <f aca="false">CONCATENATE(C241;D241)</f>
        <v>#VALUE!</v>
      </c>
      <c r="C241" s="24" t="n">
        <v>219</v>
      </c>
      <c r="D241" s="93" t="s">
        <v>165</v>
      </c>
      <c r="E241" s="24"/>
      <c r="F241" s="30" t="n">
        <v>41913</v>
      </c>
      <c r="G241" s="30" t="n">
        <v>41944</v>
      </c>
      <c r="H241" s="31" t="n">
        <f aca="false">INT(($H$327-G241)/30)</f>
        <v>14</v>
      </c>
      <c r="I241" s="24" t="n">
        <f aca="false">H241*1000</f>
        <v>14000</v>
      </c>
      <c r="J241" s="31" t="n">
        <f aca="false">6000</f>
        <v>6000</v>
      </c>
      <c r="K241" s="31"/>
      <c r="L241" s="59" t="n">
        <f aca="false">I241-J241-K241</f>
        <v>8000</v>
      </c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59" t="n">
        <f aca="false">V241-W241-X241</f>
        <v>0</v>
      </c>
    </row>
    <row collapsed="false" customFormat="false" customHeight="false" hidden="false" ht="15" outlineLevel="0" r="242">
      <c r="A242" s="19" t="n">
        <f aca="false">VLOOKUP(B242,справочник!$B$2:$E$322,4,0)</f>
        <v>239</v>
      </c>
      <c r="B242" s="0" t="e">
        <f aca="false">CONCATENATE(C242;D242)</f>
        <v>#VALUE!</v>
      </c>
      <c r="C242" s="24" t="n">
        <v>250</v>
      </c>
      <c r="D242" s="93" t="s">
        <v>94</v>
      </c>
      <c r="E242" s="24" t="s">
        <v>597</v>
      </c>
      <c r="F242" s="30" t="n">
        <v>40973</v>
      </c>
      <c r="G242" s="30" t="n">
        <v>40969</v>
      </c>
      <c r="H242" s="31" t="n">
        <f aca="false">INT(($H$327-G242)/30)</f>
        <v>46</v>
      </c>
      <c r="I242" s="24" t="n">
        <f aca="false">H242*1000</f>
        <v>46000</v>
      </c>
      <c r="J242" s="31" t="n">
        <v>26000</v>
      </c>
      <c r="K242" s="31"/>
      <c r="L242" s="59" t="n">
        <f aca="false">I242-J242-K242</f>
        <v>20000</v>
      </c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59" t="n">
        <f aca="false">V242-W242-X242</f>
        <v>0</v>
      </c>
    </row>
    <row collapsed="false" customFormat="false" customHeight="false" hidden="false" ht="15" outlineLevel="0" r="243">
      <c r="A243" s="19" t="n">
        <f aca="false">VLOOKUP(B243,справочник!$B$2:$E$322,4,0)</f>
        <v>238</v>
      </c>
      <c r="B243" s="0" t="e">
        <f aca="false">CONCATENATE(C243;D243)</f>
        <v>#VALUE!</v>
      </c>
      <c r="C243" s="94" t="n">
        <v>249</v>
      </c>
      <c r="D243" s="93" t="s">
        <v>43</v>
      </c>
      <c r="E243" s="24" t="s">
        <v>598</v>
      </c>
      <c r="F243" s="30" t="n">
        <v>41079</v>
      </c>
      <c r="G243" s="30" t="n">
        <v>41061</v>
      </c>
      <c r="H243" s="31" t="n">
        <f aca="false">INT(($H$327-G243)/30)</f>
        <v>43</v>
      </c>
      <c r="I243" s="24" t="n">
        <f aca="false">H243*1000</f>
        <v>43000</v>
      </c>
      <c r="J243" s="31"/>
      <c r="K243" s="31"/>
      <c r="L243" s="59" t="n">
        <f aca="false">I243-J243-K243</f>
        <v>43000</v>
      </c>
      <c r="M243" s="60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59" t="n">
        <f aca="false">V243-W243-X243</f>
        <v>0</v>
      </c>
    </row>
    <row collapsed="false" customFormat="false" customHeight="false" hidden="false" ht="15" outlineLevel="0" r="244">
      <c r="A244" s="19" t="n">
        <f aca="false">VLOOKUP(B244,справочник!$B$2:$E$322,4,0)</f>
        <v>297</v>
      </c>
      <c r="B244" s="0" t="e">
        <f aca="false">CONCATENATE(C244;D244)</f>
        <v>#VALUE!</v>
      </c>
      <c r="C244" s="24" t="n">
        <v>312</v>
      </c>
      <c r="D244" s="93" t="s">
        <v>134</v>
      </c>
      <c r="E244" s="24" t="s">
        <v>599</v>
      </c>
      <c r="F244" s="30" t="n">
        <v>42004</v>
      </c>
      <c r="G244" s="30" t="n">
        <v>42005</v>
      </c>
      <c r="H244" s="31" t="n">
        <f aca="false">INT(($H$327-G244)/30)</f>
        <v>12</v>
      </c>
      <c r="I244" s="24" t="n">
        <f aca="false">H244*1000</f>
        <v>12000</v>
      </c>
      <c r="J244" s="31"/>
      <c r="K244" s="31"/>
      <c r="L244" s="59" t="n">
        <f aca="false">I244-J244-K244</f>
        <v>12000</v>
      </c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59" t="n">
        <f aca="false">V244-W244-X244</f>
        <v>0</v>
      </c>
    </row>
    <row collapsed="false" customFormat="false" customHeight="false" hidden="false" ht="25.5" outlineLevel="0" r="245">
      <c r="A245" s="19" t="n">
        <f aca="false">VLOOKUP(B245,справочник!$B$2:$E$322,4,0)</f>
        <v>128</v>
      </c>
      <c r="B245" s="0" t="e">
        <f aca="false">CONCATENATE(C245;D245)</f>
        <v>#VALUE!</v>
      </c>
      <c r="C245" s="24" t="n">
        <v>135</v>
      </c>
      <c r="D245" s="29" t="s">
        <v>186</v>
      </c>
      <c r="E245" s="24" t="s">
        <v>600</v>
      </c>
      <c r="F245" s="30" t="n">
        <v>41358</v>
      </c>
      <c r="G245" s="30" t="n">
        <v>41365</v>
      </c>
      <c r="H245" s="31" t="n">
        <f aca="false">INT(($H$327-G245)/30)</f>
        <v>33</v>
      </c>
      <c r="I245" s="24" t="n">
        <f aca="false">H245*1000</f>
        <v>33000</v>
      </c>
      <c r="J245" s="31" t="n">
        <v>26000</v>
      </c>
      <c r="K245" s="31"/>
      <c r="L245" s="59" t="n">
        <f aca="false">I245-J245-K245</f>
        <v>7000</v>
      </c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59" t="n">
        <f aca="false">V245-W245-X245</f>
        <v>0</v>
      </c>
    </row>
    <row collapsed="false" customFormat="false" customHeight="false" hidden="false" ht="15" outlineLevel="0" r="246">
      <c r="A246" s="19" t="n">
        <f aca="false">VLOOKUP(B246,справочник!$B$2:$E$322,4,0)</f>
        <v>67</v>
      </c>
      <c r="B246" s="0" t="e">
        <f aca="false">CONCATENATE(C246;D246)</f>
        <v>#VALUE!</v>
      </c>
      <c r="C246" s="24" t="n">
        <v>69</v>
      </c>
      <c r="D246" s="93" t="s">
        <v>41</v>
      </c>
      <c r="E246" s="24" t="s">
        <v>601</v>
      </c>
      <c r="F246" s="30" t="n">
        <v>41012</v>
      </c>
      <c r="G246" s="30" t="n">
        <v>41000</v>
      </c>
      <c r="H246" s="31" t="n">
        <f aca="false">INT(($H$327-G246)/30)</f>
        <v>45</v>
      </c>
      <c r="I246" s="24" t="n">
        <f aca="false">H246*1000</f>
        <v>45000</v>
      </c>
      <c r="J246" s="31" t="n">
        <v>1000</v>
      </c>
      <c r="K246" s="31"/>
      <c r="L246" s="59" t="n">
        <f aca="false">I246-J246-K246</f>
        <v>44000</v>
      </c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59" t="n">
        <f aca="false">V246-W246-X246</f>
        <v>0</v>
      </c>
    </row>
    <row collapsed="false" customFormat="false" customHeight="false" hidden="false" ht="15" outlineLevel="0" r="247">
      <c r="A247" s="19" t="n">
        <f aca="false">VLOOKUP(B247,справочник!$B$2:$E$322,4,0)</f>
        <v>278</v>
      </c>
      <c r="B247" s="0" t="e">
        <f aca="false">CONCATENATE(C247;D247)</f>
        <v>#VALUE!</v>
      </c>
      <c r="C247" s="24" t="n">
        <v>290</v>
      </c>
      <c r="D247" s="93" t="s">
        <v>33</v>
      </c>
      <c r="E247" s="24" t="s">
        <v>603</v>
      </c>
      <c r="F247" s="30" t="n">
        <v>40897</v>
      </c>
      <c r="G247" s="30" t="n">
        <v>40878</v>
      </c>
      <c r="H247" s="31" t="n">
        <f aca="false">INT(($H$327-G247)/30)</f>
        <v>49</v>
      </c>
      <c r="I247" s="24" t="n">
        <f aca="false">H247*1000</f>
        <v>49000</v>
      </c>
      <c r="J247" s="31" t="n">
        <v>1000</v>
      </c>
      <c r="K247" s="31"/>
      <c r="L247" s="59" t="n">
        <f aca="false">I247-J247-K247</f>
        <v>48000</v>
      </c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59" t="n">
        <f aca="false">V247-W247-X247</f>
        <v>0</v>
      </c>
    </row>
    <row collapsed="false" customFormat="false" customHeight="false" hidden="false" ht="15" outlineLevel="0" r="248">
      <c r="A248" s="19" t="n">
        <f aca="false">VLOOKUP(B248,справочник!$B$2:$E$322,4,0)</f>
        <v>280</v>
      </c>
      <c r="B248" s="0" t="e">
        <f aca="false">CONCATENATE(C248;D248)</f>
        <v>#VALUE!</v>
      </c>
      <c r="C248" s="24" t="n">
        <v>292</v>
      </c>
      <c r="D248" s="93" t="s">
        <v>176</v>
      </c>
      <c r="E248" s="24" t="s">
        <v>604</v>
      </c>
      <c r="F248" s="30" t="n">
        <v>40897</v>
      </c>
      <c r="G248" s="30" t="n">
        <v>40878</v>
      </c>
      <c r="H248" s="31" t="n">
        <f aca="false">INT(($H$327-G248)/30)</f>
        <v>49</v>
      </c>
      <c r="I248" s="24" t="n">
        <f aca="false">H248*1000</f>
        <v>49000</v>
      </c>
      <c r="J248" s="31" t="n">
        <f aca="false">43000+1000</f>
        <v>44000</v>
      </c>
      <c r="K248" s="31"/>
      <c r="L248" s="59" t="n">
        <f aca="false">I248-J248-K248</f>
        <v>5000</v>
      </c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59" t="n">
        <f aca="false">V248-W248-X248</f>
        <v>0</v>
      </c>
    </row>
    <row collapsed="false" customFormat="false" customHeight="false" hidden="false" ht="15" outlineLevel="0" r="249">
      <c r="A249" s="19" t="n">
        <f aca="false">VLOOKUP(B249,справочник!$B$2:$E$322,4,0)</f>
        <v>215</v>
      </c>
      <c r="B249" s="0" t="e">
        <f aca="false">CONCATENATE(C249;D249)</f>
        <v>#VALUE!</v>
      </c>
      <c r="C249" s="24" t="n">
        <v>224</v>
      </c>
      <c r="D249" s="29" t="s">
        <v>261</v>
      </c>
      <c r="E249" s="24" t="s">
        <v>605</v>
      </c>
      <c r="F249" s="30" t="n">
        <v>41772</v>
      </c>
      <c r="G249" s="30" t="n">
        <v>41791</v>
      </c>
      <c r="H249" s="31" t="n">
        <f aca="false">INT(($H$327-G249)/30)</f>
        <v>19</v>
      </c>
      <c r="I249" s="24" t="n">
        <f aca="false">H249*1000</f>
        <v>19000</v>
      </c>
      <c r="J249" s="31" t="n">
        <v>16000</v>
      </c>
      <c r="K249" s="31"/>
      <c r="L249" s="59" t="n">
        <f aca="false">I249-J249-K249</f>
        <v>3000</v>
      </c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59" t="n">
        <f aca="false">V249-W249-X249</f>
        <v>0</v>
      </c>
    </row>
    <row collapsed="false" customFormat="false" customHeight="false" hidden="false" ht="15" outlineLevel="0" r="250">
      <c r="A250" s="19" t="n">
        <f aca="false">VLOOKUP(B250,справочник!$B$2:$E$322,4,0)</f>
        <v>241</v>
      </c>
      <c r="B250" s="0" t="e">
        <f aca="false">CONCATENATE(C250;D250)</f>
        <v>#VALUE!</v>
      </c>
      <c r="C250" s="24" t="n">
        <v>252</v>
      </c>
      <c r="D250" s="93" t="s">
        <v>208</v>
      </c>
      <c r="E250" s="24" t="s">
        <v>606</v>
      </c>
      <c r="F250" s="30" t="n">
        <v>40677</v>
      </c>
      <c r="G250" s="30" t="n">
        <v>40695</v>
      </c>
      <c r="H250" s="31" t="n">
        <f aca="false">INT(($H$327-G250)/30)</f>
        <v>55</v>
      </c>
      <c r="I250" s="24" t="n">
        <f aca="false">H250*1000</f>
        <v>55000</v>
      </c>
      <c r="J250" s="31" t="n">
        <f aca="false">7000+41000</f>
        <v>48000</v>
      </c>
      <c r="K250" s="31"/>
      <c r="L250" s="59" t="n">
        <f aca="false">I250-J250-K250</f>
        <v>7000</v>
      </c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59" t="n">
        <f aca="false">V250-W250-X250</f>
        <v>0</v>
      </c>
    </row>
    <row collapsed="false" customFormat="false" customHeight="false" hidden="false" ht="15" outlineLevel="0" r="251">
      <c r="A251" s="19" t="n">
        <f aca="false">VLOOKUP(B251,справочник!$B$2:$E$322,4,0)</f>
        <v>161</v>
      </c>
      <c r="B251" s="0" t="e">
        <f aca="false">CONCATENATE(C251;D251)</f>
        <v>#VALUE!</v>
      </c>
      <c r="C251" s="24" t="n">
        <v>169</v>
      </c>
      <c r="D251" s="93" t="s">
        <v>172</v>
      </c>
      <c r="E251" s="24" t="s">
        <v>607</v>
      </c>
      <c r="F251" s="30" t="n">
        <v>41039</v>
      </c>
      <c r="G251" s="30" t="n">
        <v>41030</v>
      </c>
      <c r="H251" s="31" t="n">
        <f aca="false">INT(($H$327-G251)/30)</f>
        <v>44</v>
      </c>
      <c r="I251" s="24" t="n">
        <f aca="false">H251*1000</f>
        <v>44000</v>
      </c>
      <c r="J251" s="31" t="n">
        <v>38000</v>
      </c>
      <c r="K251" s="31"/>
      <c r="L251" s="59" t="n">
        <f aca="false">I251-J251-K251</f>
        <v>6000</v>
      </c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59" t="n">
        <f aca="false">V251-W251-X251</f>
        <v>0</v>
      </c>
    </row>
    <row collapsed="false" customFormat="false" customHeight="false" hidden="false" ht="15" outlineLevel="0" r="252">
      <c r="A252" s="19" t="n">
        <f aca="false">VLOOKUP(B252,справочник!$B$2:$E$322,4,0)</f>
        <v>272</v>
      </c>
      <c r="B252" s="0" t="e">
        <f aca="false">CONCATENATE(C252;D252)</f>
        <v>#VALUE!</v>
      </c>
      <c r="C252" s="24" t="n">
        <v>285</v>
      </c>
      <c r="D252" s="93" t="s">
        <v>177</v>
      </c>
      <c r="E252" s="24" t="s">
        <v>608</v>
      </c>
      <c r="F252" s="30" t="n">
        <v>42044</v>
      </c>
      <c r="G252" s="30" t="n">
        <v>42064</v>
      </c>
      <c r="H252" s="31" t="n">
        <f aca="false">INT(($H$327-G252)/30)</f>
        <v>10</v>
      </c>
      <c r="I252" s="24" t="n">
        <f aca="false">H252*1000</f>
        <v>10000</v>
      </c>
      <c r="J252" s="31" t="n">
        <v>5000</v>
      </c>
      <c r="K252" s="31"/>
      <c r="L252" s="59" t="n">
        <f aca="false">I252-J252-K252</f>
        <v>5000</v>
      </c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59" t="n">
        <f aca="false">V252-W252-X252</f>
        <v>0</v>
      </c>
    </row>
    <row collapsed="false" customFormat="false" customHeight="false" hidden="false" ht="15" outlineLevel="0" r="253">
      <c r="A253" s="19" t="n">
        <f aca="false">VLOOKUP(B253,справочник!$B$2:$E$322,4,0)</f>
        <v>19</v>
      </c>
      <c r="B253" s="0" t="e">
        <f aca="false">CONCATENATE(C253;D253)</f>
        <v>#VALUE!</v>
      </c>
      <c r="C253" s="24" t="n">
        <v>19</v>
      </c>
      <c r="D253" s="29" t="s">
        <v>276</v>
      </c>
      <c r="E253" s="24" t="s">
        <v>609</v>
      </c>
      <c r="F253" s="30" t="n">
        <v>41421</v>
      </c>
      <c r="G253" s="30" t="n">
        <v>41456</v>
      </c>
      <c r="H253" s="31" t="n">
        <f aca="false">INT(($H$327-G253)/30)</f>
        <v>30</v>
      </c>
      <c r="I253" s="24" t="n">
        <f aca="false">H253*1000</f>
        <v>30000</v>
      </c>
      <c r="J253" s="31" t="n">
        <v>30000</v>
      </c>
      <c r="K253" s="31"/>
      <c r="L253" s="59" t="n">
        <f aca="false">I253-J253-K253</f>
        <v>0</v>
      </c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59" t="n">
        <f aca="false">V253-W253-X253</f>
        <v>0</v>
      </c>
    </row>
    <row collapsed="false" customFormat="false" customHeight="true" hidden="false" ht="25.5" outlineLevel="0" r="254">
      <c r="A254" s="19" t="n">
        <f aca="false">VLOOKUP(B254,справочник!$B$2:$E$322,4,0)</f>
        <v>310</v>
      </c>
      <c r="B254" s="0" t="e">
        <f aca="false">CONCATENATE(C254;D254)</f>
        <v>#VALUE!</v>
      </c>
      <c r="C254" s="36" t="s">
        <v>610</v>
      </c>
      <c r="D254" s="93" t="s">
        <v>91</v>
      </c>
      <c r="E254" s="24" t="s">
        <v>611</v>
      </c>
      <c r="F254" s="34" t="n">
        <v>40778</v>
      </c>
      <c r="G254" s="34" t="n">
        <v>40787</v>
      </c>
      <c r="H254" s="35" t="n">
        <f aca="false">INT(($H$327-G254)/30)</f>
        <v>52</v>
      </c>
      <c r="I254" s="36" t="n">
        <f aca="false">H254*1000</f>
        <v>52000</v>
      </c>
      <c r="J254" s="35" t="n">
        <v>12000</v>
      </c>
      <c r="K254" s="35"/>
      <c r="L254" s="66" t="n">
        <f aca="false">I254-J254-K254</f>
        <v>40000</v>
      </c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6" t="n">
        <f aca="false">V254-W254-X254</f>
        <v>0</v>
      </c>
    </row>
    <row collapsed="false" customFormat="false" customHeight="false" hidden="false" ht="15" outlineLevel="0" r="255">
      <c r="A255" s="19" t="n">
        <f aca="false">VLOOKUP(B255,справочник!$B$2:$E$322,4,0)</f>
        <v>205</v>
      </c>
      <c r="B255" s="0" t="e">
        <f aca="false">CONCATENATE(C255;D255)</f>
        <v>#VALUE!</v>
      </c>
      <c r="C255" s="24" t="n">
        <v>215</v>
      </c>
      <c r="D255" s="93" t="s">
        <v>136</v>
      </c>
      <c r="E255" s="24" t="s">
        <v>612</v>
      </c>
      <c r="F255" s="30" t="n">
        <v>41023</v>
      </c>
      <c r="G255" s="30" t="n">
        <v>41000</v>
      </c>
      <c r="H255" s="31" t="n">
        <f aca="false">INT(($H$327-G255)/30)</f>
        <v>45</v>
      </c>
      <c r="I255" s="24" t="n">
        <f aca="false">H255*1000</f>
        <v>45000</v>
      </c>
      <c r="J255" s="31" t="n">
        <v>33000</v>
      </c>
      <c r="K255" s="31"/>
      <c r="L255" s="59" t="n">
        <f aca="false">I255-J255-K255</f>
        <v>12000</v>
      </c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59" t="n">
        <f aca="false">V255-W255-X255</f>
        <v>0</v>
      </c>
    </row>
    <row collapsed="false" customFormat="false" customHeight="true" hidden="false" ht="25.5" outlineLevel="0" r="256">
      <c r="A256" s="19" t="n">
        <f aca="false">VLOOKUP(B256,справочник!$B$2:$E$322,4,0)</f>
        <v>107</v>
      </c>
      <c r="B256" s="0" t="e">
        <f aca="false">CONCATENATE(C256;D256)</f>
        <v>#VALUE!</v>
      </c>
      <c r="C256" s="24" t="n">
        <v>112</v>
      </c>
      <c r="D256" s="29" t="s">
        <v>267</v>
      </c>
      <c r="E256" s="24" t="s">
        <v>613</v>
      </c>
      <c r="F256" s="30" t="n">
        <v>40932</v>
      </c>
      <c r="G256" s="30" t="n">
        <v>40909</v>
      </c>
      <c r="H256" s="31" t="n">
        <f aca="false">INT(($H$327-G256)/30)</f>
        <v>48</v>
      </c>
      <c r="I256" s="24" t="n">
        <f aca="false">H256*1000</f>
        <v>48000</v>
      </c>
      <c r="J256" s="31" t="n">
        <v>40000</v>
      </c>
      <c r="K256" s="31" t="n">
        <v>4000</v>
      </c>
      <c r="L256" s="59" t="n">
        <f aca="false">I256-J256-K256</f>
        <v>4000</v>
      </c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59" t="n">
        <f aca="false">V256-W256-X256</f>
        <v>0</v>
      </c>
    </row>
    <row collapsed="false" customFormat="false" customHeight="false" hidden="false" ht="15" outlineLevel="0" r="257">
      <c r="A257" s="19" t="n">
        <f aca="false">VLOOKUP(B257,справочник!$B$2:$E$322,4,0)</f>
        <v>48</v>
      </c>
      <c r="B257" s="0" t="e">
        <f aca="false">CONCATENATE(C257;D257)</f>
        <v>#VALUE!</v>
      </c>
      <c r="C257" s="24" t="n">
        <v>48</v>
      </c>
      <c r="D257" s="93" t="s">
        <v>65</v>
      </c>
      <c r="E257" s="24" t="s">
        <v>614</v>
      </c>
      <c r="F257" s="30" t="n">
        <v>40786</v>
      </c>
      <c r="G257" s="30" t="n">
        <v>40787</v>
      </c>
      <c r="H257" s="31" t="n">
        <f aca="false">INT(($H$327-G257)/30)</f>
        <v>52</v>
      </c>
      <c r="I257" s="24" t="n">
        <f aca="false">H257*1000</f>
        <v>52000</v>
      </c>
      <c r="J257" s="31" t="n">
        <f aca="false">1000+22000</f>
        <v>23000</v>
      </c>
      <c r="K257" s="31"/>
      <c r="L257" s="59" t="n">
        <f aca="false">I257-J257-K257</f>
        <v>29000</v>
      </c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59" t="n">
        <f aca="false">V257-W257-X257</f>
        <v>0</v>
      </c>
    </row>
    <row collapsed="false" customFormat="false" customHeight="false" hidden="false" ht="15" outlineLevel="0" r="258">
      <c r="A258" s="19" t="n">
        <f aca="false">VLOOKUP(B258,справочник!$B$2:$E$322,4,0)</f>
        <v>237</v>
      </c>
      <c r="B258" s="0" t="e">
        <f aca="false">CONCATENATE(C258;D258)</f>
        <v>#VALUE!</v>
      </c>
      <c r="C258" s="24" t="n">
        <v>248</v>
      </c>
      <c r="D258" s="29" t="s">
        <v>235</v>
      </c>
      <c r="E258" s="24" t="s">
        <v>615</v>
      </c>
      <c r="F258" s="30" t="n">
        <v>41036</v>
      </c>
      <c r="G258" s="30" t="n">
        <v>41030</v>
      </c>
      <c r="H258" s="31" t="n">
        <f aca="false">INT(($H$327-G258)/30)</f>
        <v>44</v>
      </c>
      <c r="I258" s="24" t="n">
        <f aca="false">H258*1000</f>
        <v>44000</v>
      </c>
      <c r="J258" s="31" t="n">
        <v>13000</v>
      </c>
      <c r="K258" s="31"/>
      <c r="L258" s="59" t="n">
        <f aca="false">I258-J258-K258</f>
        <v>31000</v>
      </c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59" t="n">
        <f aca="false">V258-W258-X258</f>
        <v>0</v>
      </c>
    </row>
    <row collapsed="false" customFormat="false" customHeight="false" hidden="false" ht="15" outlineLevel="0" r="259">
      <c r="A259" s="19" t="n">
        <f aca="false">VLOOKUP(B259,справочник!$B$2:$E$322,4,0)</f>
        <v>263</v>
      </c>
      <c r="B259" s="0" t="e">
        <f aca="false">CONCATENATE(C259;D259)</f>
        <v>#VALUE!</v>
      </c>
      <c r="C259" s="24" t="n">
        <v>276</v>
      </c>
      <c r="D259" s="29" t="s">
        <v>223</v>
      </c>
      <c r="E259" s="24" t="s">
        <v>616</v>
      </c>
      <c r="F259" s="30" t="n">
        <v>41289</v>
      </c>
      <c r="G259" s="30" t="n">
        <v>41306</v>
      </c>
      <c r="H259" s="31" t="n">
        <f aca="false">INT(($H$327-G259)/30)</f>
        <v>35</v>
      </c>
      <c r="I259" s="24" t="n">
        <f aca="false">H259*1000</f>
        <v>35000</v>
      </c>
      <c r="J259" s="31" t="n">
        <v>32000</v>
      </c>
      <c r="K259" s="31"/>
      <c r="L259" s="59" t="n">
        <f aca="false">I259-J259-K259</f>
        <v>3000</v>
      </c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59" t="n">
        <f aca="false">V259-W259-X259</f>
        <v>0</v>
      </c>
    </row>
    <row collapsed="false" customFormat="false" customHeight="false" hidden="false" ht="15" outlineLevel="0" r="260">
      <c r="A260" s="19" t="n">
        <f aca="false">VLOOKUP(B260,справочник!$B$2:$E$322,4,0)</f>
        <v>100</v>
      </c>
      <c r="B260" s="0" t="e">
        <f aca="false">CONCATENATE(C260;D260)</f>
        <v>#VALUE!</v>
      </c>
      <c r="C260" s="24" t="n">
        <v>105</v>
      </c>
      <c r="D260" s="93" t="s">
        <v>157</v>
      </c>
      <c r="E260" s="24" t="s">
        <v>617</v>
      </c>
      <c r="F260" s="30" t="n">
        <v>41065</v>
      </c>
      <c r="G260" s="30" t="n">
        <v>41061</v>
      </c>
      <c r="H260" s="31" t="n">
        <f aca="false">INT(($H$327-G260)/30)</f>
        <v>43</v>
      </c>
      <c r="I260" s="24" t="n">
        <f aca="false">H260*1000</f>
        <v>43000</v>
      </c>
      <c r="J260" s="31" t="n">
        <v>28000</v>
      </c>
      <c r="K260" s="31"/>
      <c r="L260" s="59" t="n">
        <f aca="false">I260-J260-K260</f>
        <v>15000</v>
      </c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59" t="n">
        <f aca="false">V260-W260-X260</f>
        <v>0</v>
      </c>
    </row>
    <row collapsed="false" customFormat="false" customHeight="false" hidden="false" ht="15" outlineLevel="0" r="261">
      <c r="A261" s="19" t="n">
        <f aca="false">VLOOKUP(B261,справочник!$B$2:$E$322,4,0)</f>
        <v>131</v>
      </c>
      <c r="B261" s="0" t="e">
        <f aca="false">CONCATENATE(C261;D261)</f>
        <v>#VALUE!</v>
      </c>
      <c r="C261" s="24" t="n">
        <v>138</v>
      </c>
      <c r="D261" s="29" t="s">
        <v>243</v>
      </c>
      <c r="E261" s="24" t="s">
        <v>618</v>
      </c>
      <c r="F261" s="30" t="n">
        <v>41114</v>
      </c>
      <c r="G261" s="30" t="n">
        <v>41122</v>
      </c>
      <c r="H261" s="31" t="n">
        <f aca="false">INT(($H$327-G261)/30)</f>
        <v>41</v>
      </c>
      <c r="I261" s="24" t="n">
        <f aca="false">H261*1000</f>
        <v>41000</v>
      </c>
      <c r="J261" s="31" t="n">
        <v>23000</v>
      </c>
      <c r="K261" s="31" t="n">
        <v>6000</v>
      </c>
      <c r="L261" s="59" t="n">
        <f aca="false">I261-J261-K261</f>
        <v>12000</v>
      </c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59" t="n">
        <f aca="false">V261-W261-X261</f>
        <v>0</v>
      </c>
    </row>
    <row collapsed="false" customFormat="false" customHeight="false" hidden="false" ht="15" outlineLevel="0" r="262">
      <c r="A262" s="19" t="n">
        <f aca="false">VLOOKUP(B262,справочник!$B$2:$E$322,4,0)</f>
        <v>183</v>
      </c>
      <c r="B262" s="0" t="e">
        <f aca="false">CONCATENATE(C262;D262)</f>
        <v>#VALUE!</v>
      </c>
      <c r="C262" s="36" t="n">
        <v>191</v>
      </c>
      <c r="D262" s="93" t="s">
        <v>32</v>
      </c>
      <c r="E262" s="24" t="s">
        <v>619</v>
      </c>
      <c r="F262" s="34" t="n">
        <v>41505</v>
      </c>
      <c r="G262" s="34" t="n">
        <v>41518</v>
      </c>
      <c r="H262" s="35" t="n">
        <f aca="false">INT(($H$327-G262)/30)</f>
        <v>28</v>
      </c>
      <c r="I262" s="36" t="n">
        <f aca="false">H262*1000</f>
        <v>28000</v>
      </c>
      <c r="J262" s="35" t="n">
        <v>1000</v>
      </c>
      <c r="K262" s="35"/>
      <c r="L262" s="66" t="n">
        <f aca="false">I262-J262-K262</f>
        <v>27000</v>
      </c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6" t="n">
        <f aca="false">V262-W262-X262</f>
        <v>0</v>
      </c>
    </row>
    <row collapsed="false" customFormat="false" customHeight="false" hidden="false" ht="15" outlineLevel="0" r="263">
      <c r="A263" s="19" t="n">
        <f aca="false">VLOOKUP(B263,справочник!$B$2:$E$322,4,0)</f>
        <v>183</v>
      </c>
      <c r="B263" s="0" t="e">
        <f aca="false">CONCATENATE(C263;D263)</f>
        <v>#VALUE!</v>
      </c>
      <c r="C263" s="36" t="n">
        <v>192</v>
      </c>
      <c r="D263" s="93" t="s">
        <v>32</v>
      </c>
      <c r="E263" s="24" t="s">
        <v>620</v>
      </c>
      <c r="F263" s="34" t="n">
        <v>41505</v>
      </c>
      <c r="G263" s="34" t="n">
        <v>41518</v>
      </c>
      <c r="H263" s="35" t="n">
        <f aca="false">INT(($H$327-G263)/30)</f>
        <v>28</v>
      </c>
      <c r="I263" s="36" t="n">
        <f aca="false">H263*1000</f>
        <v>28000</v>
      </c>
      <c r="J263" s="35" t="n">
        <v>1000</v>
      </c>
      <c r="K263" s="35"/>
      <c r="L263" s="66" t="n">
        <f aca="false">I263-J263-K263</f>
        <v>27000</v>
      </c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6" t="n">
        <f aca="false">V263-W263-X263</f>
        <v>0</v>
      </c>
    </row>
    <row collapsed="false" customFormat="false" customHeight="true" hidden="false" ht="25.5" outlineLevel="0" r="264">
      <c r="A264" s="19" t="n">
        <f aca="false">VLOOKUP(B264,справочник!$B$2:$E$322,4,0)</f>
        <v>21</v>
      </c>
      <c r="B264" s="0" t="e">
        <f aca="false">CONCATENATE(C264;D264)</f>
        <v>#VALUE!</v>
      </c>
      <c r="C264" s="24" t="n">
        <v>21</v>
      </c>
      <c r="D264" s="93" t="s">
        <v>199</v>
      </c>
      <c r="E264" s="24" t="s">
        <v>621</v>
      </c>
      <c r="F264" s="30" t="n">
        <v>41107</v>
      </c>
      <c r="G264" s="30" t="n">
        <v>41091</v>
      </c>
      <c r="H264" s="31" t="n">
        <f aca="false">INT(($H$327-G264)/30)</f>
        <v>42</v>
      </c>
      <c r="I264" s="24" t="n">
        <f aca="false">H264*1000</f>
        <v>42000</v>
      </c>
      <c r="J264" s="31" t="n">
        <v>40000</v>
      </c>
      <c r="K264" s="31"/>
      <c r="L264" s="59" t="n">
        <f aca="false">I264-J264-K264</f>
        <v>2000</v>
      </c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59" t="n">
        <f aca="false">V264-W264-X264</f>
        <v>0</v>
      </c>
    </row>
    <row collapsed="false" customFormat="false" customHeight="false" hidden="false" ht="15" outlineLevel="0" r="265">
      <c r="A265" s="19" t="n">
        <f aca="false">VLOOKUP(B265,справочник!$B$2:$E$322,4,0)</f>
        <v>298</v>
      </c>
      <c r="B265" s="0" t="e">
        <f aca="false">CONCATENATE(C265;D265)</f>
        <v>#VALUE!</v>
      </c>
      <c r="C265" s="24" t="n">
        <v>313</v>
      </c>
      <c r="D265" s="29" t="s">
        <v>278</v>
      </c>
      <c r="E265" s="24" t="s">
        <v>622</v>
      </c>
      <c r="F265" s="30" t="n">
        <v>41994</v>
      </c>
      <c r="G265" s="30" t="n">
        <v>42005</v>
      </c>
      <c r="H265" s="31" t="n">
        <f aca="false">INT(($H$327-G265)/30)</f>
        <v>12</v>
      </c>
      <c r="I265" s="24" t="n">
        <f aca="false">H265*1000</f>
        <v>12000</v>
      </c>
      <c r="J265" s="31" t="n">
        <v>12000</v>
      </c>
      <c r="K265" s="31"/>
      <c r="L265" s="59" t="n">
        <f aca="false">I265-J265-K265</f>
        <v>0</v>
      </c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59" t="n">
        <f aca="false">V265-W265-X265</f>
        <v>0</v>
      </c>
    </row>
    <row collapsed="false" customFormat="false" customHeight="false" hidden="false" ht="15" outlineLevel="0" r="266">
      <c r="A266" s="19" t="n">
        <f aca="false">VLOOKUP(B266,справочник!$B$2:$E$322,4,0)</f>
        <v>91</v>
      </c>
      <c r="B266" s="0" t="e">
        <f aca="false">CONCATENATE(C266;D266)</f>
        <v>#VALUE!</v>
      </c>
      <c r="C266" s="24" t="n">
        <v>96</v>
      </c>
      <c r="D266" s="93" t="s">
        <v>58</v>
      </c>
      <c r="E266" s="24" t="s">
        <v>623</v>
      </c>
      <c r="F266" s="30" t="n">
        <v>41070</v>
      </c>
      <c r="G266" s="30" t="n">
        <v>41061</v>
      </c>
      <c r="H266" s="31" t="n">
        <f aca="false">INT(($H$327-G266)/30)</f>
        <v>43</v>
      </c>
      <c r="I266" s="24" t="n">
        <f aca="false">H266*1000</f>
        <v>43000</v>
      </c>
      <c r="J266" s="31" t="n">
        <v>12000</v>
      </c>
      <c r="K266" s="31"/>
      <c r="L266" s="59" t="n">
        <f aca="false">I266-J266-K266</f>
        <v>31000</v>
      </c>
      <c r="M266" s="60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59" t="n">
        <f aca="false">V266-W266-X266</f>
        <v>0</v>
      </c>
    </row>
    <row collapsed="false" customFormat="false" customHeight="false" hidden="false" ht="15" outlineLevel="0" r="267">
      <c r="A267" s="19" t="n">
        <f aca="false">VLOOKUP(B267,справочник!$B$2:$E$322,4,0)</f>
        <v>54</v>
      </c>
      <c r="B267" s="0" t="e">
        <f aca="false">CONCATENATE(C267;D267)</f>
        <v>#VALUE!</v>
      </c>
      <c r="C267" s="24" t="n">
        <v>56</v>
      </c>
      <c r="D267" s="29" t="s">
        <v>205</v>
      </c>
      <c r="E267" s="24" t="s">
        <v>625</v>
      </c>
      <c r="F267" s="30" t="n">
        <v>41184</v>
      </c>
      <c r="G267" s="30" t="n">
        <v>41214</v>
      </c>
      <c r="H267" s="31" t="n">
        <f aca="false">INT(($H$327-G267)/30)</f>
        <v>38</v>
      </c>
      <c r="I267" s="24" t="n">
        <f aca="false">H267*1000</f>
        <v>38000</v>
      </c>
      <c r="J267" s="31" t="n">
        <v>38000</v>
      </c>
      <c r="K267" s="31"/>
      <c r="L267" s="59" t="n">
        <f aca="false">I267-J267-K267</f>
        <v>0</v>
      </c>
      <c r="M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59" t="n">
        <f aca="false">V267-W267-X267</f>
        <v>0</v>
      </c>
    </row>
    <row collapsed="false" customFormat="false" customHeight="false" hidden="false" ht="15" outlineLevel="0" r="268">
      <c r="A268" s="19" t="n">
        <f aca="false">VLOOKUP(B268,справочник!$B$2:$E$322,4,0)</f>
        <v>317</v>
      </c>
      <c r="B268" s="0" t="e">
        <f aca="false">CONCATENATE(C268;D268)</f>
        <v>#VALUE!</v>
      </c>
      <c r="C268" s="24" t="s">
        <v>624</v>
      </c>
      <c r="D268" s="29" t="s">
        <v>205</v>
      </c>
      <c r="E268" s="24" t="s">
        <v>626</v>
      </c>
      <c r="F268" s="30" t="n">
        <v>41184</v>
      </c>
      <c r="G268" s="30" t="n">
        <v>41214</v>
      </c>
      <c r="H268" s="31" t="n">
        <f aca="false">INT(($H$327-G268)/30)*2</f>
        <v>76</v>
      </c>
      <c r="I268" s="24" t="n">
        <v>89000</v>
      </c>
      <c r="J268" s="31" t="n">
        <v>89000</v>
      </c>
      <c r="K268" s="31"/>
      <c r="L268" s="59" t="n">
        <f aca="false">I268-J268-K268</f>
        <v>0</v>
      </c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59" t="n">
        <f aca="false">V268-W268-X268</f>
        <v>0</v>
      </c>
    </row>
    <row collapsed="false" customFormat="false" customHeight="false" hidden="false" ht="15" outlineLevel="0" r="269">
      <c r="A269" s="19" t="n">
        <f aca="false">VLOOKUP(B269,справочник!$B$2:$E$322,4,0)</f>
        <v>268</v>
      </c>
      <c r="B269" s="0" t="e">
        <f aca="false">CONCATENATE(C269;D269)</f>
        <v>#VALUE!</v>
      </c>
      <c r="C269" s="24" t="n">
        <v>281</v>
      </c>
      <c r="D269" s="93" t="s">
        <v>200</v>
      </c>
      <c r="E269" s="24" t="s">
        <v>627</v>
      </c>
      <c r="F269" s="30" t="n">
        <v>41184</v>
      </c>
      <c r="G269" s="30" t="n">
        <v>41214</v>
      </c>
      <c r="H269" s="31" t="n">
        <f aca="false">INT(($H$327-G269)/30)</f>
        <v>38</v>
      </c>
      <c r="I269" s="24" t="n">
        <f aca="false">H269*1000</f>
        <v>38000</v>
      </c>
      <c r="J269" s="31" t="n">
        <v>28000</v>
      </c>
      <c r="K269" s="31"/>
      <c r="L269" s="59" t="n">
        <f aca="false">I269-J269-K269</f>
        <v>10000</v>
      </c>
      <c r="M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59" t="n">
        <f aca="false">V269-W269-X269</f>
        <v>0</v>
      </c>
    </row>
    <row collapsed="false" customFormat="false" customHeight="false" hidden="false" ht="15" outlineLevel="0" r="270">
      <c r="A270" s="19" t="n">
        <f aca="false">VLOOKUP(B270,справочник!$B$2:$E$322,4,0)</f>
        <v>172</v>
      </c>
      <c r="B270" s="0" t="e">
        <f aca="false">CONCATENATE(C270;D270)</f>
        <v>#VALUE!</v>
      </c>
      <c r="C270" s="24" t="n">
        <v>180</v>
      </c>
      <c r="D270" s="93" t="s">
        <v>47</v>
      </c>
      <c r="E270" s="24" t="s">
        <v>628</v>
      </c>
      <c r="F270" s="30" t="n">
        <v>40809</v>
      </c>
      <c r="G270" s="30" t="n">
        <v>40787</v>
      </c>
      <c r="H270" s="31" t="n">
        <f aca="false">INT(($H$327-G270)/30)</f>
        <v>52</v>
      </c>
      <c r="I270" s="24" t="n">
        <f aca="false">H270*1000</f>
        <v>52000</v>
      </c>
      <c r="J270" s="31" t="n">
        <f aca="false">13000+1000</f>
        <v>14000</v>
      </c>
      <c r="K270" s="31"/>
      <c r="L270" s="59" t="n">
        <f aca="false">I270-J270-K270</f>
        <v>38000</v>
      </c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59" t="n">
        <f aca="false">V270-W270-X270</f>
        <v>0</v>
      </c>
    </row>
    <row collapsed="false" customFormat="false" customHeight="false" hidden="false" ht="15" outlineLevel="0" r="271">
      <c r="A271" s="19" t="n">
        <f aca="false">VLOOKUP(B271,справочник!$B$2:$E$322,4,0)</f>
        <v>116</v>
      </c>
      <c r="B271" s="0" t="e">
        <f aca="false">CONCATENATE(C271;D271)</f>
        <v>#VALUE!</v>
      </c>
      <c r="C271" s="24" t="n">
        <v>121</v>
      </c>
      <c r="D271" s="29" t="s">
        <v>237</v>
      </c>
      <c r="E271" s="24" t="s">
        <v>629</v>
      </c>
      <c r="F271" s="30" t="n">
        <v>41531</v>
      </c>
      <c r="G271" s="30" t="n">
        <v>41518</v>
      </c>
      <c r="H271" s="31" t="n">
        <f aca="false">INT(($H$327-G271)/30)</f>
        <v>28</v>
      </c>
      <c r="I271" s="24" t="n">
        <f aca="false">H271*1000</f>
        <v>28000</v>
      </c>
      <c r="J271" s="31" t="n">
        <v>20000</v>
      </c>
      <c r="K271" s="31"/>
      <c r="L271" s="59" t="n">
        <f aca="false">I271-J271-K271</f>
        <v>8000</v>
      </c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59" t="n">
        <f aca="false">V271-W271-X271</f>
        <v>0</v>
      </c>
    </row>
    <row collapsed="false" customFormat="false" customHeight="false" hidden="false" ht="15" outlineLevel="0" r="272">
      <c r="A272" s="19" t="n">
        <f aca="false">VLOOKUP(B272,справочник!$B$2:$E$322,4,0)</f>
        <v>57</v>
      </c>
      <c r="B272" s="0" t="e">
        <f aca="false">CONCATENATE(C272;D272)</f>
        <v>#VALUE!</v>
      </c>
      <c r="C272" s="24" t="n">
        <v>59</v>
      </c>
      <c r="D272" s="93" t="s">
        <v>153</v>
      </c>
      <c r="E272" s="24" t="s">
        <v>630</v>
      </c>
      <c r="F272" s="30" t="n">
        <v>41044</v>
      </c>
      <c r="G272" s="30" t="n">
        <v>41030</v>
      </c>
      <c r="H272" s="31" t="n">
        <f aca="false">INT(($H$327-G272)/30)</f>
        <v>44</v>
      </c>
      <c r="I272" s="24" t="n">
        <f aca="false">H272*1000</f>
        <v>44000</v>
      </c>
      <c r="J272" s="31" t="n">
        <v>34000</v>
      </c>
      <c r="K272" s="31"/>
      <c r="L272" s="59" t="n">
        <f aca="false">I272-J272-K272</f>
        <v>10000</v>
      </c>
      <c r="M272" s="60"/>
      <c r="N272" s="60"/>
      <c r="O272" s="60"/>
      <c r="P272" s="60"/>
      <c r="Q272" s="60"/>
      <c r="R272" s="60"/>
      <c r="S272" s="60"/>
      <c r="T272" s="60"/>
      <c r="U272" s="60"/>
      <c r="V272" s="60"/>
      <c r="W272" s="60"/>
      <c r="X272" s="60"/>
      <c r="Y272" s="59" t="n">
        <f aca="false">V272-W272-X272</f>
        <v>0</v>
      </c>
    </row>
    <row collapsed="false" customFormat="false" customHeight="false" hidden="false" ht="15" outlineLevel="0" r="273">
      <c r="A273" s="19" t="n">
        <f aca="false">VLOOKUP(B273,справочник!$B$2:$E$322,4,0)</f>
        <v>46</v>
      </c>
      <c r="B273" s="0" t="e">
        <f aca="false">CONCATENATE(C273;D273)</f>
        <v>#VALUE!</v>
      </c>
      <c r="C273" s="24" t="n">
        <v>46</v>
      </c>
      <c r="D273" s="93" t="s">
        <v>121</v>
      </c>
      <c r="E273" s="24" t="s">
        <v>631</v>
      </c>
      <c r="F273" s="30" t="n">
        <v>41382</v>
      </c>
      <c r="G273" s="30" t="n">
        <v>41395</v>
      </c>
      <c r="H273" s="31" t="n">
        <f aca="false">INT(($H$327-G273)/30)</f>
        <v>32</v>
      </c>
      <c r="I273" s="24" t="n">
        <f aca="false">H273*1000</f>
        <v>32000</v>
      </c>
      <c r="J273" s="31" t="n">
        <v>17000</v>
      </c>
      <c r="K273" s="31"/>
      <c r="L273" s="59" t="n">
        <f aca="false">I273-J273-K273</f>
        <v>15000</v>
      </c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59" t="n">
        <f aca="false">V273-W273-X273</f>
        <v>0</v>
      </c>
    </row>
    <row collapsed="false" customFormat="false" customHeight="false" hidden="false" ht="15" outlineLevel="0" r="274">
      <c r="A274" s="19" t="n">
        <f aca="false">VLOOKUP(B274,справочник!$B$2:$E$322,4,0)</f>
        <v>73</v>
      </c>
      <c r="B274" s="0" t="e">
        <f aca="false">CONCATENATE(C274;D274)</f>
        <v>#VALUE!</v>
      </c>
      <c r="C274" s="24" t="n">
        <v>79</v>
      </c>
      <c r="D274" s="93" t="s">
        <v>148</v>
      </c>
      <c r="E274" s="24" t="s">
        <v>632</v>
      </c>
      <c r="F274" s="30" t="n">
        <v>41382</v>
      </c>
      <c r="G274" s="30" t="n">
        <v>41395</v>
      </c>
      <c r="H274" s="31" t="n">
        <f aca="false">INT(($H$327-G274)/30)</f>
        <v>32</v>
      </c>
      <c r="I274" s="24" t="n">
        <f aca="false">H274*1000</f>
        <v>32000</v>
      </c>
      <c r="J274" s="31" t="n">
        <v>21000</v>
      </c>
      <c r="K274" s="31"/>
      <c r="L274" s="59" t="n">
        <f aca="false">I274-J274-K274</f>
        <v>11000</v>
      </c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59" t="n">
        <f aca="false">V274-W274-X274</f>
        <v>0</v>
      </c>
    </row>
    <row collapsed="false" customFormat="false" customHeight="false" hidden="false" ht="15" outlineLevel="0" r="275">
      <c r="A275" s="19" t="n">
        <f aca="false">VLOOKUP(B275,справочник!$B$2:$E$322,4,0)</f>
        <v>162</v>
      </c>
      <c r="B275" s="0" t="e">
        <f aca="false">CONCATENATE(C275;D275)</f>
        <v>#VALUE!</v>
      </c>
      <c r="C275" s="24" t="n">
        <v>170</v>
      </c>
      <c r="D275" s="29" t="s">
        <v>306</v>
      </c>
      <c r="E275" s="24" t="s">
        <v>633</v>
      </c>
      <c r="F275" s="30" t="n">
        <v>41800</v>
      </c>
      <c r="G275" s="30" t="n">
        <v>41821</v>
      </c>
      <c r="H275" s="31" t="n">
        <f aca="false">INT(($H$327-G275)/30)</f>
        <v>18</v>
      </c>
      <c r="I275" s="24" t="n">
        <f aca="false">H275*1000</f>
        <v>18000</v>
      </c>
      <c r="J275" s="31" t="n">
        <v>12000</v>
      </c>
      <c r="K275" s="31"/>
      <c r="L275" s="59" t="n">
        <f aca="false">I275-J275-K275</f>
        <v>6000</v>
      </c>
      <c r="M275" s="60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59" t="n">
        <f aca="false">V275-W275-X275</f>
        <v>0</v>
      </c>
    </row>
    <row collapsed="false" customFormat="false" customHeight="false" hidden="false" ht="15" outlineLevel="0" r="276">
      <c r="A276" s="19" t="n">
        <f aca="false">VLOOKUP(B276,справочник!$B$2:$E$322,4,0)</f>
        <v>252</v>
      </c>
      <c r="B276" s="0" t="e">
        <f aca="false">CONCATENATE(C276;D276)</f>
        <v>#VALUE!</v>
      </c>
      <c r="C276" s="36" t="n">
        <v>263</v>
      </c>
      <c r="D276" s="93" t="s">
        <v>171</v>
      </c>
      <c r="E276" s="24" t="s">
        <v>634</v>
      </c>
      <c r="F276" s="34" t="n">
        <v>41967</v>
      </c>
      <c r="G276" s="34" t="n">
        <v>41974</v>
      </c>
      <c r="H276" s="35" t="n">
        <f aca="false">INT(($H$327-G276)/30)</f>
        <v>13</v>
      </c>
      <c r="I276" s="36" t="n">
        <f aca="false">H276*1000</f>
        <v>13000</v>
      </c>
      <c r="J276" s="35" t="n">
        <v>8000</v>
      </c>
      <c r="K276" s="35"/>
      <c r="L276" s="66" t="n">
        <f aca="false">I276-J276-K276</f>
        <v>5000</v>
      </c>
      <c r="M276" s="60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6" t="n">
        <f aca="false">V276-W276-X276</f>
        <v>0</v>
      </c>
    </row>
    <row collapsed="false" customFormat="false" customHeight="false" hidden="false" ht="15" outlineLevel="0" r="277">
      <c r="A277" s="19" t="n">
        <f aca="false">VLOOKUP(B277,справочник!$B$2:$E$322,4,0)</f>
        <v>252</v>
      </c>
      <c r="B277" s="0" t="e">
        <f aca="false">CONCATENATE(C277;D277)</f>
        <v>#VALUE!</v>
      </c>
      <c r="C277" s="36" t="n">
        <v>264</v>
      </c>
      <c r="D277" s="93" t="s">
        <v>171</v>
      </c>
      <c r="E277" s="24" t="s">
        <v>635</v>
      </c>
      <c r="F277" s="34" t="n">
        <v>41967</v>
      </c>
      <c r="G277" s="34" t="n">
        <v>41974</v>
      </c>
      <c r="H277" s="35" t="n">
        <f aca="false">INT(($H$327-G277)/30)</f>
        <v>13</v>
      </c>
      <c r="I277" s="36" t="n">
        <f aca="false">H277*1000</f>
        <v>13000</v>
      </c>
      <c r="J277" s="35" t="n">
        <v>8000</v>
      </c>
      <c r="K277" s="35"/>
      <c r="L277" s="66" t="n">
        <f aca="false">I277-J277-K277</f>
        <v>5000</v>
      </c>
      <c r="M277" s="60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6" t="n">
        <f aca="false">V277-W277-X277</f>
        <v>0</v>
      </c>
    </row>
    <row collapsed="false" customFormat="false" customHeight="true" hidden="false" ht="25.5" outlineLevel="0" r="278">
      <c r="A278" s="19" t="n">
        <f aca="false">VLOOKUP(B278,справочник!$B$2:$E$322,4,0)</f>
        <v>45</v>
      </c>
      <c r="B278" s="0" t="e">
        <f aca="false">CONCATENATE(C278;D278)</f>
        <v>#VALUE!</v>
      </c>
      <c r="C278" s="24" t="n">
        <v>45</v>
      </c>
      <c r="D278" s="29" t="s">
        <v>289</v>
      </c>
      <c r="E278" s="24" t="s">
        <v>636</v>
      </c>
      <c r="F278" s="30" t="n">
        <v>41044</v>
      </c>
      <c r="G278" s="30" t="n">
        <v>41030</v>
      </c>
      <c r="H278" s="31" t="n">
        <f aca="false">INT(($H$327-G278)/30)</f>
        <v>44</v>
      </c>
      <c r="I278" s="24" t="n">
        <f aca="false">H278*1000</f>
        <v>44000</v>
      </c>
      <c r="J278" s="31" t="n">
        <f aca="false">27000+8000</f>
        <v>35000</v>
      </c>
      <c r="K278" s="31" t="n">
        <v>9000</v>
      </c>
      <c r="L278" s="59" t="n">
        <f aca="false">I278-J278-K278</f>
        <v>0</v>
      </c>
      <c r="M278" s="60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59" t="n">
        <f aca="false">V278-W278-X278</f>
        <v>0</v>
      </c>
    </row>
    <row collapsed="false" customFormat="false" customHeight="false" hidden="false" ht="15" outlineLevel="0" r="279">
      <c r="A279" s="19" t="n">
        <f aca="false">VLOOKUP(B279,справочник!$B$2:$E$322,4,0)</f>
        <v>319</v>
      </c>
      <c r="B279" s="0" t="e">
        <f aca="false">CONCATENATE(C279;D279)</f>
        <v>#VALUE!</v>
      </c>
      <c r="C279" s="24" t="s">
        <v>637</v>
      </c>
      <c r="D279" s="29" t="s">
        <v>318</v>
      </c>
      <c r="E279" s="24" t="s">
        <v>638</v>
      </c>
      <c r="F279" s="30" t="n">
        <v>40774</v>
      </c>
      <c r="G279" s="30" t="n">
        <v>40787</v>
      </c>
      <c r="H279" s="31" t="n">
        <f aca="false">INT(($H$327-G279)/30)</f>
        <v>52</v>
      </c>
      <c r="I279" s="24" t="n">
        <v>76000</v>
      </c>
      <c r="J279" s="31" t="n">
        <f aca="false">8000+68000</f>
        <v>76000</v>
      </c>
      <c r="K279" s="31"/>
      <c r="L279" s="59" t="n">
        <f aca="false">I279-J279-K279</f>
        <v>0</v>
      </c>
      <c r="M279" s="60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59" t="n">
        <f aca="false">V279-W279-X279</f>
        <v>0</v>
      </c>
    </row>
    <row collapsed="false" customFormat="false" customHeight="false" hidden="false" ht="15" outlineLevel="0" r="280">
      <c r="A280" s="19" t="n">
        <f aca="false">VLOOKUP(B280,справочник!$B$2:$E$322,4,0)</f>
        <v>93</v>
      </c>
      <c r="B280" s="0" t="e">
        <f aca="false">CONCATENATE(C280;D280)</f>
        <v>#VALUE!</v>
      </c>
      <c r="C280" s="24" t="n">
        <v>98</v>
      </c>
      <c r="D280" s="93" t="s">
        <v>107</v>
      </c>
      <c r="E280" s="24" t="s">
        <v>639</v>
      </c>
      <c r="F280" s="30" t="n">
        <v>40774</v>
      </c>
      <c r="G280" s="30" t="n">
        <v>40787</v>
      </c>
      <c r="H280" s="31" t="n">
        <f aca="false">INT(($H$327-G280)/30)</f>
        <v>52</v>
      </c>
      <c r="I280" s="24" t="n">
        <f aca="false">H280*1000</f>
        <v>52000</v>
      </c>
      <c r="J280" s="31" t="n">
        <f aca="false">4000+30000</f>
        <v>34000</v>
      </c>
      <c r="K280" s="31"/>
      <c r="L280" s="59" t="n">
        <f aca="false">I280-J280-K280</f>
        <v>18000</v>
      </c>
      <c r="M280" s="60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59" t="n">
        <f aca="false">V280-W280-X280</f>
        <v>0</v>
      </c>
    </row>
    <row collapsed="false" customFormat="false" customHeight="false" hidden="false" ht="15" outlineLevel="0" r="281">
      <c r="A281" s="19" t="n">
        <f aca="false">VLOOKUP(B281,справочник!$B$2:$E$322,4,0)</f>
        <v>255</v>
      </c>
      <c r="B281" s="0" t="e">
        <f aca="false">CONCATENATE(C281;D281)</f>
        <v>#VALUE!</v>
      </c>
      <c r="C281" s="24" t="n">
        <v>268</v>
      </c>
      <c r="D281" s="29" t="s">
        <v>308</v>
      </c>
      <c r="E281" s="24" t="s">
        <v>640</v>
      </c>
      <c r="F281" s="30" t="n">
        <v>40959</v>
      </c>
      <c r="G281" s="30" t="n">
        <v>40969</v>
      </c>
      <c r="H281" s="31" t="n">
        <f aca="false">INT(($H$327-G281)/30)</f>
        <v>46</v>
      </c>
      <c r="I281" s="24" t="n">
        <f aca="false">H281*1000</f>
        <v>46000</v>
      </c>
      <c r="J281" s="31" t="n">
        <f aca="false">37000+9000</f>
        <v>46000</v>
      </c>
      <c r="K281" s="31"/>
      <c r="L281" s="59" t="n">
        <f aca="false">I281-J281-K281</f>
        <v>0</v>
      </c>
      <c r="M281" s="60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59" t="n">
        <f aca="false">V281-W281-X281</f>
        <v>0</v>
      </c>
    </row>
    <row collapsed="false" customFormat="false" customHeight="false" hidden="false" ht="15" outlineLevel="0" r="282">
      <c r="A282" s="19" t="n">
        <f aca="false">VLOOKUP(B282,справочник!$B$2:$E$322,4,0)</f>
        <v>167</v>
      </c>
      <c r="B282" s="0" t="e">
        <f aca="false">CONCATENATE(C282;D282)</f>
        <v>#VALUE!</v>
      </c>
      <c r="C282" s="24" t="n">
        <v>175</v>
      </c>
      <c r="D282" s="93" t="s">
        <v>137</v>
      </c>
      <c r="E282" s="24" t="s">
        <v>641</v>
      </c>
      <c r="F282" s="30" t="n">
        <v>41613</v>
      </c>
      <c r="G282" s="30" t="n">
        <v>41640</v>
      </c>
      <c r="H282" s="31" t="n">
        <f aca="false">INT(($H$327-G282)/30)</f>
        <v>24</v>
      </c>
      <c r="I282" s="24" t="n">
        <f aca="false">H282*1000</f>
        <v>24000</v>
      </c>
      <c r="J282" s="31" t="n">
        <v>12000</v>
      </c>
      <c r="K282" s="31"/>
      <c r="L282" s="59" t="n">
        <f aca="false">I282-J282-K282</f>
        <v>12000</v>
      </c>
      <c r="M282" s="60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59" t="n">
        <f aca="false">V282-W282-X282</f>
        <v>0</v>
      </c>
    </row>
    <row collapsed="false" customFormat="false" customHeight="true" hidden="false" ht="25.5" outlineLevel="0" r="283">
      <c r="A283" s="19" t="n">
        <f aca="false">VLOOKUP(B283,справочник!$B$2:$E$322,4,0)</f>
        <v>99</v>
      </c>
      <c r="B283" s="0" t="e">
        <f aca="false">CONCATENATE(C283;D283)</f>
        <v>#VALUE!</v>
      </c>
      <c r="C283" s="24" t="n">
        <v>104</v>
      </c>
      <c r="D283" s="93" t="s">
        <v>64</v>
      </c>
      <c r="E283" s="24" t="s">
        <v>642</v>
      </c>
      <c r="F283" s="30" t="n">
        <v>41104</v>
      </c>
      <c r="G283" s="30" t="n">
        <v>41091</v>
      </c>
      <c r="H283" s="31" t="n">
        <f aca="false">INT(($H$327-G283)/30)</f>
        <v>42</v>
      </c>
      <c r="I283" s="24" t="n">
        <f aca="false">H283*1000</f>
        <v>42000</v>
      </c>
      <c r="J283" s="31" t="n">
        <v>13000</v>
      </c>
      <c r="K283" s="31"/>
      <c r="L283" s="59" t="n">
        <f aca="false">I283-J283-K283</f>
        <v>29000</v>
      </c>
      <c r="M283" s="60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59" t="n">
        <f aca="false">V283-W283-X283</f>
        <v>0</v>
      </c>
    </row>
    <row collapsed="false" customFormat="false" customHeight="false" hidden="false" ht="15" outlineLevel="0" r="284">
      <c r="A284" s="19" t="n">
        <f aca="false">VLOOKUP(B284,справочник!$B$2:$E$322,4,0)</f>
        <v>146</v>
      </c>
      <c r="B284" s="0" t="e">
        <f aca="false">CONCATENATE(C284;D284)</f>
        <v>#VALUE!</v>
      </c>
      <c r="C284" s="24" t="n">
        <v>154</v>
      </c>
      <c r="D284" s="93" t="s">
        <v>265</v>
      </c>
      <c r="E284" s="24" t="s">
        <v>643</v>
      </c>
      <c r="F284" s="30" t="n">
        <v>40757</v>
      </c>
      <c r="G284" s="30" t="n">
        <v>40756</v>
      </c>
      <c r="H284" s="31" t="n">
        <f aca="false">INT(($H$327-G284)/30)</f>
        <v>53</v>
      </c>
      <c r="I284" s="24" t="n">
        <f aca="false">H284*1000</f>
        <v>53000</v>
      </c>
      <c r="J284" s="31" t="n">
        <f aca="false">31000</f>
        <v>31000</v>
      </c>
      <c r="K284" s="31"/>
      <c r="L284" s="59" t="n">
        <f aca="false">I284-J284-K284</f>
        <v>22000</v>
      </c>
      <c r="M284" s="60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59" t="n">
        <f aca="false">V284-W284-X284</f>
        <v>0</v>
      </c>
    </row>
    <row collapsed="false" customFormat="false" customHeight="false" hidden="false" ht="15" outlineLevel="0" r="285">
      <c r="A285" s="19" t="e">
        <f aca="false">VLOOKUP(B285,справочник!$B$2:$E$322,4,0)</f>
        <v>#VALUE!</v>
      </c>
      <c r="B285" s="0" t="e">
        <f aca="false">CONCATENATE(C285;D285)</f>
        <v>#VALUE!</v>
      </c>
      <c r="C285" s="24" t="n">
        <v>29</v>
      </c>
      <c r="D285" s="29" t="s">
        <v>275</v>
      </c>
      <c r="E285" s="24"/>
      <c r="F285" s="30" t="n">
        <v>41130</v>
      </c>
      <c r="G285" s="30" t="n">
        <v>41122</v>
      </c>
      <c r="H285" s="31" t="n">
        <f aca="false">INT(($H$327-G285)/30)</f>
        <v>41</v>
      </c>
      <c r="I285" s="24" t="n">
        <f aca="false">H285*1000</f>
        <v>41000</v>
      </c>
      <c r="J285" s="31" t="n">
        <v>32000</v>
      </c>
      <c r="K285" s="31"/>
      <c r="L285" s="59" t="n">
        <f aca="false">I285-J285-K285</f>
        <v>9000</v>
      </c>
      <c r="M285" s="60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59" t="n">
        <f aca="false">V285-W285-X285</f>
        <v>0</v>
      </c>
    </row>
    <row collapsed="false" customFormat="false" customHeight="false" hidden="false" ht="15" outlineLevel="0" r="286">
      <c r="A286" s="19" t="n">
        <f aca="false">VLOOKUP(B286,справочник!$B$2:$E$322,4,0)</f>
        <v>28</v>
      </c>
      <c r="B286" s="0" t="e">
        <f aca="false">CONCATENATE(C286;D286)</f>
        <v>#VALUE!</v>
      </c>
      <c r="C286" s="24" t="n">
        <v>28</v>
      </c>
      <c r="D286" s="29" t="s">
        <v>254</v>
      </c>
      <c r="E286" s="24" t="s">
        <v>645</v>
      </c>
      <c r="F286" s="30" t="n">
        <v>41039</v>
      </c>
      <c r="G286" s="30" t="n">
        <v>41030</v>
      </c>
      <c r="H286" s="31" t="n">
        <f aca="false">INT(($H$327-G286)/30)</f>
        <v>44</v>
      </c>
      <c r="I286" s="24" t="n">
        <f aca="false">H286*1000</f>
        <v>44000</v>
      </c>
      <c r="J286" s="31" t="n">
        <f aca="false">33000+8000</f>
        <v>41000</v>
      </c>
      <c r="K286" s="31"/>
      <c r="L286" s="59" t="n">
        <f aca="false">I286-J286-K286</f>
        <v>3000</v>
      </c>
      <c r="M286" s="60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59" t="n">
        <f aca="false">V286-W286-X286</f>
        <v>0</v>
      </c>
    </row>
    <row collapsed="false" customFormat="false" customHeight="false" hidden="false" ht="15" outlineLevel="0" r="287">
      <c r="A287" s="19" t="n">
        <f aca="false">VLOOKUP(B287,справочник!$B$2:$E$322,4,0)</f>
        <v>27</v>
      </c>
      <c r="B287" s="0" t="e">
        <f aca="false">CONCATENATE(C287;D287)</f>
        <v>#VALUE!</v>
      </c>
      <c r="C287" s="24" t="n">
        <v>27</v>
      </c>
      <c r="D287" s="93" t="s">
        <v>141</v>
      </c>
      <c r="E287" s="24" t="s">
        <v>646</v>
      </c>
      <c r="F287" s="30" t="n">
        <v>41260</v>
      </c>
      <c r="G287" s="30" t="n">
        <v>41275</v>
      </c>
      <c r="H287" s="31" t="n">
        <f aca="false">INT(($H$327-G287)/30)</f>
        <v>36</v>
      </c>
      <c r="I287" s="24" t="n">
        <f aca="false">H287*1000</f>
        <v>36000</v>
      </c>
      <c r="J287" s="31" t="n">
        <v>24000</v>
      </c>
      <c r="K287" s="31"/>
      <c r="L287" s="59" t="n">
        <f aca="false">I287-J287-K287</f>
        <v>12000</v>
      </c>
      <c r="M287" s="60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59" t="n">
        <f aca="false">V287-W287-X287</f>
        <v>0</v>
      </c>
    </row>
    <row collapsed="false" customFormat="false" customHeight="false" hidden="false" ht="15" outlineLevel="0" r="288">
      <c r="A288" s="19" t="n">
        <f aca="false">VLOOKUP(B288,справочник!$B$2:$E$322,4,0)</f>
        <v>135</v>
      </c>
      <c r="B288" s="0" t="e">
        <f aca="false">CONCATENATE(C288;D288)</f>
        <v>#VALUE!</v>
      </c>
      <c r="C288" s="94" t="n">
        <v>142</v>
      </c>
      <c r="D288" s="93" t="s">
        <v>60</v>
      </c>
      <c r="E288" s="24" t="s">
        <v>648</v>
      </c>
      <c r="F288" s="34" t="n">
        <v>40834</v>
      </c>
      <c r="G288" s="34" t="n">
        <v>40817</v>
      </c>
      <c r="H288" s="35" t="n">
        <v>11</v>
      </c>
      <c r="I288" s="36" t="n">
        <f aca="false">H288*1000</f>
        <v>11000</v>
      </c>
      <c r="J288" s="35" t="n">
        <v>1000</v>
      </c>
      <c r="K288" s="35"/>
      <c r="L288" s="66" t="n">
        <f aca="false">I288-J288-K288</f>
        <v>10000</v>
      </c>
      <c r="M288" s="60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6" t="n">
        <f aca="false">V288-W288-X288</f>
        <v>0</v>
      </c>
    </row>
    <row collapsed="false" customFormat="false" customHeight="false" hidden="false" ht="15" outlineLevel="0" r="289">
      <c r="A289" s="19" t="n">
        <f aca="false">VLOOKUP(B289,справочник!$B$2:$E$322,4,0)</f>
        <v>135</v>
      </c>
      <c r="B289" s="0" t="e">
        <f aca="false">CONCATENATE(C289;D289)</f>
        <v>#VALUE!</v>
      </c>
      <c r="C289" s="94" t="n">
        <v>143</v>
      </c>
      <c r="D289" s="93" t="s">
        <v>60</v>
      </c>
      <c r="E289" s="24"/>
      <c r="F289" s="34" t="n">
        <v>40834</v>
      </c>
      <c r="G289" s="34" t="n">
        <v>40817</v>
      </c>
      <c r="H289" s="35" t="n">
        <v>11</v>
      </c>
      <c r="I289" s="36" t="n">
        <f aca="false">H289*1000</f>
        <v>11000</v>
      </c>
      <c r="J289" s="35" t="n">
        <v>1000</v>
      </c>
      <c r="K289" s="35"/>
      <c r="L289" s="66" t="n">
        <f aca="false">I289-J289-K289</f>
        <v>10000</v>
      </c>
      <c r="M289" s="60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6" t="n">
        <f aca="false">V289-W289-X289</f>
        <v>0</v>
      </c>
    </row>
    <row collapsed="false" customFormat="false" customHeight="false" hidden="false" ht="15" outlineLevel="0" r="290">
      <c r="A290" s="19" t="n">
        <f aca="false">VLOOKUP(B290,справочник!$B$2:$E$322,4,0)</f>
        <v>135</v>
      </c>
      <c r="B290" s="0" t="e">
        <f aca="false">CONCATENATE(C290;D290)</f>
        <v>#VALUE!</v>
      </c>
      <c r="C290" s="94" t="s">
        <v>647</v>
      </c>
      <c r="D290" s="93" t="s">
        <v>60</v>
      </c>
      <c r="E290" s="24"/>
      <c r="F290" s="34" t="n">
        <v>41183</v>
      </c>
      <c r="G290" s="34" t="n">
        <v>41183</v>
      </c>
      <c r="H290" s="35" t="n">
        <f aca="false">INT(($H$327-G290)/30)</f>
        <v>39</v>
      </c>
      <c r="I290" s="36" t="n">
        <f aca="false">H290*1000</f>
        <v>39000</v>
      </c>
      <c r="J290" s="35"/>
      <c r="K290" s="35"/>
      <c r="L290" s="66" t="n">
        <f aca="false">I290-J290-K290</f>
        <v>39000</v>
      </c>
      <c r="M290" s="60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6" t="n">
        <f aca="false">V290-W290-X290</f>
        <v>0</v>
      </c>
    </row>
    <row collapsed="false" customFormat="false" customHeight="false" hidden="false" ht="15" outlineLevel="0" r="291">
      <c r="A291" s="19" t="n">
        <f aca="false">VLOOKUP(B291,справочник!$B$2:$E$322,4,0)</f>
        <v>59</v>
      </c>
      <c r="B291" s="0" t="e">
        <f aca="false">CONCATENATE(C291;D291)</f>
        <v>#VALUE!</v>
      </c>
      <c r="C291" s="24" t="n">
        <v>61</v>
      </c>
      <c r="D291" s="29" t="s">
        <v>246</v>
      </c>
      <c r="E291" s="24" t="s">
        <v>649</v>
      </c>
      <c r="F291" s="30" t="n">
        <v>40868</v>
      </c>
      <c r="G291" s="30" t="n">
        <v>40848</v>
      </c>
      <c r="H291" s="31" t="n">
        <f aca="false">INT(($H$327-G291)/30)</f>
        <v>50</v>
      </c>
      <c r="I291" s="24" t="n">
        <f aca="false">H291*1000</f>
        <v>50000</v>
      </c>
      <c r="J291" s="31" t="n">
        <f aca="false">1000+49000</f>
        <v>50000</v>
      </c>
      <c r="K291" s="31"/>
      <c r="L291" s="59" t="n">
        <f aca="false">I291-J291-K291</f>
        <v>0</v>
      </c>
      <c r="M291" s="60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59" t="n">
        <f aca="false">V291-W291-X291</f>
        <v>0</v>
      </c>
    </row>
    <row collapsed="false" customFormat="false" customHeight="false" hidden="false" ht="15" outlineLevel="0" r="292">
      <c r="A292" s="19" t="n">
        <f aca="false">VLOOKUP(B292,справочник!$B$2:$E$322,4,0)</f>
        <v>60</v>
      </c>
      <c r="B292" s="0" t="e">
        <f aca="false">CONCATENATE(C292;D292)</f>
        <v>#VALUE!</v>
      </c>
      <c r="C292" s="24" t="n">
        <v>62</v>
      </c>
      <c r="D292" s="95" t="s">
        <v>323</v>
      </c>
      <c r="E292" s="24" t="s">
        <v>650</v>
      </c>
      <c r="F292" s="30" t="n">
        <v>40885</v>
      </c>
      <c r="G292" s="30" t="n">
        <v>40878</v>
      </c>
      <c r="H292" s="31" t="n">
        <f aca="false">INT(($H$327-G292)/30)</f>
        <v>49</v>
      </c>
      <c r="I292" s="24" t="n">
        <f aca="false">H292*1000</f>
        <v>49000</v>
      </c>
      <c r="J292" s="31" t="n">
        <f aca="false">8000+54000</f>
        <v>62000</v>
      </c>
      <c r="K292" s="31"/>
      <c r="L292" s="59" t="n">
        <f aca="false">I292-J292-K292</f>
        <v>-13000</v>
      </c>
      <c r="M292" s="60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59" t="n">
        <f aca="false">V292-W292-X292</f>
        <v>0</v>
      </c>
    </row>
    <row collapsed="false" customFormat="false" customHeight="false" hidden="false" ht="15" outlineLevel="0" r="293">
      <c r="A293" s="19" t="n">
        <f aca="false">VLOOKUP(B293,справочник!$B$2:$E$322,4,0)</f>
        <v>248</v>
      </c>
      <c r="B293" s="0" t="e">
        <f aca="false">CONCATENATE(C293;D293)</f>
        <v>#VALUE!</v>
      </c>
      <c r="C293" s="24" t="n">
        <v>259</v>
      </c>
      <c r="D293" s="93" t="s">
        <v>201</v>
      </c>
      <c r="E293" s="24" t="s">
        <v>651</v>
      </c>
      <c r="F293" s="30" t="n">
        <v>41628</v>
      </c>
      <c r="G293" s="30" t="n">
        <v>41640</v>
      </c>
      <c r="H293" s="31" t="n">
        <f aca="false">INT(($H$327-G293)/30)</f>
        <v>24</v>
      </c>
      <c r="I293" s="24" t="n">
        <f aca="false">H293*1000</f>
        <v>24000</v>
      </c>
      <c r="J293" s="31" t="n">
        <v>21300</v>
      </c>
      <c r="K293" s="31"/>
      <c r="L293" s="59" t="n">
        <f aca="false">I293-J293-K293</f>
        <v>2700</v>
      </c>
      <c r="M293" s="60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59" t="n">
        <f aca="false">V293-W293-X293</f>
        <v>0</v>
      </c>
    </row>
    <row collapsed="false" customFormat="false" customHeight="false" hidden="false" ht="15" outlineLevel="0" r="294">
      <c r="A294" s="19" t="n">
        <f aca="false">VLOOKUP(B294,справочник!$B$2:$E$322,4,0)</f>
        <v>247</v>
      </c>
      <c r="B294" s="0" t="e">
        <f aca="false">CONCATENATE(C294;D294)</f>
        <v>#VALUE!</v>
      </c>
      <c r="C294" s="24" t="n">
        <v>258</v>
      </c>
      <c r="D294" s="93" t="s">
        <v>147</v>
      </c>
      <c r="E294" s="24" t="s">
        <v>652</v>
      </c>
      <c r="F294" s="30" t="n">
        <v>41628</v>
      </c>
      <c r="G294" s="30" t="n">
        <v>41640</v>
      </c>
      <c r="H294" s="31" t="n">
        <f aca="false">INT(($H$327-G294)/30)</f>
        <v>24</v>
      </c>
      <c r="I294" s="24" t="n">
        <f aca="false">H294*1000</f>
        <v>24000</v>
      </c>
      <c r="J294" s="31" t="n">
        <v>13000</v>
      </c>
      <c r="K294" s="31"/>
      <c r="L294" s="59" t="n">
        <f aca="false">I294-J294-K294</f>
        <v>11000</v>
      </c>
      <c r="M294" s="60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59" t="n">
        <f aca="false">V294-W294-X294</f>
        <v>0</v>
      </c>
    </row>
    <row collapsed="false" customFormat="false" customHeight="false" hidden="false" ht="15" outlineLevel="0" r="295">
      <c r="A295" s="19" t="n">
        <f aca="false">VLOOKUP(B295,справочник!$B$2:$E$322,4,0)</f>
        <v>103</v>
      </c>
      <c r="B295" s="0" t="e">
        <f aca="false">CONCATENATE(C295;D295)</f>
        <v>#VALUE!</v>
      </c>
      <c r="C295" s="24" t="n">
        <v>108</v>
      </c>
      <c r="D295" s="29" t="s">
        <v>297</v>
      </c>
      <c r="E295" s="24" t="s">
        <v>653</v>
      </c>
      <c r="F295" s="30" t="n">
        <v>40715</v>
      </c>
      <c r="G295" s="30" t="n">
        <v>40725</v>
      </c>
      <c r="H295" s="31" t="n">
        <f aca="false">INT(($H$327-G295)/30)</f>
        <v>54</v>
      </c>
      <c r="I295" s="24" t="n">
        <f aca="false">H295*1000</f>
        <v>54000</v>
      </c>
      <c r="J295" s="31" t="n">
        <f aca="false">2000+45000</f>
        <v>47000</v>
      </c>
      <c r="K295" s="31"/>
      <c r="L295" s="59" t="n">
        <f aca="false">I295-J295-K295</f>
        <v>7000</v>
      </c>
      <c r="M295" s="60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59" t="n">
        <f aca="false">V295-W295-X295</f>
        <v>0</v>
      </c>
    </row>
    <row collapsed="false" customFormat="false" customHeight="true" hidden="false" ht="25.5" outlineLevel="0" r="296">
      <c r="A296" s="19" t="n">
        <f aca="false">VLOOKUP(B296,справочник!$B$2:$E$322,4,0)</f>
        <v>275</v>
      </c>
      <c r="B296" s="0" t="e">
        <f aca="false">CONCATENATE(C296;D296)</f>
        <v>#VALUE!</v>
      </c>
      <c r="C296" s="24" t="n">
        <v>288</v>
      </c>
      <c r="D296" s="29" t="s">
        <v>256</v>
      </c>
      <c r="E296" s="24" t="s">
        <v>654</v>
      </c>
      <c r="F296" s="30" t="n">
        <v>41999</v>
      </c>
      <c r="G296" s="30" t="n">
        <v>42005</v>
      </c>
      <c r="H296" s="31" t="n">
        <f aca="false">INT(($H$327-G296)/30)</f>
        <v>12</v>
      </c>
      <c r="I296" s="24" t="n">
        <f aca="false">H296*1000</f>
        <v>12000</v>
      </c>
      <c r="J296" s="31"/>
      <c r="K296" s="31"/>
      <c r="L296" s="59" t="n">
        <f aca="false">I296-J296-K296</f>
        <v>12000</v>
      </c>
      <c r="M296" s="60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59" t="n">
        <f aca="false">V296-W296-X296</f>
        <v>0</v>
      </c>
    </row>
    <row collapsed="false" customFormat="false" customHeight="false" hidden="false" ht="15" outlineLevel="0" r="297">
      <c r="A297" s="19" t="n">
        <f aca="false">VLOOKUP(B297,справочник!$B$2:$E$322,4,0)</f>
        <v>22</v>
      </c>
      <c r="B297" s="0" t="e">
        <f aca="false">CONCATENATE(C297;D297)</f>
        <v>#VALUE!</v>
      </c>
      <c r="C297" s="24" t="n">
        <v>22</v>
      </c>
      <c r="D297" s="93" t="s">
        <v>198</v>
      </c>
      <c r="E297" s="24" t="s">
        <v>655</v>
      </c>
      <c r="F297" s="30" t="n">
        <v>41107</v>
      </c>
      <c r="G297" s="30" t="n">
        <v>41091</v>
      </c>
      <c r="H297" s="31" t="n">
        <f aca="false">INT(($H$327-G297)/30)</f>
        <v>42</v>
      </c>
      <c r="I297" s="24" t="n">
        <f aca="false">H297*1000</f>
        <v>42000</v>
      </c>
      <c r="J297" s="31" t="n">
        <f aca="false">34000+6000</f>
        <v>40000</v>
      </c>
      <c r="K297" s="31"/>
      <c r="L297" s="59" t="n">
        <f aca="false">I297-J297-K297</f>
        <v>2000</v>
      </c>
      <c r="M297" s="60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59" t="n">
        <f aca="false">V297-W297-X297</f>
        <v>0</v>
      </c>
    </row>
    <row collapsed="false" customFormat="false" customHeight="false" hidden="false" ht="15" outlineLevel="0" r="298">
      <c r="A298" s="19" t="n">
        <f aca="false">VLOOKUP(B298,справочник!$B$2:$E$322,4,0)</f>
        <v>20</v>
      </c>
      <c r="B298" s="0" t="e">
        <f aca="false">CONCATENATE(C298;D298)</f>
        <v>#VALUE!</v>
      </c>
      <c r="C298" s="24" t="n">
        <v>20</v>
      </c>
      <c r="D298" s="93" t="s">
        <v>111</v>
      </c>
      <c r="E298" s="24" t="s">
        <v>656</v>
      </c>
      <c r="F298" s="30" t="n">
        <v>41443</v>
      </c>
      <c r="G298" s="30" t="n">
        <v>41487</v>
      </c>
      <c r="H298" s="31" t="n">
        <f aca="false">INT(($H$327-G298)/30)</f>
        <v>29</v>
      </c>
      <c r="I298" s="24" t="n">
        <f aca="false">H298*1000</f>
        <v>29000</v>
      </c>
      <c r="J298" s="31" t="n">
        <v>12000</v>
      </c>
      <c r="K298" s="31"/>
      <c r="L298" s="59" t="n">
        <f aca="false">I298-J298-K298</f>
        <v>17000</v>
      </c>
      <c r="M298" s="60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59" t="n">
        <f aca="false">V298-W298-X298</f>
        <v>0</v>
      </c>
    </row>
    <row collapsed="false" customFormat="false" customHeight="false" hidden="false" ht="15" outlineLevel="0" r="299">
      <c r="A299" s="19" t="n">
        <f aca="false">VLOOKUP(B299,справочник!$B$2:$E$322,4,0)</f>
        <v>233</v>
      </c>
      <c r="B299" s="0" t="e">
        <f aca="false">CONCATENATE(C299;D299)</f>
        <v>#VALUE!</v>
      </c>
      <c r="C299" s="24" t="n">
        <v>242</v>
      </c>
      <c r="D299" s="29" t="s">
        <v>260</v>
      </c>
      <c r="E299" s="24" t="s">
        <v>657</v>
      </c>
      <c r="F299" s="30" t="n">
        <v>41382</v>
      </c>
      <c r="G299" s="30" t="n">
        <v>41395</v>
      </c>
      <c r="H299" s="31" t="n">
        <f aca="false">INT(($H$327-G299)/30)</f>
        <v>32</v>
      </c>
      <c r="I299" s="24" t="n">
        <f aca="false">H299*1000</f>
        <v>32000</v>
      </c>
      <c r="J299" s="31" t="n">
        <v>29000</v>
      </c>
      <c r="K299" s="31"/>
      <c r="L299" s="59" t="n">
        <f aca="false">I299-J299-K299</f>
        <v>3000</v>
      </c>
      <c r="M299" s="60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59" t="n">
        <f aca="false">V299-W299-X299</f>
        <v>0</v>
      </c>
    </row>
    <row collapsed="false" customFormat="false" customHeight="false" hidden="false" ht="15" outlineLevel="0" r="300">
      <c r="A300" s="19" t="n">
        <f aca="false">VLOOKUP(B300,справочник!$B$2:$E$322,4,0)</f>
        <v>256</v>
      </c>
      <c r="B300" s="0" t="e">
        <f aca="false">CONCATENATE(C300;D300)</f>
        <v>#VALUE!</v>
      </c>
      <c r="C300" s="24" t="n">
        <v>269</v>
      </c>
      <c r="D300" s="29" t="s">
        <v>234</v>
      </c>
      <c r="E300" s="24" t="s">
        <v>658</v>
      </c>
      <c r="F300" s="30" t="n">
        <v>41012</v>
      </c>
      <c r="G300" s="30" t="n">
        <v>41000</v>
      </c>
      <c r="H300" s="31" t="n">
        <f aca="false">INT(($H$327-G300)/30)</f>
        <v>45</v>
      </c>
      <c r="I300" s="24" t="n">
        <f aca="false">H300*1000</f>
        <v>45000</v>
      </c>
      <c r="J300" s="31" t="n">
        <f aca="false">32000+7000</f>
        <v>39000</v>
      </c>
      <c r="K300" s="31" t="n">
        <v>8000</v>
      </c>
      <c r="L300" s="59" t="n">
        <f aca="false">I300-J300-K300</f>
        <v>-2000</v>
      </c>
      <c r="M300" s="60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59" t="n">
        <f aca="false">V300-W300-X300</f>
        <v>0</v>
      </c>
    </row>
    <row collapsed="false" customFormat="false" customHeight="true" hidden="false" ht="25.5" outlineLevel="0" r="301">
      <c r="A301" s="19" t="e">
        <f aca="false">VLOOKUP(B301,справочник!$B$2:$E$322,4,0)</f>
        <v>#VALUE!</v>
      </c>
      <c r="B301" s="0" t="e">
        <f aca="false">CONCATENATE(C301;D301)</f>
        <v>#VALUE!</v>
      </c>
      <c r="C301" s="24" t="n">
        <v>118</v>
      </c>
      <c r="D301" s="29" t="s">
        <v>120</v>
      </c>
      <c r="E301" s="24" t="s">
        <v>660</v>
      </c>
      <c r="F301" s="30" t="n">
        <v>41107</v>
      </c>
      <c r="G301" s="30" t="n">
        <v>41122</v>
      </c>
      <c r="H301" s="31" t="n">
        <f aca="false">INT(($H$327-G301)/30)</f>
        <v>41</v>
      </c>
      <c r="I301" s="24" t="n">
        <f aca="false">H301*1000</f>
        <v>41000</v>
      </c>
      <c r="J301" s="31" t="n">
        <v>41000</v>
      </c>
      <c r="K301" s="31"/>
      <c r="L301" s="59" t="n">
        <f aca="false">I301-J301-K301</f>
        <v>0</v>
      </c>
      <c r="M301" s="60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59" t="n">
        <f aca="false">V301-W301-X301</f>
        <v>0</v>
      </c>
    </row>
    <row collapsed="false" customFormat="false" customHeight="false" hidden="false" ht="15" outlineLevel="0" r="302">
      <c r="A302" s="19" t="e">
        <f aca="false">VLOOKUP(B302,справочник!$B$2:$E$322,4,0)</f>
        <v>#VALUE!</v>
      </c>
      <c r="B302" s="0" t="e">
        <f aca="false">CONCATENATE(C302;D302)</f>
        <v>#VALUE!</v>
      </c>
      <c r="C302" s="94" t="n">
        <v>120</v>
      </c>
      <c r="D302" s="93" t="s">
        <v>120</v>
      </c>
      <c r="E302" s="24" t="s">
        <v>660</v>
      </c>
      <c r="F302" s="34" t="n">
        <v>41107</v>
      </c>
      <c r="G302" s="34" t="n">
        <v>41122</v>
      </c>
      <c r="H302" s="35" t="n">
        <f aca="false">INT(($H$327-G302)/30)</f>
        <v>41</v>
      </c>
      <c r="I302" s="36" t="n">
        <f aca="false">H302*1000</f>
        <v>41000</v>
      </c>
      <c r="J302" s="35" t="n">
        <v>20000</v>
      </c>
      <c r="K302" s="35"/>
      <c r="L302" s="66" t="n">
        <f aca="false">I302-J302-K302</f>
        <v>21000</v>
      </c>
      <c r="M302" s="60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6" t="n">
        <f aca="false">V302-W302-X302</f>
        <v>0</v>
      </c>
    </row>
    <row collapsed="false" customFormat="false" customHeight="false" hidden="false" ht="15" outlineLevel="0" r="303">
      <c r="A303" s="19" t="e">
        <f aca="false">VLOOKUP(B303,справочник!$B$2:$E$322,4,0)</f>
        <v>#VALUE!</v>
      </c>
      <c r="B303" s="0" t="e">
        <f aca="false">CONCATENATE(C303;D303)</f>
        <v>#VALUE!</v>
      </c>
      <c r="C303" s="94" t="n">
        <v>116</v>
      </c>
      <c r="D303" s="93" t="s">
        <v>62</v>
      </c>
      <c r="E303" s="24" t="s">
        <v>660</v>
      </c>
      <c r="F303" s="34" t="n">
        <v>41107</v>
      </c>
      <c r="G303" s="34" t="n">
        <v>41122</v>
      </c>
      <c r="H303" s="35" t="n">
        <f aca="false">INT(($H$327-G303)/30)</f>
        <v>41</v>
      </c>
      <c r="I303" s="36" t="n">
        <f aca="false">H303*1000</f>
        <v>41000</v>
      </c>
      <c r="J303" s="35"/>
      <c r="K303" s="35"/>
      <c r="L303" s="66" t="n">
        <f aca="false">I303-J303-K303</f>
        <v>41000</v>
      </c>
      <c r="M303" s="60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6" t="n">
        <f aca="false">V303-W303-X303</f>
        <v>0</v>
      </c>
    </row>
    <row collapsed="false" customFormat="false" customHeight="true" hidden="false" ht="25.5" outlineLevel="0" r="304">
      <c r="A304" s="19" t="n">
        <f aca="false">VLOOKUP(B304,справочник!$B$2:$E$322,4,0)</f>
        <v>180</v>
      </c>
      <c r="B304" s="0" t="e">
        <f aca="false">CONCATENATE(C304;D304)</f>
        <v>#VALUE!</v>
      </c>
      <c r="C304" s="24" t="n">
        <v>188</v>
      </c>
      <c r="D304" s="29" t="s">
        <v>282</v>
      </c>
      <c r="E304" s="24" t="s">
        <v>661</v>
      </c>
      <c r="F304" s="30" t="n">
        <v>41786</v>
      </c>
      <c r="G304" s="30" t="n">
        <v>41791</v>
      </c>
      <c r="H304" s="31" t="n">
        <f aca="false">INT(($H$327-G304)/30)</f>
        <v>19</v>
      </c>
      <c r="I304" s="24" t="n">
        <f aca="false">H304*1000</f>
        <v>19000</v>
      </c>
      <c r="J304" s="31" t="n">
        <v>19000</v>
      </c>
      <c r="K304" s="31"/>
      <c r="L304" s="59" t="n">
        <f aca="false">I304-J304-K304</f>
        <v>0</v>
      </c>
      <c r="M304" s="60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59" t="n">
        <f aca="false">V304-W304-X304</f>
        <v>0</v>
      </c>
    </row>
    <row collapsed="false" customFormat="false" customHeight="false" hidden="false" ht="15" outlineLevel="0" r="305">
      <c r="A305" s="19" t="n">
        <f aca="false">VLOOKUP(B305,справочник!$B$2:$E$322,4,0)</f>
        <v>2</v>
      </c>
      <c r="B305" s="0" t="e">
        <f aca="false">CONCATENATE(C305;D305)</f>
        <v>#VALUE!</v>
      </c>
      <c r="C305" s="24" t="n">
        <v>2</v>
      </c>
      <c r="D305" s="93" t="s">
        <v>161</v>
      </c>
      <c r="E305" s="24" t="s">
        <v>662</v>
      </c>
      <c r="F305" s="30" t="n">
        <v>41737</v>
      </c>
      <c r="G305" s="30" t="n">
        <v>41760</v>
      </c>
      <c r="H305" s="31" t="n">
        <f aca="false">INT(($H$327-G305)/30)</f>
        <v>20</v>
      </c>
      <c r="I305" s="24" t="n">
        <f aca="false">H305*1000</f>
        <v>20000</v>
      </c>
      <c r="J305" s="31" t="n">
        <v>11000</v>
      </c>
      <c r="K305" s="31"/>
      <c r="L305" s="59" t="n">
        <f aca="false">I305-J305-K305</f>
        <v>9000</v>
      </c>
      <c r="M305" s="60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59" t="n">
        <f aca="false">V305-W305-X305</f>
        <v>0</v>
      </c>
    </row>
    <row collapsed="false" customFormat="false" customHeight="false" hidden="false" ht="25.5" outlineLevel="0" r="306">
      <c r="A306" s="19" t="n">
        <f aca="false">VLOOKUP(B306,справочник!$B$2:$E$322,4,0)</f>
        <v>23</v>
      </c>
      <c r="B306" s="0" t="e">
        <f aca="false">CONCATENATE(C306;D306)</f>
        <v>#VALUE!</v>
      </c>
      <c r="C306" s="24" t="n">
        <v>23</v>
      </c>
      <c r="D306" s="95" t="s">
        <v>319</v>
      </c>
      <c r="E306" s="24" t="s">
        <v>663</v>
      </c>
      <c r="F306" s="30" t="n">
        <v>41422</v>
      </c>
      <c r="G306" s="30" t="n">
        <v>41456</v>
      </c>
      <c r="H306" s="31" t="n">
        <f aca="false">INT(($H$327-G306)/30)</f>
        <v>30</v>
      </c>
      <c r="I306" s="24" t="n">
        <f aca="false">H306*1000</f>
        <v>30000</v>
      </c>
      <c r="J306" s="31" t="n">
        <v>30000</v>
      </c>
      <c r="K306" s="31"/>
      <c r="L306" s="59" t="n">
        <f aca="false">I306-J306-K306</f>
        <v>0</v>
      </c>
      <c r="M306" s="60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59" t="n">
        <f aca="false">V306-W306-X306</f>
        <v>0</v>
      </c>
    </row>
    <row collapsed="false" customFormat="false" customHeight="false" hidden="false" ht="15" outlineLevel="0" r="307">
      <c r="A307" s="19" t="n">
        <f aca="false">VLOOKUP(B307,справочник!$B$2:$E$322,4,0)</f>
        <v>168</v>
      </c>
      <c r="B307" s="0" t="e">
        <f aca="false">CONCATENATE(C307;D307)</f>
        <v>#VALUE!</v>
      </c>
      <c r="C307" s="24" t="n">
        <v>176</v>
      </c>
      <c r="D307" s="29" t="s">
        <v>305</v>
      </c>
      <c r="E307" s="24" t="s">
        <v>664</v>
      </c>
      <c r="F307" s="30" t="n">
        <v>41939</v>
      </c>
      <c r="G307" s="30" t="n">
        <v>41974</v>
      </c>
      <c r="H307" s="31" t="n">
        <f aca="false">INT(($H$327-G307)/30)</f>
        <v>13</v>
      </c>
      <c r="I307" s="24" t="n">
        <f aca="false">H307*1000</f>
        <v>13000</v>
      </c>
      <c r="J307" s="31" t="n">
        <v>11000</v>
      </c>
      <c r="K307" s="31" t="n">
        <v>2000</v>
      </c>
      <c r="L307" s="59" t="n">
        <f aca="false">I307-J307-K307</f>
        <v>0</v>
      </c>
      <c r="M307" s="60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59" t="n">
        <f aca="false">V307-W307-X307</f>
        <v>0</v>
      </c>
    </row>
    <row collapsed="false" customFormat="false" customHeight="true" hidden="false" ht="25.5" outlineLevel="0" r="308">
      <c r="A308" s="19" t="n">
        <f aca="false">VLOOKUP(B308,справочник!$B$2:$E$322,4,0)</f>
        <v>84</v>
      </c>
      <c r="B308" s="0" t="e">
        <f aca="false">CONCATENATE(C308;D308)</f>
        <v>#VALUE!</v>
      </c>
      <c r="C308" s="24" t="n">
        <v>89</v>
      </c>
      <c r="D308" s="29" t="s">
        <v>288</v>
      </c>
      <c r="E308" s="24" t="s">
        <v>665</v>
      </c>
      <c r="F308" s="30" t="n">
        <v>40785</v>
      </c>
      <c r="G308" s="30" t="n">
        <v>40787</v>
      </c>
      <c r="H308" s="31" t="n">
        <f aca="false">INT(($H$327-G308)/30)</f>
        <v>52</v>
      </c>
      <c r="I308" s="24" t="n">
        <f aca="false">H308*1000</f>
        <v>52000</v>
      </c>
      <c r="J308" s="31" t="n">
        <f aca="false">1000+51000</f>
        <v>52000</v>
      </c>
      <c r="K308" s="31"/>
      <c r="L308" s="59" t="n">
        <f aca="false">I308-J308-K308</f>
        <v>0</v>
      </c>
      <c r="M308" s="60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59" t="n">
        <f aca="false">V308-W308-X308</f>
        <v>0</v>
      </c>
    </row>
    <row collapsed="false" customFormat="false" customHeight="false" hidden="false" ht="15" outlineLevel="0" r="309">
      <c r="A309" s="19" t="e">
        <f aca="false">VLOOKUP(B309,справочник!$B$2:$E$322,4,0)</f>
        <v>#VALUE!</v>
      </c>
      <c r="B309" s="0" t="e">
        <f aca="false">CONCATENATE(C309;D309)</f>
        <v>#VALUE!</v>
      </c>
      <c r="C309" s="24" t="n">
        <v>97</v>
      </c>
      <c r="D309" s="29" t="s">
        <v>270</v>
      </c>
      <c r="E309" s="24" t="s">
        <v>667</v>
      </c>
      <c r="F309" s="30" t="n">
        <v>40925</v>
      </c>
      <c r="G309" s="30" t="n">
        <v>40909</v>
      </c>
      <c r="H309" s="31" t="n">
        <f aca="false">INT(($H$327-G309)/30)</f>
        <v>48</v>
      </c>
      <c r="I309" s="24" t="n">
        <f aca="false">H309*1000</f>
        <v>48000</v>
      </c>
      <c r="J309" s="31" t="n">
        <v>44000</v>
      </c>
      <c r="K309" s="31"/>
      <c r="L309" s="59" t="n">
        <f aca="false">I309-J309-K309</f>
        <v>4000</v>
      </c>
      <c r="M309" s="60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59" t="n">
        <f aca="false">V309-W309-X309</f>
        <v>0</v>
      </c>
    </row>
    <row collapsed="false" customFormat="false" customHeight="false" hidden="false" ht="15" outlineLevel="0" r="310">
      <c r="A310" s="19" t="e">
        <f aca="false">VLOOKUP(B310,справочник!$B$2:$E$322,4,0)</f>
        <v>#VALUE!</v>
      </c>
      <c r="B310" s="0" t="e">
        <f aca="false">CONCATENATE(C310;D310)</f>
        <v>#VALUE!</v>
      </c>
      <c r="C310" s="94" t="n">
        <v>93</v>
      </c>
      <c r="D310" s="29" t="s">
        <v>179</v>
      </c>
      <c r="E310" s="24" t="s">
        <v>668</v>
      </c>
      <c r="F310" s="30" t="n">
        <v>40925</v>
      </c>
      <c r="G310" s="30" t="n">
        <v>40909</v>
      </c>
      <c r="H310" s="31" t="n">
        <f aca="false">INT(($H$327-G310)/30)</f>
        <v>48</v>
      </c>
      <c r="I310" s="24" t="n">
        <f aca="false">H310*1000</f>
        <v>48000</v>
      </c>
      <c r="J310" s="31" t="n">
        <v>44000</v>
      </c>
      <c r="K310" s="31"/>
      <c r="L310" s="59" t="n">
        <f aca="false">I310-J310-K310</f>
        <v>4000</v>
      </c>
      <c r="M310" s="60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59" t="n">
        <f aca="false">V310-W310-X310</f>
        <v>0</v>
      </c>
    </row>
    <row collapsed="false" customFormat="false" customHeight="false" hidden="false" ht="15" outlineLevel="0" r="311">
      <c r="A311" s="19" t="n">
        <f aca="false">VLOOKUP(B311,справочник!$B$2:$E$322,4,0)</f>
        <v>78</v>
      </c>
      <c r="B311" s="0" t="e">
        <f aca="false">CONCATENATE(C311;D311)</f>
        <v>#VALUE!</v>
      </c>
      <c r="C311" s="94" t="n">
        <v>83</v>
      </c>
      <c r="D311" s="93" t="s">
        <v>61</v>
      </c>
      <c r="E311" s="24"/>
      <c r="F311" s="30" t="n">
        <v>41456</v>
      </c>
      <c r="G311" s="30" t="n">
        <v>41457</v>
      </c>
      <c r="H311" s="31" t="n">
        <f aca="false">INT(($H$327-G311)/30)</f>
        <v>30</v>
      </c>
      <c r="I311" s="24" t="n">
        <v>30000</v>
      </c>
      <c r="J311" s="31" t="n">
        <v>0</v>
      </c>
      <c r="K311" s="31"/>
      <c r="L311" s="59" t="n">
        <v>30000</v>
      </c>
      <c r="M311" s="60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59" t="n">
        <v>30000</v>
      </c>
    </row>
    <row collapsed="false" customFormat="false" customHeight="false" hidden="false" ht="15" outlineLevel="0" r="312">
      <c r="A312" s="19" t="n">
        <f aca="false">VLOOKUP(B312,справочник!$B$2:$E$322,4,0)</f>
        <v>77</v>
      </c>
      <c r="B312" s="0" t="e">
        <f aca="false">CONCATENATE(C312;D312)</f>
        <v>#VALUE!</v>
      </c>
      <c r="C312" s="94" t="n">
        <v>83</v>
      </c>
      <c r="D312" s="93" t="s">
        <v>54</v>
      </c>
      <c r="E312" s="24" t="s">
        <v>669</v>
      </c>
      <c r="F312" s="30" t="n">
        <v>40932</v>
      </c>
      <c r="G312" s="30" t="n">
        <v>40909</v>
      </c>
      <c r="H312" s="31" t="n">
        <f aca="false">INT(($H$327-G312)/30)</f>
        <v>48</v>
      </c>
      <c r="I312" s="24" t="n">
        <f aca="false">H312*1000</f>
        <v>48000</v>
      </c>
      <c r="J312" s="31" t="n">
        <v>15000</v>
      </c>
      <c r="K312" s="31"/>
      <c r="L312" s="59" t="n">
        <f aca="false">I312-J312-K312</f>
        <v>33000</v>
      </c>
      <c r="M312" s="60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59" t="n">
        <f aca="false">V312-W312-X312</f>
        <v>0</v>
      </c>
    </row>
    <row collapsed="false" customFormat="false" customHeight="true" hidden="false" ht="25.5" outlineLevel="0" r="313">
      <c r="A313" s="19" t="n">
        <f aca="false">VLOOKUP(B313,справочник!$B$2:$E$322,4,0)</f>
        <v>306</v>
      </c>
      <c r="B313" s="0" t="e">
        <f aca="false">CONCATENATE(C313;D313)</f>
        <v>#VALUE!</v>
      </c>
      <c r="C313" s="24" t="n">
        <v>321</v>
      </c>
      <c r="D313" s="93" t="s">
        <v>57</v>
      </c>
      <c r="E313" s="24" t="s">
        <v>670</v>
      </c>
      <c r="F313" s="30" t="n">
        <v>41093</v>
      </c>
      <c r="G313" s="30" t="n">
        <v>41091</v>
      </c>
      <c r="H313" s="31" t="n">
        <f aca="false">INT(($H$327-G313)/30)</f>
        <v>42</v>
      </c>
      <c r="I313" s="24" t="n">
        <f aca="false">H313*1000</f>
        <v>42000</v>
      </c>
      <c r="J313" s="31" t="n">
        <v>11000</v>
      </c>
      <c r="K313" s="31"/>
      <c r="L313" s="59" t="n">
        <f aca="false">I313-J313-K313</f>
        <v>31000</v>
      </c>
      <c r="M313" s="60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59" t="n">
        <f aca="false">V313-W313-X313</f>
        <v>0</v>
      </c>
    </row>
    <row collapsed="false" customFormat="false" customHeight="true" hidden="false" ht="25.5" outlineLevel="0" r="314">
      <c r="A314" s="19" t="n">
        <f aca="false">VLOOKUP(B314,справочник!$B$2:$E$322,4,0)</f>
        <v>182</v>
      </c>
      <c r="B314" s="0" t="e">
        <f aca="false">CONCATENATE(C314;D314)</f>
        <v>#VALUE!</v>
      </c>
      <c r="C314" s="24" t="n">
        <v>190</v>
      </c>
      <c r="D314" s="29" t="s">
        <v>251</v>
      </c>
      <c r="E314" s="24" t="s">
        <v>671</v>
      </c>
      <c r="F314" s="30" t="n">
        <v>41734</v>
      </c>
      <c r="G314" s="30" t="n">
        <v>41760</v>
      </c>
      <c r="H314" s="31" t="n">
        <f aca="false">INT(($H$327-G314)/30)</f>
        <v>20</v>
      </c>
      <c r="I314" s="24" t="n">
        <f aca="false">H314*1000</f>
        <v>20000</v>
      </c>
      <c r="J314" s="31" t="n">
        <v>14000</v>
      </c>
      <c r="K314" s="31"/>
      <c r="L314" s="59" t="n">
        <f aca="false">I314-J314-K314</f>
        <v>6000</v>
      </c>
      <c r="M314" s="60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59" t="n">
        <f aca="false">V314-W314-X314</f>
        <v>0</v>
      </c>
    </row>
    <row collapsed="false" customFormat="false" customHeight="false" hidden="false" ht="15" outlineLevel="0" r="315">
      <c r="A315" s="19" t="n">
        <f aca="false">VLOOKUP(B315,справочник!$B$2:$E$322,4,0)</f>
        <v>95</v>
      </c>
      <c r="B315" s="0" t="e">
        <f aca="false">CONCATENATE(C315;D315)</f>
        <v>#VALUE!</v>
      </c>
      <c r="C315" s="24" t="n">
        <v>100</v>
      </c>
      <c r="D315" s="93" t="s">
        <v>269</v>
      </c>
      <c r="E315" s="24" t="s">
        <v>672</v>
      </c>
      <c r="F315" s="30" t="n">
        <v>41401</v>
      </c>
      <c r="G315" s="30" t="n">
        <v>41609</v>
      </c>
      <c r="H315" s="31" t="n">
        <f aca="false">INT(($H$327-G315)/30)</f>
        <v>25</v>
      </c>
      <c r="I315" s="24" t="n">
        <f aca="false">H315*1000</f>
        <v>25000</v>
      </c>
      <c r="J315" s="31" t="n">
        <v>20000</v>
      </c>
      <c r="K315" s="31"/>
      <c r="L315" s="59" t="n">
        <f aca="false">I315-J315-K315</f>
        <v>5000</v>
      </c>
      <c r="M315" s="6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59" t="n">
        <f aca="false">V315-W315-X315</f>
        <v>0</v>
      </c>
    </row>
    <row collapsed="false" customFormat="false" customHeight="false" hidden="false" ht="15" outlineLevel="0" r="316">
      <c r="A316" s="19" t="n">
        <f aca="false">VLOOKUP(B316,справочник!$B$2:$E$322,4,0)</f>
        <v>108</v>
      </c>
      <c r="B316" s="0" t="e">
        <f aca="false">CONCATENATE(C316;D316)</f>
        <v>#VALUE!</v>
      </c>
      <c r="C316" s="24" t="n">
        <v>113</v>
      </c>
      <c r="D316" s="29" t="s">
        <v>285</v>
      </c>
      <c r="E316" s="24" t="s">
        <v>673</v>
      </c>
      <c r="F316" s="30" t="n">
        <v>40938</v>
      </c>
      <c r="G316" s="30" t="n">
        <v>40940</v>
      </c>
      <c r="H316" s="31" t="n">
        <f aca="false">INT(($H$327-G316)/30)</f>
        <v>47</v>
      </c>
      <c r="I316" s="24" t="n">
        <f aca="false">H316*1000</f>
        <v>47000</v>
      </c>
      <c r="J316" s="31" t="n">
        <f aca="false">24000+11000</f>
        <v>35000</v>
      </c>
      <c r="K316" s="31" t="n">
        <v>8000</v>
      </c>
      <c r="L316" s="59" t="n">
        <f aca="false">I316-J316-K316</f>
        <v>4000</v>
      </c>
      <c r="M316" s="60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59" t="n">
        <f aca="false">V316-W316-X316</f>
        <v>0</v>
      </c>
    </row>
    <row collapsed="false" customFormat="false" customHeight="false" hidden="false" ht="15" outlineLevel="0" r="317">
      <c r="A317" s="19" t="n">
        <f aca="false">VLOOKUP(B317,справочник!$B$2:$E$322,4,0)</f>
        <v>41</v>
      </c>
      <c r="B317" s="0" t="e">
        <f aca="false">CONCATENATE(C317;D317)</f>
        <v>#VALUE!</v>
      </c>
      <c r="C317" s="24" t="n">
        <v>41</v>
      </c>
      <c r="D317" s="93" t="s">
        <v>122</v>
      </c>
      <c r="E317" s="24" t="s">
        <v>674</v>
      </c>
      <c r="F317" s="30" t="n">
        <v>40772</v>
      </c>
      <c r="G317" s="30" t="n">
        <v>40756</v>
      </c>
      <c r="H317" s="31" t="n">
        <f aca="false">INT(($H$327-G317)/30)</f>
        <v>53</v>
      </c>
      <c r="I317" s="24" t="n">
        <f aca="false">H317*1000</f>
        <v>53000</v>
      </c>
      <c r="J317" s="31" t="n">
        <f aca="false">1000+37000</f>
        <v>38000</v>
      </c>
      <c r="K317" s="31"/>
      <c r="L317" s="59" t="n">
        <f aca="false">I317-J317-K317</f>
        <v>15000</v>
      </c>
      <c r="M317" s="60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59" t="n">
        <f aca="false">V317-W317-X317</f>
        <v>0</v>
      </c>
    </row>
    <row collapsed="false" customFormat="false" customHeight="true" hidden="false" ht="25.5" outlineLevel="0" r="318">
      <c r="A318" s="19" t="n">
        <f aca="false">VLOOKUP(B318,справочник!$B$2:$E$322,4,0)</f>
        <v>152</v>
      </c>
      <c r="B318" s="0" t="e">
        <f aca="false">CONCATENATE(C318;D318)</f>
        <v>#VALUE!</v>
      </c>
      <c r="C318" s="24" t="n">
        <v>160</v>
      </c>
      <c r="D318" s="93" t="s">
        <v>185</v>
      </c>
      <c r="E318" s="24" t="s">
        <v>675</v>
      </c>
      <c r="F318" s="30" t="n">
        <v>40850</v>
      </c>
      <c r="G318" s="30" t="n">
        <v>40848</v>
      </c>
      <c r="H318" s="31" t="n">
        <f aca="false">INT(($H$327-G318)/30)</f>
        <v>50</v>
      </c>
      <c r="I318" s="24" t="n">
        <f aca="false">H318*1000</f>
        <v>50000</v>
      </c>
      <c r="J318" s="31" t="n">
        <f aca="false">46000+1000</f>
        <v>47000</v>
      </c>
      <c r="K318" s="31"/>
      <c r="L318" s="59" t="n">
        <f aca="false">I318-J318-K318</f>
        <v>3000</v>
      </c>
      <c r="M318" s="60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59" t="n">
        <f aca="false">V318-W318-X318</f>
        <v>0</v>
      </c>
    </row>
    <row collapsed="false" customFormat="false" customHeight="false" hidden="false" ht="15" outlineLevel="0" r="319">
      <c r="A319" s="19" t="n">
        <f aca="false">VLOOKUP(B319,справочник!$B$2:$E$322,4,0)</f>
        <v>227</v>
      </c>
      <c r="B319" s="0" t="e">
        <f aca="false">CONCATENATE(C319;D319)</f>
        <v>#VALUE!</v>
      </c>
      <c r="C319" s="24" t="n">
        <v>236</v>
      </c>
      <c r="D319" s="93" t="s">
        <v>191</v>
      </c>
      <c r="E319" s="24" t="s">
        <v>676</v>
      </c>
      <c r="F319" s="30" t="n">
        <v>41738</v>
      </c>
      <c r="G319" s="30" t="n">
        <v>41760</v>
      </c>
      <c r="H319" s="31" t="n">
        <f aca="false">INT(($H$327-G319)/30)</f>
        <v>20</v>
      </c>
      <c r="I319" s="24" t="n">
        <f aca="false">H319*1000</f>
        <v>20000</v>
      </c>
      <c r="J319" s="31" t="n">
        <v>9000</v>
      </c>
      <c r="K319" s="31"/>
      <c r="L319" s="59" t="n">
        <f aca="false">I319-J319-K319</f>
        <v>11000</v>
      </c>
      <c r="M319" s="60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59" t="n">
        <f aca="false">V319-W319-X319</f>
        <v>0</v>
      </c>
    </row>
    <row collapsed="false" customFormat="false" customHeight="false" hidden="false" ht="15" outlineLevel="0" r="320">
      <c r="A320" s="19" t="n">
        <f aca="false">VLOOKUP(B320,справочник!$B$2:$E$322,4,0)</f>
        <v>15</v>
      </c>
      <c r="B320" s="0" t="e">
        <f aca="false">CONCATENATE(C320;D320)</f>
        <v>#VALUE!</v>
      </c>
      <c r="C320" s="24" t="n">
        <v>15</v>
      </c>
      <c r="D320" s="29" t="s">
        <v>292</v>
      </c>
      <c r="E320" s="24" t="s">
        <v>677</v>
      </c>
      <c r="F320" s="30" t="n">
        <v>41261</v>
      </c>
      <c r="G320" s="30" t="n">
        <v>41275</v>
      </c>
      <c r="H320" s="31" t="n">
        <f aca="false">INT(($H$327-G320)/30)</f>
        <v>36</v>
      </c>
      <c r="I320" s="24" t="n">
        <f aca="false">H320*1000</f>
        <v>36000</v>
      </c>
      <c r="J320" s="31" t="n">
        <v>32000</v>
      </c>
      <c r="K320" s="31"/>
      <c r="L320" s="59" t="n">
        <f aca="false">I320-J320-K320</f>
        <v>4000</v>
      </c>
      <c r="M320" s="60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59" t="n">
        <f aca="false">V320-W320-X320</f>
        <v>0</v>
      </c>
    </row>
    <row collapsed="false" customFormat="false" customHeight="false" hidden="false" ht="15" outlineLevel="0" r="321">
      <c r="A321" s="19" t="n">
        <f aca="false">VLOOKUP(B321,справочник!$B$2:$E$322,4,0)</f>
        <v>240</v>
      </c>
      <c r="B321" s="0" t="e">
        <f aca="false">CONCATENATE(C321;D321)</f>
        <v>#VALUE!</v>
      </c>
      <c r="C321" s="24" t="n">
        <v>251</v>
      </c>
      <c r="D321" s="43" t="s">
        <v>225</v>
      </c>
      <c r="E321" s="24" t="s">
        <v>678</v>
      </c>
      <c r="F321" s="30" t="n">
        <v>40799</v>
      </c>
      <c r="G321" s="30" t="n">
        <v>40787</v>
      </c>
      <c r="H321" s="31" t="n">
        <f aca="false">INT(($H$327-G321)/30)</f>
        <v>52</v>
      </c>
      <c r="I321" s="24" t="n">
        <f aca="false">H321*1000</f>
        <v>52000</v>
      </c>
      <c r="J321" s="31" t="n">
        <f aca="false">1000+49000</f>
        <v>50000</v>
      </c>
      <c r="K321" s="31" t="n">
        <v>3000</v>
      </c>
      <c r="L321" s="59" t="n">
        <f aca="false">I321-J321-K321</f>
        <v>-1000</v>
      </c>
      <c r="M321" s="6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59" t="n">
        <f aca="false">V321-W321-X321</f>
        <v>0</v>
      </c>
    </row>
    <row collapsed="false" customFormat="false" customHeight="false" hidden="false" ht="15" outlineLevel="0" r="322">
      <c r="A322" s="19" t="n">
        <f aca="false">VLOOKUP(B322,справочник!$B$2:$E$322,4,0)</f>
        <v>10</v>
      </c>
      <c r="B322" s="0" t="e">
        <f aca="false">CONCATENATE(C322;D322)</f>
        <v>#VALUE!</v>
      </c>
      <c r="C322" s="24" t="n">
        <v>10</v>
      </c>
      <c r="D322" s="29" t="s">
        <v>221</v>
      </c>
      <c r="E322" s="24" t="s">
        <v>679</v>
      </c>
      <c r="F322" s="30" t="n">
        <v>42023</v>
      </c>
      <c r="G322" s="24"/>
      <c r="H322" s="31" t="n">
        <v>0</v>
      </c>
      <c r="I322" s="24" t="n">
        <f aca="false">H322*1000</f>
        <v>0</v>
      </c>
      <c r="J322" s="31"/>
      <c r="K322" s="31"/>
      <c r="L322" s="59" t="n">
        <f aca="false">I322-J322-K322</f>
        <v>0</v>
      </c>
      <c r="M322" s="60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59" t="n">
        <f aca="false">V322-W322-X322</f>
        <v>0</v>
      </c>
    </row>
    <row collapsed="false" customFormat="false" customHeight="false" hidden="false" ht="15" outlineLevel="0" r="323">
      <c r="A323" s="19" t="n">
        <f aca="false">VLOOKUP(B323,справочник!$B$2:$E$322,4,0)</f>
        <v>55</v>
      </c>
      <c r="B323" s="0" t="e">
        <f aca="false">CONCATENATE(C323;D323)</f>
        <v>#VALUE!</v>
      </c>
      <c r="C323" s="24" t="n">
        <v>57</v>
      </c>
      <c r="D323" s="29" t="s">
        <v>313</v>
      </c>
      <c r="E323" s="24" t="s">
        <v>680</v>
      </c>
      <c r="F323" s="30" t="n">
        <v>40772</v>
      </c>
      <c r="G323" s="30" t="n">
        <v>40756</v>
      </c>
      <c r="H323" s="31" t="n">
        <f aca="false">INT(($H$327-G323)/30)</f>
        <v>53</v>
      </c>
      <c r="I323" s="24" t="n">
        <f aca="false">H323*1000</f>
        <v>53000</v>
      </c>
      <c r="J323" s="31" t="n">
        <f aca="false">1000+53000</f>
        <v>54000</v>
      </c>
      <c r="K323" s="31" t="n">
        <v>3000</v>
      </c>
      <c r="L323" s="59" t="n">
        <f aca="false">I323-J323-K323</f>
        <v>-4000</v>
      </c>
      <c r="M323" s="60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59" t="n">
        <f aca="false">V323-W323-X323</f>
        <v>0</v>
      </c>
    </row>
    <row collapsed="false" customFormat="false" customHeight="false" hidden="false" ht="15" outlineLevel="0" r="324">
      <c r="A324" s="19" t="n">
        <f aca="false">VLOOKUP(B324,справочник!$B$2:$E$322,4,0)</f>
        <v>309</v>
      </c>
      <c r="B324" s="0" t="e">
        <f aca="false">CONCATENATE(C324;D324)</f>
        <v>#VALUE!</v>
      </c>
      <c r="C324" s="24" t="n">
        <v>324</v>
      </c>
      <c r="D324" s="93" t="s">
        <v>82</v>
      </c>
      <c r="E324" s="24" t="s">
        <v>681</v>
      </c>
      <c r="F324" s="30" t="n">
        <v>41002</v>
      </c>
      <c r="G324" s="30" t="n">
        <v>41000</v>
      </c>
      <c r="H324" s="31" t="n">
        <f aca="false">INT(($H$327-G324)/30)</f>
        <v>45</v>
      </c>
      <c r="I324" s="24" t="n">
        <f aca="false">H324*1000</f>
        <v>45000</v>
      </c>
      <c r="J324" s="31" t="n">
        <f aca="false">17000+1000</f>
        <v>18000</v>
      </c>
      <c r="K324" s="31" t="n">
        <v>5000</v>
      </c>
      <c r="L324" s="59" t="n">
        <f aca="false">I324-J324-K324</f>
        <v>22000</v>
      </c>
      <c r="M324" s="6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59" t="n">
        <f aca="false">V324-W324-X324</f>
        <v>0</v>
      </c>
    </row>
    <row collapsed="false" customFormat="false" customHeight="false" hidden="false" ht="15" outlineLevel="0" r="325">
      <c r="A325" s="19" t="n">
        <f aca="false">VLOOKUP(B325,справочник!$B$2:$E$322,4,0)</f>
        <v>17</v>
      </c>
      <c r="B325" s="0" t="e">
        <f aca="false">CONCATENATE(C325;D325)</f>
        <v>#VALUE!</v>
      </c>
      <c r="C325" s="24" t="n">
        <v>17</v>
      </c>
      <c r="D325" s="29" t="s">
        <v>239</v>
      </c>
      <c r="E325" s="24" t="s">
        <v>682</v>
      </c>
      <c r="F325" s="30" t="n">
        <v>41254</v>
      </c>
      <c r="G325" s="30" t="n">
        <v>41275</v>
      </c>
      <c r="H325" s="31" t="n">
        <f aca="false">INT(($H$327-G325)/30)</f>
        <v>36</v>
      </c>
      <c r="I325" s="24" t="n">
        <f aca="false">H325*1000</f>
        <v>36000</v>
      </c>
      <c r="J325" s="31" t="n">
        <v>31000</v>
      </c>
      <c r="K325" s="31"/>
      <c r="L325" s="59" t="n">
        <f aca="false">I325-J325-K325</f>
        <v>5000</v>
      </c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59" t="n">
        <f aca="false">V325-W325-X325</f>
        <v>0</v>
      </c>
    </row>
    <row collapsed="false" customFormat="false" customHeight="false" hidden="false" ht="15" outlineLevel="0" r="326">
      <c r="A326" s="19" t="n">
        <f aca="false">VLOOKUP(B326,справочник!$B$2:$E$322,4,0)</f>
        <v>40</v>
      </c>
      <c r="B326" s="0" t="e">
        <f aca="false">CONCATENATE(C326;D326)</f>
        <v>#VALUE!</v>
      </c>
      <c r="C326" s="24" t="n">
        <v>40</v>
      </c>
      <c r="D326" s="93" t="s">
        <v>123</v>
      </c>
      <c r="E326" s="24" t="s">
        <v>683</v>
      </c>
      <c r="F326" s="30" t="n">
        <v>40772</v>
      </c>
      <c r="G326" s="30" t="n">
        <v>40756</v>
      </c>
      <c r="H326" s="31" t="n">
        <f aca="false">INT(($H$327-G326)/30)</f>
        <v>53</v>
      </c>
      <c r="I326" s="24" t="n">
        <f aca="false">H326*1000</f>
        <v>53000</v>
      </c>
      <c r="J326" s="31" t="n">
        <f aca="false">1000+37000</f>
        <v>38000</v>
      </c>
      <c r="K326" s="31"/>
      <c r="L326" s="59" t="n">
        <f aca="false">I326-J326-K326</f>
        <v>15000</v>
      </c>
      <c r="M326" s="60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59" t="n">
        <f aca="false">V326-W326-X326</f>
        <v>0</v>
      </c>
    </row>
    <row collapsed="false" customFormat="false" customHeight="false" hidden="false" ht="15" outlineLevel="0" r="327">
      <c r="A327" s="19" t="e">
        <f aca="false">VLOOKUP(B327,справочник!$B$2:$E$322,4,0)</f>
        <v>#VALUE!</v>
      </c>
      <c r="B327" s="0" t="e">
        <f aca="false">CONCATENATE(C327;D327)</f>
        <v>#VALUE!</v>
      </c>
      <c r="H327" s="54" t="n">
        <v>42369</v>
      </c>
    </row>
  </sheetData>
  <autoFilter ref="A4:Y4"/>
  <mergeCells count="4">
    <mergeCell ref="C3:C4"/>
    <mergeCell ref="D3:D4"/>
    <mergeCell ref="E3:E4"/>
    <mergeCell ref="H3:L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I336"/>
  <sheetViews>
    <sheetView colorId="64" defaultGridColor="true" rightToLeft="false" showFormulas="false" showGridLines="true" showOutlineSymbols="true" showRowColHeaders="true" showZeros="true" tabSelected="false" topLeftCell="W1" view="normal" windowProtection="false" workbookViewId="0" zoomScale="100" zoomScaleNormal="100" zoomScalePageLayoutView="100">
      <selection activeCell="AG8" activeCellId="0" pane="topLeft" sqref="AG8"/>
    </sheetView>
  </sheetViews>
  <sheetFormatPr defaultRowHeight="15"/>
  <cols>
    <col collapsed="false" hidden="false" max="1" min="1" style="0" width="19.9948979591837"/>
    <col collapsed="false" hidden="false" max="2" min="2" style="0" width="37.4183673469388"/>
    <col collapsed="false" hidden="false" max="3" min="3" style="0" width="19.9948979591837"/>
    <col collapsed="false" hidden="false" max="4" min="4" style="0" width="28.1428571428571"/>
    <col collapsed="false" hidden="false" max="5" min="5" style="0" width="19.9948979591837"/>
    <col collapsed="false" hidden="false" max="21" min="6" style="0" width="8.72959183673469"/>
    <col collapsed="false" hidden="false" max="22" min="22" style="0" width="77.2857142857143"/>
    <col collapsed="false" hidden="false" max="23" min="23" style="0" width="36.7091836734694"/>
    <col collapsed="false" hidden="false" max="28" min="24" style="0" width="8.72959183673469"/>
    <col collapsed="false" hidden="false" max="29" min="29" style="0" width="34.5765306122449"/>
    <col collapsed="false" hidden="false" max="31" min="30" style="0" width="8.72959183673469"/>
    <col collapsed="false" hidden="false" max="32" min="32" style="0" width="35.5765306122449"/>
    <col collapsed="false" hidden="false" max="33" min="33" style="0" width="52.1428571428571"/>
    <col collapsed="false" hidden="false" max="34" min="34" style="0" width="24.2908163265306"/>
    <col collapsed="false" hidden="false" max="35" min="35" style="0" width="13.8571428571429"/>
    <col collapsed="false" hidden="false" max="1025" min="36" style="0" width="8.72959183673469"/>
  </cols>
  <sheetData>
    <row collapsed="false" customFormat="false" customHeight="false" hidden="false" ht="15" outlineLevel="0" r="1">
      <c r="A1" s="97" t="s">
        <v>4</v>
      </c>
      <c r="B1" s="97" t="s">
        <v>716</v>
      </c>
      <c r="C1" s="97" t="s">
        <v>362</v>
      </c>
      <c r="D1" s="98" t="s">
        <v>5</v>
      </c>
      <c r="E1" s="97" t="s">
        <v>4</v>
      </c>
      <c r="F1" s="99" t="s">
        <v>717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8"/>
      <c r="T1" s="18"/>
      <c r="U1" s="18"/>
      <c r="V1" s="101" t="s">
        <v>5</v>
      </c>
      <c r="W1" s="102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</row>
    <row collapsed="false" customFormat="true" customHeight="false" hidden="false" ht="15" outlineLevel="0" r="2" s="103">
      <c r="A2" s="24" t="n">
        <v>79</v>
      </c>
      <c r="B2" s="53" t="e">
        <f aca="false">CONCATENATE(C2;D2)</f>
        <v>#VALUE!</v>
      </c>
      <c r="C2" s="53" t="n">
        <v>84</v>
      </c>
      <c r="D2" s="53" t="s">
        <v>55</v>
      </c>
      <c r="E2" s="24" t="n">
        <v>79</v>
      </c>
      <c r="F2" s="103" t="n">
        <f aca="false">IF(VLOOKUP(D2,$V$2:$W$299,2,0)&lt;&gt;1,1,0)</f>
        <v>0</v>
      </c>
      <c r="V2" s="104" t="s">
        <v>280</v>
      </c>
      <c r="W2" s="105" t="n">
        <v>3</v>
      </c>
      <c r="AA2" s="106" t="n">
        <v>1</v>
      </c>
      <c r="AB2" s="106" t="n">
        <v>6</v>
      </c>
      <c r="AC2" s="107" t="s">
        <v>30</v>
      </c>
      <c r="AE2" s="103" t="n">
        <v>1</v>
      </c>
      <c r="AF2" s="107" t="s">
        <v>30</v>
      </c>
      <c r="AG2" s="107" t="s">
        <v>30</v>
      </c>
      <c r="AH2" s="103" t="str">
        <f aca="false">VLOOKUP(AF2,$AI$2:$AI$11,1,0)</f>
        <v>Жохова Елена Сергеевна</v>
      </c>
      <c r="AI2" s="103" t="s">
        <v>90</v>
      </c>
    </row>
    <row collapsed="false" customFormat="false" customHeight="false" hidden="false" ht="15" outlineLevel="0" r="3">
      <c r="A3" s="24" t="n">
        <v>35</v>
      </c>
      <c r="B3" s="53" t="e">
        <f aca="false">CONCATENATE(C3;D3)</f>
        <v>#VALUE!</v>
      </c>
      <c r="C3" s="53" t="n">
        <v>35</v>
      </c>
      <c r="D3" s="53" t="s">
        <v>115</v>
      </c>
      <c r="E3" s="24" t="n">
        <v>35</v>
      </c>
      <c r="F3" s="103" t="e">
        <f aca="false">IF(VLOOKUP(D3;$V$2:$W$299;2;0)&lt;&gt;1;1;0)</f>
        <v>#VALUE!</v>
      </c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8" t="s">
        <v>51</v>
      </c>
      <c r="W3" s="109" t="n">
        <v>3</v>
      </c>
      <c r="AA3" s="106" t="n">
        <v>2</v>
      </c>
      <c r="AB3" s="106" t="n">
        <v>6</v>
      </c>
      <c r="AC3" s="107" t="s">
        <v>30</v>
      </c>
      <c r="AE3" s="103" t="n">
        <v>2</v>
      </c>
      <c r="AF3" s="107" t="s">
        <v>28</v>
      </c>
      <c r="AG3" s="110" t="s">
        <v>289</v>
      </c>
      <c r="AH3" s="103" t="e">
        <f aca="false">VLOOKUP(AF3;$AI$2:$AI$11;1;0)</f>
        <v>#VALUE!</v>
      </c>
      <c r="AI3" s="103" t="s">
        <v>55</v>
      </c>
    </row>
    <row collapsed="false" customFormat="false" customHeight="false" hidden="false" ht="15" outlineLevel="0" r="4">
      <c r="A4" s="24" t="n">
        <v>260</v>
      </c>
      <c r="B4" s="53" t="e">
        <f aca="false">CONCATENATE(C4;D4)</f>
        <v>#VALUE!</v>
      </c>
      <c r="C4" s="53" t="n">
        <v>273</v>
      </c>
      <c r="D4" s="53" t="s">
        <v>182</v>
      </c>
      <c r="E4" s="24" t="n">
        <v>260</v>
      </c>
      <c r="F4" s="103" t="e">
        <f aca="false">IF(VLOOKUP(D4;$V$2:$W$299;2;0)&lt;&gt;1;1;0)</f>
        <v>#VALUE!</v>
      </c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8" t="s">
        <v>60</v>
      </c>
      <c r="W4" s="109" t="n">
        <v>3</v>
      </c>
      <c r="AA4" s="106" t="n">
        <v>3</v>
      </c>
      <c r="AB4" s="106" t="n">
        <v>6</v>
      </c>
      <c r="AC4" s="107" t="s">
        <v>30</v>
      </c>
      <c r="AE4" s="103" t="n">
        <v>3</v>
      </c>
      <c r="AF4" s="107" t="s">
        <v>42</v>
      </c>
      <c r="AG4" s="107" t="s">
        <v>42</v>
      </c>
      <c r="AH4" s="103" t="e">
        <f aca="false">VLOOKUP(AF4;$AI$2:$AI$11;1;0)</f>
        <v>#VALUE!</v>
      </c>
      <c r="AI4" s="103" t="s">
        <v>42</v>
      </c>
    </row>
    <row collapsed="false" customFormat="false" customHeight="false" hidden="false" ht="25.5" outlineLevel="0" r="5">
      <c r="A5" s="24" t="n">
        <v>203</v>
      </c>
      <c r="B5" s="53" t="e">
        <f aca="false">CONCATENATE(C5;D5)</f>
        <v>#VALUE!</v>
      </c>
      <c r="C5" s="53" t="n">
        <v>213</v>
      </c>
      <c r="D5" s="53" t="s">
        <v>300</v>
      </c>
      <c r="E5" s="24" t="n">
        <v>203</v>
      </c>
      <c r="F5" s="103" t="e">
        <f aca="false">IF(VLOOKUP(D5;$V$2:$W$299;2;0)&lt;&gt;1;1;0)</f>
        <v>#VALUE!</v>
      </c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8" t="s">
        <v>120</v>
      </c>
      <c r="W5" s="109" t="n">
        <v>3</v>
      </c>
      <c r="AA5" s="106" t="n">
        <v>4</v>
      </c>
      <c r="AB5" s="106" t="n">
        <v>6</v>
      </c>
      <c r="AC5" s="107" t="s">
        <v>30</v>
      </c>
      <c r="AE5" s="103" t="n">
        <v>4</v>
      </c>
      <c r="AF5" s="107" t="s">
        <v>55</v>
      </c>
      <c r="AG5" s="107" t="s">
        <v>55</v>
      </c>
      <c r="AH5" s="103" t="e">
        <f aca="false">VLOOKUP(AF5;$AI$2:$AI$11;1;0)</f>
        <v>#VALUE!</v>
      </c>
      <c r="AI5" s="103" t="s">
        <v>30</v>
      </c>
    </row>
    <row collapsed="false" customFormat="false" customHeight="false" hidden="false" ht="15" outlineLevel="0" r="6">
      <c r="A6" s="24" t="n">
        <v>316</v>
      </c>
      <c r="B6" s="53" t="e">
        <f aca="false">CONCATENATE(C6;D6)</f>
        <v>#VALUE!</v>
      </c>
      <c r="C6" s="53" t="s">
        <v>379</v>
      </c>
      <c r="D6" s="53" t="s">
        <v>112</v>
      </c>
      <c r="E6" s="24" t="n">
        <v>316</v>
      </c>
      <c r="F6" s="103" t="e">
        <f aca="false">IF(VLOOKUP(D6;$V$2:$W$299;2;0)&lt;&gt;1;1;0)</f>
        <v>#VALUE!</v>
      </c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8" t="s">
        <v>298</v>
      </c>
      <c r="W6" s="109" t="n">
        <v>2</v>
      </c>
      <c r="AA6" s="106" t="n">
        <v>5</v>
      </c>
      <c r="AB6" s="106" t="n">
        <v>6</v>
      </c>
      <c r="AC6" s="107" t="s">
        <v>30</v>
      </c>
      <c r="AE6" s="103" t="n">
        <v>5</v>
      </c>
      <c r="AF6" s="107" t="s">
        <v>49</v>
      </c>
      <c r="AG6" s="110" t="s">
        <v>192</v>
      </c>
      <c r="AH6" s="103" t="e">
        <f aca="false">VLOOKUP(AF6;$AI$2:$AI$11;1;0)</f>
        <v>#VALUE!</v>
      </c>
      <c r="AI6" s="103" t="s">
        <v>36</v>
      </c>
    </row>
    <row collapsed="false" customFormat="false" customHeight="false" hidden="false" ht="15" outlineLevel="0" r="7">
      <c r="A7" s="24" t="n">
        <v>232</v>
      </c>
      <c r="B7" s="53" t="e">
        <f aca="false">CONCATENATE(C7;D7)</f>
        <v>#VALUE!</v>
      </c>
      <c r="C7" s="53" t="n">
        <v>241</v>
      </c>
      <c r="D7" s="53" t="s">
        <v>76</v>
      </c>
      <c r="E7" s="24" t="n">
        <v>232</v>
      </c>
      <c r="F7" s="103" t="e">
        <f aca="false">IF(VLOOKUP(D7;$V$2:$W$299;2;0)&lt;&gt;1;1;0)</f>
        <v>#VALUE!</v>
      </c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8" t="s">
        <v>168</v>
      </c>
      <c r="W7" s="109" t="n">
        <v>2</v>
      </c>
      <c r="AA7" s="106" t="n">
        <v>6</v>
      </c>
      <c r="AB7" s="106" t="n">
        <v>6</v>
      </c>
      <c r="AC7" s="107" t="s">
        <v>30</v>
      </c>
      <c r="AE7" s="103" t="n">
        <v>6</v>
      </c>
      <c r="AF7" s="107" t="s">
        <v>24</v>
      </c>
      <c r="AG7" s="110" t="s">
        <v>91</v>
      </c>
      <c r="AH7" s="103" t="e">
        <f aca="false">VLOOKUP(AF7;$AI$2:$AI$11;1;0)</f>
        <v>#VALUE!</v>
      </c>
      <c r="AI7" s="103" t="s">
        <v>32</v>
      </c>
    </row>
    <row collapsed="false" customFormat="false" customHeight="false" hidden="false" ht="25.5" outlineLevel="0" r="8">
      <c r="A8" s="24" t="n">
        <v>277</v>
      </c>
      <c r="B8" s="53" t="e">
        <f aca="false">CONCATENATE(C8;D8)</f>
        <v>#VALUE!</v>
      </c>
      <c r="C8" s="53" t="n">
        <v>290</v>
      </c>
      <c r="D8" s="53" t="s">
        <v>232</v>
      </c>
      <c r="E8" s="24" t="n">
        <v>277</v>
      </c>
      <c r="F8" s="103" t="e">
        <f aca="false">IF(VLOOKUP(D8;$V$2:$W$299;2;0)&lt;&gt;1;1;0)</f>
        <v>#VALUE!</v>
      </c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8" t="s">
        <v>314</v>
      </c>
      <c r="W8" s="109" t="n">
        <v>2</v>
      </c>
      <c r="AA8" s="106" t="n">
        <v>7</v>
      </c>
      <c r="AB8" s="106" t="n">
        <v>6</v>
      </c>
      <c r="AC8" s="107" t="s">
        <v>30</v>
      </c>
      <c r="AE8" s="103" t="n">
        <v>7</v>
      </c>
      <c r="AF8" s="107" t="s">
        <v>36</v>
      </c>
      <c r="AG8" s="107" t="s">
        <v>36</v>
      </c>
      <c r="AH8" s="103" t="e">
        <f aca="false">VLOOKUP(AF8;$AI$2:$AI$11;1;0)</f>
        <v>#VALUE!</v>
      </c>
      <c r="AI8" s="103" t="s">
        <v>38</v>
      </c>
    </row>
    <row collapsed="false" customFormat="false" customHeight="false" hidden="false" ht="25.5" outlineLevel="0" r="9">
      <c r="A9" s="24" t="n">
        <v>221</v>
      </c>
      <c r="B9" s="53" t="e">
        <f aca="false">CONCATENATE(C9;D9)</f>
        <v>#VALUE!</v>
      </c>
      <c r="C9" s="53" t="n">
        <v>230</v>
      </c>
      <c r="D9" s="53" t="s">
        <v>194</v>
      </c>
      <c r="E9" s="24" t="n">
        <v>221</v>
      </c>
      <c r="F9" s="103" t="e">
        <f aca="false">IF(VLOOKUP(D9;$V$2:$W$299;2;0)&lt;&gt;1;1;0)</f>
        <v>#VALUE!</v>
      </c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8" t="s">
        <v>150</v>
      </c>
      <c r="W9" s="109" t="n">
        <v>2</v>
      </c>
      <c r="AA9" s="106" t="n">
        <v>8</v>
      </c>
      <c r="AB9" s="106" t="n">
        <v>6</v>
      </c>
      <c r="AC9" s="107" t="s">
        <v>30</v>
      </c>
      <c r="AE9" s="103" t="n">
        <v>8</v>
      </c>
      <c r="AF9" s="107" t="s">
        <v>32</v>
      </c>
      <c r="AG9" s="107" t="s">
        <v>32</v>
      </c>
      <c r="AH9" s="103" t="e">
        <f aca="false">VLOOKUP(AF9;$AI$2:$AI$11;1;0)</f>
        <v>#VALUE!</v>
      </c>
      <c r="AI9" s="103" t="s">
        <v>26</v>
      </c>
    </row>
    <row collapsed="false" customFormat="false" customHeight="false" hidden="false" ht="15" outlineLevel="0" r="10">
      <c r="A10" s="24" t="n">
        <v>259</v>
      </c>
      <c r="B10" s="53" t="e">
        <f aca="false">CONCATENATE(C10;D10)</f>
        <v>#VALUE!</v>
      </c>
      <c r="C10" s="53" t="n">
        <v>272</v>
      </c>
      <c r="D10" s="53" t="s">
        <v>178</v>
      </c>
      <c r="E10" s="24" t="n">
        <v>259</v>
      </c>
      <c r="F10" s="103" t="e">
        <f aca="false">IF(VLOOKUP(D10;$V$2:$W$299;2;0)&lt;&gt;1;1;0)</f>
        <v>#VALUE!</v>
      </c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8" t="s">
        <v>74</v>
      </c>
      <c r="W10" s="109" t="n">
        <v>2</v>
      </c>
      <c r="AA10" s="106" t="n">
        <v>9</v>
      </c>
      <c r="AB10" s="106" t="n">
        <v>6</v>
      </c>
      <c r="AC10" s="107" t="s">
        <v>30</v>
      </c>
      <c r="AE10" s="103" t="n">
        <v>9</v>
      </c>
      <c r="AF10" s="107" t="s">
        <v>26</v>
      </c>
      <c r="AG10" s="107" t="s">
        <v>26</v>
      </c>
      <c r="AH10" s="103" t="e">
        <f aca="false">VLOOKUP(AF10;$AI$2:$AI$11;1;0)</f>
        <v>#VALUE!</v>
      </c>
      <c r="AI10" s="103" t="s">
        <v>70</v>
      </c>
    </row>
    <row collapsed="false" customFormat="false" customHeight="false" hidden="false" ht="15" outlineLevel="0" r="11">
      <c r="A11" s="24" t="n">
        <v>109</v>
      </c>
      <c r="B11" s="53" t="e">
        <f aca="false">CONCATENATE(C11;D11)</f>
        <v>#VALUE!</v>
      </c>
      <c r="C11" s="53" t="n">
        <v>114</v>
      </c>
      <c r="D11" s="53" t="s">
        <v>102</v>
      </c>
      <c r="E11" s="24" t="n">
        <v>109</v>
      </c>
      <c r="F11" s="103" t="e">
        <f aca="false">IF(VLOOKUP(D11;$V$2:$W$299;2;0)&lt;&gt;1;1;0)</f>
        <v>#VALUE!</v>
      </c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8" t="s">
        <v>175</v>
      </c>
      <c r="W11" s="109" t="n">
        <v>2</v>
      </c>
      <c r="AA11" s="106" t="n">
        <v>10</v>
      </c>
      <c r="AB11" s="106" t="n">
        <v>6</v>
      </c>
      <c r="AC11" s="107" t="s">
        <v>30</v>
      </c>
      <c r="AE11" s="103" t="n">
        <v>10</v>
      </c>
      <c r="AF11" s="107" t="s">
        <v>38</v>
      </c>
      <c r="AG11" s="107" t="s">
        <v>38</v>
      </c>
      <c r="AH11" s="103" t="e">
        <f aca="false">VLOOKUP(AF11;$AI$2:$AI$11;1;0)</f>
        <v>#VALUE!</v>
      </c>
      <c r="AI11" s="103" t="s">
        <v>40</v>
      </c>
    </row>
    <row collapsed="false" customFormat="false" customHeight="false" hidden="false" ht="15" outlineLevel="0" r="12">
      <c r="A12" s="24" t="n">
        <v>130</v>
      </c>
      <c r="B12" s="53" t="e">
        <f aca="false">CONCATENATE(C12;D12)</f>
        <v>#VALUE!</v>
      </c>
      <c r="C12" s="53" t="n">
        <v>137</v>
      </c>
      <c r="D12" s="53" t="s">
        <v>36</v>
      </c>
      <c r="E12" s="24" t="n">
        <v>130</v>
      </c>
      <c r="F12" s="103" t="e">
        <f aca="false">IF(VLOOKUP(D12;$V$2:$W$299;2;0)&lt;&gt;1;1;0)</f>
        <v>#VALUE!</v>
      </c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8" t="s">
        <v>53</v>
      </c>
      <c r="W12" s="109" t="n">
        <v>2</v>
      </c>
      <c r="AA12" s="106" t="n">
        <v>11</v>
      </c>
      <c r="AB12" s="106" t="n">
        <v>6</v>
      </c>
      <c r="AC12" s="107" t="s">
        <v>30</v>
      </c>
      <c r="AE12" s="103" t="n">
        <v>11</v>
      </c>
      <c r="AF12" s="107" t="s">
        <v>44</v>
      </c>
      <c r="AG12" s="110" t="s">
        <v>280</v>
      </c>
      <c r="AH12" s="103" t="e">
        <f aca="false">VLOOKUP(AF12;$AI$2:$AI$11;1;0)</f>
        <v>#VALUE!</v>
      </c>
    </row>
    <row collapsed="false" customFormat="false" customHeight="false" hidden="false" ht="15" outlineLevel="0" r="13">
      <c r="A13" s="24" t="n">
        <v>7</v>
      </c>
      <c r="B13" s="53" t="e">
        <f aca="false">CONCATENATE(C13;D13)</f>
        <v>#VALUE!</v>
      </c>
      <c r="C13" s="53" t="n">
        <v>14</v>
      </c>
      <c r="D13" s="53" t="s">
        <v>46</v>
      </c>
      <c r="E13" s="24" t="n">
        <v>7</v>
      </c>
      <c r="F13" s="103" t="e">
        <f aca="false">IF(VLOOKUP(D13;$V$2:$W$299;2;0)&lt;&gt;1;1;0)</f>
        <v>#VALUE!</v>
      </c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8" t="s">
        <v>45</v>
      </c>
      <c r="W13" s="109" t="n">
        <v>2</v>
      </c>
      <c r="X13" s="103"/>
      <c r="Y13" s="103"/>
      <c r="Z13" s="103"/>
      <c r="AA13" s="106" t="n">
        <v>12</v>
      </c>
      <c r="AB13" s="106" t="n">
        <v>6</v>
      </c>
      <c r="AC13" s="107" t="s">
        <v>30</v>
      </c>
      <c r="AD13" s="103"/>
      <c r="AE13" s="103" t="n">
        <v>12</v>
      </c>
      <c r="AF13" s="107" t="s">
        <v>70</v>
      </c>
      <c r="AG13" s="107" t="s">
        <v>70</v>
      </c>
      <c r="AH13" s="103" t="e">
        <f aca="false">VLOOKUP(AF13;$AI$2:$AI$11;1;0)</f>
        <v>#VALUE!</v>
      </c>
    </row>
    <row collapsed="false" customFormat="false" customHeight="false" hidden="false" ht="15" outlineLevel="0" r="14">
      <c r="A14" s="24" t="n">
        <v>7</v>
      </c>
      <c r="B14" s="53" t="e">
        <f aca="false">CONCATENATE(C14;D14)</f>
        <v>#VALUE!</v>
      </c>
      <c r="C14" s="53" t="n">
        <v>7</v>
      </c>
      <c r="D14" s="53" t="s">
        <v>46</v>
      </c>
      <c r="E14" s="24" t="n">
        <v>7</v>
      </c>
      <c r="F14" s="103" t="e">
        <f aca="false">IF(VLOOKUP(D14;$V$2:$W$299;2;0)&lt;&gt;1;1;0)</f>
        <v>#VALUE!</v>
      </c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8" t="s">
        <v>72</v>
      </c>
      <c r="W14" s="109" t="n">
        <v>2</v>
      </c>
      <c r="X14" s="103"/>
      <c r="Y14" s="103"/>
      <c r="Z14" s="103"/>
      <c r="AA14" s="106" t="n">
        <v>13</v>
      </c>
      <c r="AB14" s="106" t="n">
        <v>6</v>
      </c>
      <c r="AC14" s="107" t="s">
        <v>30</v>
      </c>
      <c r="AD14" s="103"/>
      <c r="AE14" s="103" t="n">
        <v>13</v>
      </c>
      <c r="AF14" s="107" t="s">
        <v>34</v>
      </c>
      <c r="AG14" s="110" t="s">
        <v>293</v>
      </c>
      <c r="AH14" s="103" t="e">
        <f aca="false">VLOOKUP(AF14;$AI$2:$AI$11;1;0)</f>
        <v>#VALUE!</v>
      </c>
    </row>
    <row collapsed="false" customFormat="false" customHeight="false" hidden="false" ht="25.5" outlineLevel="0" r="15">
      <c r="A15" s="24" t="n">
        <v>193</v>
      </c>
      <c r="B15" s="53" t="e">
        <f aca="false">CONCATENATE(C15;D15)</f>
        <v>#VALUE!</v>
      </c>
      <c r="C15" s="53" t="n">
        <v>201</v>
      </c>
      <c r="D15" s="53" t="s">
        <v>212</v>
      </c>
      <c r="E15" s="24" t="n">
        <v>193</v>
      </c>
      <c r="F15" s="103" t="e">
        <f aca="false">IF(VLOOKUP(D15;$V$2:$W$299;2;0)&lt;&gt;1;1;0)</f>
        <v>#VALUE!</v>
      </c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8" t="s">
        <v>46</v>
      </c>
      <c r="W15" s="109" t="n">
        <v>2</v>
      </c>
      <c r="X15" s="103"/>
      <c r="Y15" s="103"/>
      <c r="Z15" s="103"/>
      <c r="AA15" s="106" t="n">
        <v>14</v>
      </c>
      <c r="AB15" s="106" t="n">
        <v>6</v>
      </c>
      <c r="AC15" s="107" t="s">
        <v>30</v>
      </c>
      <c r="AE15" s="103" t="n">
        <v>14</v>
      </c>
      <c r="AF15" s="107" t="s">
        <v>40</v>
      </c>
      <c r="AG15" s="107" t="s">
        <v>40</v>
      </c>
      <c r="AH15" s="103" t="e">
        <f aca="false">VLOOKUP(AF15;$AI$2:$AI$11;1;0)</f>
        <v>#VALUE!</v>
      </c>
    </row>
    <row collapsed="false" customFormat="false" customHeight="false" hidden="false" ht="15" outlineLevel="0" r="16">
      <c r="A16" s="24" t="n">
        <v>178</v>
      </c>
      <c r="B16" s="53" t="e">
        <f aca="false">CONCATENATE(C16;D16)</f>
        <v>#VALUE!</v>
      </c>
      <c r="C16" s="53" t="n">
        <v>186</v>
      </c>
      <c r="D16" s="53" t="s">
        <v>128</v>
      </c>
      <c r="E16" s="24" t="n">
        <v>178</v>
      </c>
      <c r="F16" s="103" t="e">
        <f aca="false">IF(VLOOKUP(D16;$V$2:$W$299;2;0)&lt;&gt;1;1;0)</f>
        <v>#VALUE!</v>
      </c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8" t="s">
        <v>25</v>
      </c>
      <c r="W16" s="109" t="n">
        <v>2</v>
      </c>
      <c r="X16" s="103"/>
      <c r="Y16" s="103"/>
      <c r="Z16" s="103"/>
      <c r="AA16" s="106" t="n">
        <v>15</v>
      </c>
      <c r="AB16" s="106" t="n">
        <v>6</v>
      </c>
      <c r="AC16" s="107" t="s">
        <v>30</v>
      </c>
      <c r="AE16" s="103" t="n">
        <v>15</v>
      </c>
      <c r="AF16" s="107" t="s">
        <v>90</v>
      </c>
      <c r="AG16" s="107" t="s">
        <v>90</v>
      </c>
      <c r="AH16" s="103" t="e">
        <f aca="false">VLOOKUP(AF16;$AI$2:$AI$11;1;0)</f>
        <v>#VALUE!</v>
      </c>
    </row>
    <row collapsed="false" customFormat="false" customHeight="false" hidden="false" ht="15" outlineLevel="0" r="17">
      <c r="A17" s="24" t="n">
        <v>119</v>
      </c>
      <c r="B17" s="53" t="e">
        <f aca="false">CONCATENATE(C17;D17)</f>
        <v>#VALUE!</v>
      </c>
      <c r="C17" s="53" t="n">
        <v>124</v>
      </c>
      <c r="D17" s="53" t="s">
        <v>110</v>
      </c>
      <c r="E17" s="24" t="n">
        <v>119</v>
      </c>
      <c r="F17" s="103" t="e">
        <f aca="false">IF(VLOOKUP(D17;$V$2:$W$299;2;0)&lt;&gt;1;1;0)</f>
        <v>#VALUE!</v>
      </c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8" t="s">
        <v>131</v>
      </c>
      <c r="W17" s="109" t="n">
        <v>2</v>
      </c>
      <c r="X17" s="103"/>
      <c r="Y17" s="103"/>
      <c r="Z17" s="103"/>
      <c r="AA17" s="106" t="n">
        <v>16</v>
      </c>
      <c r="AB17" s="106" t="n">
        <v>6</v>
      </c>
      <c r="AC17" s="107" t="s">
        <v>30</v>
      </c>
    </row>
    <row collapsed="false" customFormat="false" customHeight="false" hidden="false" ht="25.5" outlineLevel="0" r="18">
      <c r="A18" s="24" t="n">
        <v>293</v>
      </c>
      <c r="B18" s="53" t="e">
        <f aca="false">CONCATENATE(C18;D18)</f>
        <v>#VALUE!</v>
      </c>
      <c r="C18" s="53" t="n">
        <v>308</v>
      </c>
      <c r="D18" s="53" t="s">
        <v>135</v>
      </c>
      <c r="E18" s="24" t="n">
        <v>293</v>
      </c>
      <c r="F18" s="103" t="e">
        <f aca="false">IF(VLOOKUP(D18;$V$2:$W$299;2;0)&lt;&gt;1;1;0)</f>
        <v>#VALUE!</v>
      </c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8" t="s">
        <v>312</v>
      </c>
      <c r="W18" s="109" t="n">
        <v>2</v>
      </c>
      <c r="AA18" s="106" t="n">
        <v>17</v>
      </c>
      <c r="AB18" s="106" t="n">
        <v>6</v>
      </c>
      <c r="AC18" s="107" t="s">
        <v>30</v>
      </c>
    </row>
    <row collapsed="false" customFormat="false" customHeight="false" hidden="false" ht="15" outlineLevel="0" r="19">
      <c r="A19" s="24" t="n">
        <v>191</v>
      </c>
      <c r="B19" s="53" t="e">
        <f aca="false">CONCATENATE(C19;D19)</f>
        <v>#VALUE!</v>
      </c>
      <c r="C19" s="53" t="n">
        <v>199</v>
      </c>
      <c r="D19" s="53" t="s">
        <v>213</v>
      </c>
      <c r="E19" s="24" t="n">
        <v>191</v>
      </c>
      <c r="F19" s="103" t="e">
        <f aca="false">IF(VLOOKUP(D19;$V$2:$W$299;2;0)&lt;&gt;1;1;0)</f>
        <v>#VALUE!</v>
      </c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8" t="s">
        <v>23</v>
      </c>
      <c r="W19" s="109" t="n">
        <v>2</v>
      </c>
      <c r="AA19" s="106" t="n">
        <v>18</v>
      </c>
      <c r="AB19" s="106" t="n">
        <v>6</v>
      </c>
      <c r="AC19" s="107" t="s">
        <v>30</v>
      </c>
    </row>
    <row collapsed="false" customFormat="false" customHeight="false" hidden="false" ht="25.5" outlineLevel="0" r="20">
      <c r="A20" s="24" t="n">
        <v>249</v>
      </c>
      <c r="B20" s="53" t="e">
        <f aca="false">CONCATENATE(C20;D20)</f>
        <v>#VALUE!</v>
      </c>
      <c r="C20" s="53" t="n">
        <v>260</v>
      </c>
      <c r="D20" s="53" t="s">
        <v>75</v>
      </c>
      <c r="E20" s="24" t="n">
        <v>249</v>
      </c>
      <c r="F20" s="103" t="e">
        <f aca="false">IF(VLOOKUP(D20;$V$2:$W$299;2;0)&lt;&gt;1;1;0)</f>
        <v>#VALUE!</v>
      </c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8" t="s">
        <v>245</v>
      </c>
      <c r="W20" s="109" t="n">
        <v>2</v>
      </c>
      <c r="AA20" s="106" t="n">
        <v>19</v>
      </c>
      <c r="AB20" s="106" t="n">
        <v>6</v>
      </c>
      <c r="AC20" s="107" t="s">
        <v>30</v>
      </c>
    </row>
    <row collapsed="false" customFormat="false" customHeight="false" hidden="false" ht="25.5" outlineLevel="0" r="21">
      <c r="A21" s="24" t="n">
        <v>125</v>
      </c>
      <c r="B21" s="53" t="e">
        <f aca="false">CONCATENATE(C21;D21)</f>
        <v>#VALUE!</v>
      </c>
      <c r="C21" s="53" t="n">
        <v>130</v>
      </c>
      <c r="D21" s="53" t="s">
        <v>195</v>
      </c>
      <c r="E21" s="24" t="n">
        <v>125</v>
      </c>
      <c r="F21" s="103" t="e">
        <f aca="false">IF(VLOOKUP(D21;$V$2:$W$299;2;0)&lt;&gt;1;1;0)</f>
        <v>#VALUE!</v>
      </c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8" t="s">
        <v>32</v>
      </c>
      <c r="W21" s="109" t="n">
        <v>2</v>
      </c>
      <c r="AA21" s="106" t="n">
        <v>20</v>
      </c>
      <c r="AB21" s="106" t="n">
        <v>6</v>
      </c>
      <c r="AC21" s="107" t="s">
        <v>30</v>
      </c>
    </row>
    <row collapsed="false" customFormat="false" customHeight="false" hidden="false" ht="15" outlineLevel="0" r="22">
      <c r="A22" s="24" t="n">
        <v>229</v>
      </c>
      <c r="B22" s="53" t="e">
        <f aca="false">CONCATENATE(C22;D22)</f>
        <v>#VALUE!</v>
      </c>
      <c r="C22" s="53" t="n">
        <v>238</v>
      </c>
      <c r="D22" s="53" t="s">
        <v>79</v>
      </c>
      <c r="E22" s="24" t="n">
        <v>229</v>
      </c>
      <c r="F22" s="103" t="e">
        <f aca="false">IF(VLOOKUP(D22;$V$2:$W$299;2;0)&lt;&gt;1;1;0)</f>
        <v>#VALUE!</v>
      </c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8" t="s">
        <v>171</v>
      </c>
      <c r="W22" s="109" t="n">
        <v>2</v>
      </c>
      <c r="AA22" s="106" t="n">
        <v>21</v>
      </c>
      <c r="AB22" s="106" t="n">
        <v>6</v>
      </c>
      <c r="AC22" s="107" t="s">
        <v>30</v>
      </c>
    </row>
    <row collapsed="false" customFormat="false" customHeight="false" hidden="false" ht="15" outlineLevel="0" r="23">
      <c r="A23" s="24" t="n">
        <v>296</v>
      </c>
      <c r="B23" s="53" t="e">
        <f aca="false">CONCATENATE(C23;D23)</f>
        <v>#VALUE!</v>
      </c>
      <c r="C23" s="53" t="n">
        <v>311</v>
      </c>
      <c r="D23" s="53" t="s">
        <v>39</v>
      </c>
      <c r="E23" s="24" t="n">
        <v>296</v>
      </c>
      <c r="F23" s="103" t="e">
        <f aca="false">IF(VLOOKUP(D23;$V$2:$W$299;2;0)&lt;&gt;1;1;0)</f>
        <v>#VALUE!</v>
      </c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8" t="s">
        <v>270</v>
      </c>
      <c r="W23" s="109" t="n">
        <v>2</v>
      </c>
      <c r="AA23" s="106" t="n">
        <v>22</v>
      </c>
      <c r="AB23" s="106" t="n">
        <v>6</v>
      </c>
      <c r="AC23" s="107" t="s">
        <v>30</v>
      </c>
    </row>
    <row collapsed="false" customFormat="false" customHeight="false" hidden="false" ht="15" outlineLevel="0" r="24">
      <c r="A24" s="24" t="n">
        <v>281</v>
      </c>
      <c r="B24" s="53" t="e">
        <f aca="false">CONCATENATE(C24;D24)</f>
        <v>#VALUE!</v>
      </c>
      <c r="C24" s="53" t="n">
        <v>293</v>
      </c>
      <c r="D24" s="53" t="s">
        <v>105</v>
      </c>
      <c r="E24" s="24" t="n">
        <v>281</v>
      </c>
      <c r="F24" s="103" t="e">
        <f aca="false">IF(VLOOKUP(D24;$V$2:$W$299;2;0)&lt;&gt;1;1;0)</f>
        <v>#VALUE!</v>
      </c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8" t="s">
        <v>36</v>
      </c>
      <c r="W24" s="109" t="n">
        <v>1</v>
      </c>
      <c r="AA24" s="106" t="n">
        <v>23</v>
      </c>
      <c r="AB24" s="106" t="n">
        <v>6</v>
      </c>
      <c r="AC24" s="107" t="s">
        <v>30</v>
      </c>
    </row>
    <row collapsed="false" customFormat="false" customHeight="false" hidden="false" ht="15" outlineLevel="0" r="25">
      <c r="A25" s="24" t="n">
        <v>198</v>
      </c>
      <c r="B25" s="53" t="e">
        <f aca="false">CONCATENATE(C25;D25)</f>
        <v>#VALUE!</v>
      </c>
      <c r="C25" s="53" t="n">
        <v>206</v>
      </c>
      <c r="D25" s="53" t="s">
        <v>262</v>
      </c>
      <c r="E25" s="24" t="n">
        <v>198</v>
      </c>
      <c r="F25" s="103" t="e">
        <f aca="false">IF(VLOOKUP(D25;$V$2:$W$299;2;0)&lt;&gt;1;1;0)</f>
        <v>#VALUE!</v>
      </c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8" t="s">
        <v>212</v>
      </c>
      <c r="W25" s="109" t="n">
        <v>1</v>
      </c>
      <c r="AA25" s="106" t="n">
        <v>24</v>
      </c>
      <c r="AB25" s="106" t="n">
        <v>6</v>
      </c>
      <c r="AC25" s="107" t="s">
        <v>30</v>
      </c>
    </row>
    <row collapsed="false" customFormat="false" customHeight="false" hidden="false" ht="25.5" outlineLevel="0" r="26">
      <c r="A26" s="24" t="n">
        <v>52</v>
      </c>
      <c r="B26" s="53" t="e">
        <f aca="false">CONCATENATE(C26;D26)</f>
        <v>#VALUE!</v>
      </c>
      <c r="C26" s="53" t="n">
        <v>54</v>
      </c>
      <c r="D26" s="53" t="s">
        <v>247</v>
      </c>
      <c r="E26" s="24" t="n">
        <v>52</v>
      </c>
      <c r="F26" s="103" t="e">
        <f aca="false">IF(VLOOKUP(D26;$V$2:$W$299;2;0)&lt;&gt;1;1;0)</f>
        <v>#VALUE!</v>
      </c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8" t="s">
        <v>128</v>
      </c>
      <c r="W26" s="109" t="n">
        <v>1</v>
      </c>
      <c r="AA26" s="106" t="n">
        <v>25</v>
      </c>
      <c r="AB26" s="106" t="n">
        <v>6</v>
      </c>
      <c r="AC26" s="107" t="s">
        <v>30</v>
      </c>
    </row>
    <row collapsed="false" customFormat="false" customHeight="false" hidden="false" ht="25.5" outlineLevel="0" r="27">
      <c r="A27" s="24" t="n">
        <v>51</v>
      </c>
      <c r="B27" s="53" t="e">
        <f aca="false">CONCATENATE(C27;D27)</f>
        <v>#VALUE!</v>
      </c>
      <c r="C27" s="53" t="n">
        <v>53</v>
      </c>
      <c r="D27" s="53" t="s">
        <v>248</v>
      </c>
      <c r="E27" s="24" t="n">
        <v>51</v>
      </c>
      <c r="F27" s="103" t="e">
        <f aca="false">IF(VLOOKUP(D27;$V$2:$W$299;2;0)&lt;&gt;1;1;0)</f>
        <v>#VALUE!</v>
      </c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8" t="s">
        <v>110</v>
      </c>
      <c r="W27" s="109" t="n">
        <v>1</v>
      </c>
      <c r="AA27" s="106" t="n">
        <v>26</v>
      </c>
      <c r="AB27" s="106" t="n">
        <v>6</v>
      </c>
      <c r="AC27" s="107" t="s">
        <v>30</v>
      </c>
    </row>
    <row collapsed="false" customFormat="false" customHeight="false" hidden="false" ht="15" outlineLevel="0" r="28">
      <c r="A28" s="24" t="n">
        <v>136</v>
      </c>
      <c r="B28" s="53" t="e">
        <f aca="false">CONCATENATE(C28;D28)</f>
        <v>#VALUE!</v>
      </c>
      <c r="C28" s="53" t="n">
        <v>144</v>
      </c>
      <c r="D28" s="53" t="s">
        <v>152</v>
      </c>
      <c r="E28" s="24" t="n">
        <v>136</v>
      </c>
      <c r="F28" s="103" t="e">
        <f aca="false">IF(VLOOKUP(D28;$V$2:$W$299;2;0)&lt;&gt;1;1;0)</f>
        <v>#VALUE!</v>
      </c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8" t="s">
        <v>135</v>
      </c>
      <c r="W28" s="109" t="n">
        <v>1</v>
      </c>
      <c r="AA28" s="106" t="n">
        <v>27</v>
      </c>
      <c r="AB28" s="106" t="n">
        <v>6</v>
      </c>
      <c r="AC28" s="107" t="s">
        <v>30</v>
      </c>
    </row>
    <row collapsed="false" customFormat="false" customHeight="false" hidden="false" ht="25.5" outlineLevel="0" r="29">
      <c r="A29" s="24" t="n">
        <v>11</v>
      </c>
      <c r="B29" s="53" t="e">
        <f aca="false">CONCATENATE(C29;D29)</f>
        <v>#VALUE!</v>
      </c>
      <c r="C29" s="53" t="n">
        <v>11</v>
      </c>
      <c r="D29" s="53" t="s">
        <v>142</v>
      </c>
      <c r="E29" s="24" t="n">
        <v>11</v>
      </c>
      <c r="F29" s="103" t="e">
        <f aca="false">IF(VLOOKUP(D29;$V$2:$W$299;2;0)&lt;&gt;1;1;0)</f>
        <v>#VALUE!</v>
      </c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8" t="s">
        <v>213</v>
      </c>
      <c r="W29" s="109" t="n">
        <v>1</v>
      </c>
      <c r="AA29" s="106" t="n">
        <v>28</v>
      </c>
      <c r="AB29" s="106" t="n">
        <v>6</v>
      </c>
      <c r="AC29" s="107" t="s">
        <v>30</v>
      </c>
    </row>
    <row collapsed="false" customFormat="false" customHeight="false" hidden="false" ht="25.5" outlineLevel="0" r="30">
      <c r="A30" s="24" t="n">
        <v>114</v>
      </c>
      <c r="B30" s="53" t="e">
        <f aca="false">CONCATENATE(C30;D30)</f>
        <v>#VALUE!</v>
      </c>
      <c r="C30" s="53" t="n">
        <v>119</v>
      </c>
      <c r="D30" s="53" t="s">
        <v>48</v>
      </c>
      <c r="E30" s="24" t="n">
        <v>114</v>
      </c>
      <c r="F30" s="103" t="e">
        <f aca="false">IF(VLOOKUP(D30;$V$2:$W$299;2;0)&lt;&gt;1;1;0)</f>
        <v>#VALUE!</v>
      </c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8" t="s">
        <v>75</v>
      </c>
      <c r="W30" s="109" t="n">
        <v>1</v>
      </c>
      <c r="AA30" s="106" t="n">
        <v>29</v>
      </c>
      <c r="AB30" s="106" t="n">
        <v>6</v>
      </c>
      <c r="AC30" s="107" t="s">
        <v>30</v>
      </c>
    </row>
    <row collapsed="false" customFormat="false" customHeight="false" hidden="false" ht="15" outlineLevel="0" r="31">
      <c r="A31" s="24" t="n">
        <v>151</v>
      </c>
      <c r="B31" s="53" t="e">
        <f aca="false">CONCATENATE(C31;D31)</f>
        <v>#VALUE!</v>
      </c>
      <c r="C31" s="53" t="n">
        <v>159</v>
      </c>
      <c r="D31" s="53" t="s">
        <v>78</v>
      </c>
      <c r="E31" s="24" t="n">
        <v>151</v>
      </c>
      <c r="F31" s="103" t="e">
        <f aca="false">IF(VLOOKUP(D31;$V$2:$W$299;2;0)&lt;&gt;1;1;0)</f>
        <v>#VALUE!</v>
      </c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8" t="s">
        <v>195</v>
      </c>
      <c r="W31" s="109" t="n">
        <v>1</v>
      </c>
      <c r="AA31" s="106" t="n">
        <v>30</v>
      </c>
      <c r="AB31" s="106" t="n">
        <v>6</v>
      </c>
      <c r="AC31" s="107" t="s">
        <v>30</v>
      </c>
    </row>
    <row collapsed="false" customFormat="false" customHeight="false" hidden="false" ht="15" outlineLevel="0" r="32">
      <c r="A32" s="24" t="n">
        <v>142</v>
      </c>
      <c r="B32" s="53" t="e">
        <f aca="false">CONCATENATE(C32;D32)</f>
        <v>#VALUE!</v>
      </c>
      <c r="C32" s="53" t="n">
        <v>150</v>
      </c>
      <c r="D32" s="53" t="s">
        <v>216</v>
      </c>
      <c r="E32" s="24" t="n">
        <v>142</v>
      </c>
      <c r="F32" s="103" t="e">
        <f aca="false">IF(VLOOKUP(D32;$V$2:$W$299;2;0)&lt;&gt;1;1;0)</f>
        <v>#VALUE!</v>
      </c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8" t="s">
        <v>79</v>
      </c>
      <c r="W32" s="109" t="n">
        <v>1</v>
      </c>
      <c r="AA32" s="106" t="n">
        <v>31</v>
      </c>
      <c r="AB32" s="106" t="n">
        <v>15</v>
      </c>
      <c r="AC32" s="107" t="s">
        <v>28</v>
      </c>
    </row>
    <row collapsed="false" customFormat="false" customHeight="false" hidden="false" ht="15" outlineLevel="0" r="33">
      <c r="A33" s="24" t="n">
        <v>245</v>
      </c>
      <c r="B33" s="53" t="e">
        <f aca="false">CONCATENATE(C33;D33)</f>
        <v>#VALUE!</v>
      </c>
      <c r="C33" s="53" t="n">
        <v>256</v>
      </c>
      <c r="D33" s="53" t="s">
        <v>259</v>
      </c>
      <c r="E33" s="24" t="n">
        <v>245</v>
      </c>
      <c r="F33" s="103" t="e">
        <f aca="false">IF(VLOOKUP(D33;$V$2:$W$299;2;0)&lt;&gt;1;1;0)</f>
        <v>#VALUE!</v>
      </c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8" t="s">
        <v>39</v>
      </c>
      <c r="W33" s="109" t="n">
        <v>1</v>
      </c>
      <c r="AA33" s="106" t="n">
        <v>32</v>
      </c>
      <c r="AB33" s="106" t="n">
        <v>15</v>
      </c>
      <c r="AC33" s="107" t="s">
        <v>28</v>
      </c>
    </row>
    <row collapsed="false" customFormat="false" customHeight="false" hidden="false" ht="15" outlineLevel="0" r="34">
      <c r="A34" s="24" t="n">
        <v>188</v>
      </c>
      <c r="B34" s="53" t="e">
        <f aca="false">CONCATENATE(C34;D34)</f>
        <v>#VALUE!</v>
      </c>
      <c r="C34" s="53" t="n">
        <v>197</v>
      </c>
      <c r="D34" s="53" t="s">
        <v>53</v>
      </c>
      <c r="E34" s="24" t="n">
        <v>188</v>
      </c>
      <c r="F34" s="103" t="e">
        <f aca="false">IF(VLOOKUP(D34;$V$2:$W$299;2;0)&lt;&gt;1;1;0)</f>
        <v>#VALUE!</v>
      </c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8" t="s">
        <v>105</v>
      </c>
      <c r="W34" s="109" t="n">
        <v>1</v>
      </c>
      <c r="AA34" s="106" t="n">
        <v>33</v>
      </c>
      <c r="AB34" s="106" t="n">
        <v>15</v>
      </c>
      <c r="AC34" s="107" t="s">
        <v>28</v>
      </c>
    </row>
    <row collapsed="false" customFormat="false" customHeight="false" hidden="false" ht="15" outlineLevel="0" r="35">
      <c r="A35" s="24" t="n">
        <v>188</v>
      </c>
      <c r="B35" s="53" t="e">
        <f aca="false">CONCATENATE(C35;D35)</f>
        <v>#VALUE!</v>
      </c>
      <c r="C35" s="53" t="n">
        <v>196</v>
      </c>
      <c r="D35" s="53" t="s">
        <v>53</v>
      </c>
      <c r="E35" s="24" t="n">
        <v>188</v>
      </c>
      <c r="F35" s="103" t="e">
        <f aca="false">IF(VLOOKUP(D35;$V$2:$W$299;2;0)&lt;&gt;1;1;0)</f>
        <v>#VALUE!</v>
      </c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8" t="s">
        <v>262</v>
      </c>
      <c r="W35" s="109" t="n">
        <v>1</v>
      </c>
      <c r="AA35" s="106" t="n">
        <v>34</v>
      </c>
      <c r="AB35" s="106" t="n">
        <v>15</v>
      </c>
      <c r="AC35" s="107" t="s">
        <v>28</v>
      </c>
    </row>
    <row collapsed="false" customFormat="false" customHeight="false" hidden="false" ht="15" outlineLevel="0" r="36">
      <c r="A36" s="24" t="n">
        <v>219</v>
      </c>
      <c r="B36" s="53" t="e">
        <f aca="false">CONCATENATE(C36;D36)</f>
        <v>#VALUE!</v>
      </c>
      <c r="C36" s="53" t="n">
        <v>228</v>
      </c>
      <c r="D36" s="53" t="s">
        <v>304</v>
      </c>
      <c r="E36" s="24" t="n">
        <v>219</v>
      </c>
      <c r="F36" s="103" t="e">
        <f aca="false">IF(VLOOKUP(D36;$V$2:$W$299;2;0)&lt;&gt;1;1;0)</f>
        <v>#VALUE!</v>
      </c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8" t="s">
        <v>247</v>
      </c>
      <c r="W36" s="109" t="n">
        <v>1</v>
      </c>
      <c r="AA36" s="106" t="n">
        <v>35</v>
      </c>
      <c r="AB36" s="106" t="n">
        <v>15</v>
      </c>
      <c r="AC36" s="107" t="s">
        <v>28</v>
      </c>
    </row>
    <row collapsed="false" customFormat="false" customHeight="false" hidden="false" ht="15" outlineLevel="0" r="37">
      <c r="A37" s="24" t="n">
        <v>223</v>
      </c>
      <c r="B37" s="53" t="e">
        <f aca="false">CONCATENATE(C37;D37)</f>
        <v>#VALUE!</v>
      </c>
      <c r="C37" s="53" t="n">
        <v>232</v>
      </c>
      <c r="D37" s="53" t="s">
        <v>26</v>
      </c>
      <c r="E37" s="24" t="n">
        <v>223</v>
      </c>
      <c r="F37" s="103" t="e">
        <f aca="false">IF(VLOOKUP(D37;$V$2:$W$299;2;0)&lt;&gt;1;1;0)</f>
        <v>#VALUE!</v>
      </c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8" t="s">
        <v>248</v>
      </c>
      <c r="W37" s="109" t="n">
        <v>1</v>
      </c>
      <c r="AA37" s="106" t="n">
        <v>36</v>
      </c>
      <c r="AB37" s="106" t="n">
        <v>15</v>
      </c>
      <c r="AC37" s="107" t="s">
        <v>28</v>
      </c>
    </row>
    <row collapsed="false" customFormat="false" customHeight="false" hidden="false" ht="15" outlineLevel="0" r="38">
      <c r="A38" s="24" t="n">
        <v>137</v>
      </c>
      <c r="B38" s="53" t="e">
        <f aca="false">CONCATENATE(C38;D38)</f>
        <v>#VALUE!</v>
      </c>
      <c r="C38" s="53" t="n">
        <v>145</v>
      </c>
      <c r="D38" s="53" t="s">
        <v>242</v>
      </c>
      <c r="E38" s="24" t="n">
        <v>137</v>
      </c>
      <c r="F38" s="103" t="e">
        <f aca="false">IF(VLOOKUP(D38;$V$2:$W$299;2;0)&lt;&gt;1;1;0)</f>
        <v>#VALUE!</v>
      </c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8" t="s">
        <v>152</v>
      </c>
      <c r="W38" s="109" t="n">
        <v>1</v>
      </c>
      <c r="AA38" s="106" t="n">
        <v>37</v>
      </c>
      <c r="AB38" s="106" t="n">
        <v>15</v>
      </c>
      <c r="AC38" s="107" t="s">
        <v>28</v>
      </c>
    </row>
    <row collapsed="false" customFormat="false" customHeight="false" hidden="false" ht="15" outlineLevel="0" r="39">
      <c r="A39" s="24" t="n">
        <v>105</v>
      </c>
      <c r="B39" s="53" t="e">
        <f aca="false">CONCATENATE(C39;D39)</f>
        <v>#VALUE!</v>
      </c>
      <c r="C39" s="53" t="n">
        <v>110</v>
      </c>
      <c r="D39" s="53" t="s">
        <v>113</v>
      </c>
      <c r="E39" s="24" t="n">
        <v>105</v>
      </c>
      <c r="F39" s="103" t="e">
        <f aca="false">IF(VLOOKUP(D39;$V$2:$W$299;2;0)&lt;&gt;1;1;0)</f>
        <v>#VALUE!</v>
      </c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8" t="s">
        <v>142</v>
      </c>
      <c r="W39" s="109" t="n">
        <v>1</v>
      </c>
      <c r="AA39" s="106" t="n">
        <v>38</v>
      </c>
      <c r="AB39" s="106" t="n">
        <v>15</v>
      </c>
      <c r="AC39" s="107" t="s">
        <v>28</v>
      </c>
    </row>
    <row collapsed="false" customFormat="false" customHeight="false" hidden="false" ht="15" outlineLevel="0" r="40">
      <c r="A40" s="24" t="n">
        <v>98</v>
      </c>
      <c r="B40" s="53" t="e">
        <f aca="false">CONCATENATE(C40;D40)</f>
        <v>#VALUE!</v>
      </c>
      <c r="C40" s="53" t="n">
        <v>103</v>
      </c>
      <c r="D40" s="53" t="s">
        <v>103</v>
      </c>
      <c r="E40" s="24" t="n">
        <v>98</v>
      </c>
      <c r="F40" s="103" t="e">
        <f aca="false">IF(VLOOKUP(D40;$V$2:$W$299;2;0)&lt;&gt;1;1;0)</f>
        <v>#VALUE!</v>
      </c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8" t="s">
        <v>48</v>
      </c>
      <c r="W40" s="109" t="n">
        <v>1</v>
      </c>
      <c r="AA40" s="106" t="n">
        <v>39</v>
      </c>
      <c r="AB40" s="106" t="n">
        <v>15</v>
      </c>
      <c r="AC40" s="107" t="s">
        <v>28</v>
      </c>
    </row>
    <row collapsed="false" customFormat="false" customHeight="false" hidden="false" ht="15" outlineLevel="0" r="41">
      <c r="A41" s="24" t="n">
        <v>274</v>
      </c>
      <c r="B41" s="53" t="e">
        <f aca="false">CONCATENATE(C41;D41)</f>
        <v>#VALUE!</v>
      </c>
      <c r="C41" s="53" t="n">
        <v>295</v>
      </c>
      <c r="D41" s="53" t="s">
        <v>314</v>
      </c>
      <c r="E41" s="24" t="n">
        <v>274</v>
      </c>
      <c r="F41" s="103" t="e">
        <f aca="false">IF(VLOOKUP(D41;$V$2:$W$299;2;0)&lt;&gt;1;1;0)</f>
        <v>#VALUE!</v>
      </c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8" t="s">
        <v>78</v>
      </c>
      <c r="W41" s="109" t="n">
        <v>1</v>
      </c>
      <c r="AA41" s="106" t="n">
        <v>40</v>
      </c>
      <c r="AB41" s="106" t="n">
        <v>15</v>
      </c>
      <c r="AC41" s="107" t="s">
        <v>28</v>
      </c>
    </row>
    <row collapsed="false" customFormat="false" customHeight="false" hidden="false" ht="15" outlineLevel="0" r="42">
      <c r="A42" s="24" t="n">
        <v>274</v>
      </c>
      <c r="B42" s="53" t="e">
        <f aca="false">CONCATENATE(C42;D42)</f>
        <v>#VALUE!</v>
      </c>
      <c r="C42" s="53" t="n">
        <v>287</v>
      </c>
      <c r="D42" s="53" t="s">
        <v>314</v>
      </c>
      <c r="E42" s="24" t="n">
        <v>274</v>
      </c>
      <c r="F42" s="103" t="e">
        <f aca="false">IF(VLOOKUP(D42;$V$2:$W$299;2;0)&lt;&gt;1;1;0)</f>
        <v>#VALUE!</v>
      </c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8" t="s">
        <v>216</v>
      </c>
      <c r="W42" s="109" t="n">
        <v>1</v>
      </c>
      <c r="AA42" s="106" t="n">
        <v>41</v>
      </c>
      <c r="AB42" s="106" t="n">
        <v>15</v>
      </c>
      <c r="AC42" s="107" t="s">
        <v>28</v>
      </c>
    </row>
    <row collapsed="false" customFormat="false" customHeight="false" hidden="false" ht="15" outlineLevel="0" r="43">
      <c r="A43" s="24" t="n">
        <v>175</v>
      </c>
      <c r="B43" s="53" t="e">
        <f aca="false">CONCATENATE(C43;D43)</f>
        <v>#VALUE!</v>
      </c>
      <c r="C43" s="53" t="n">
        <v>187</v>
      </c>
      <c r="D43" s="53" t="s">
        <v>150</v>
      </c>
      <c r="E43" s="24" t="n">
        <v>175</v>
      </c>
      <c r="F43" s="103" t="e">
        <f aca="false">IF(VLOOKUP(D43;$V$2:$W$299;2;0)&lt;&gt;1;1;0)</f>
        <v>#VALUE!</v>
      </c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8" t="s">
        <v>259</v>
      </c>
      <c r="W43" s="109" t="n">
        <v>1</v>
      </c>
      <c r="AA43" s="106" t="n">
        <v>42</v>
      </c>
      <c r="AB43" s="106" t="n">
        <v>15</v>
      </c>
      <c r="AC43" s="107" t="s">
        <v>28</v>
      </c>
    </row>
    <row collapsed="false" customFormat="false" customHeight="false" hidden="false" ht="15" outlineLevel="0" r="44">
      <c r="A44" s="24" t="n">
        <v>175</v>
      </c>
      <c r="B44" s="53" t="e">
        <f aca="false">CONCATENATE(C44;D44)</f>
        <v>#VALUE!</v>
      </c>
      <c r="C44" s="53" t="n">
        <v>183</v>
      </c>
      <c r="D44" s="53" t="s">
        <v>150</v>
      </c>
      <c r="E44" s="24" t="n">
        <v>175</v>
      </c>
      <c r="F44" s="103" t="e">
        <f aca="false">IF(VLOOKUP(D44;$V$2:$W$299;2;0)&lt;&gt;1;1;0)</f>
        <v>#VALUE!</v>
      </c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8" t="s">
        <v>304</v>
      </c>
      <c r="W44" s="109" t="n">
        <v>1</v>
      </c>
      <c r="AA44" s="106" t="n">
        <v>43</v>
      </c>
      <c r="AB44" s="106" t="n">
        <v>15</v>
      </c>
      <c r="AC44" s="107" t="s">
        <v>28</v>
      </c>
    </row>
    <row collapsed="false" customFormat="false" customHeight="false" hidden="false" ht="15" outlineLevel="0" r="45">
      <c r="A45" s="24" t="n">
        <v>303</v>
      </c>
      <c r="B45" s="53" t="e">
        <f aca="false">CONCATENATE(C45;D45)</f>
        <v>#VALUE!</v>
      </c>
      <c r="C45" s="53" t="n">
        <v>319</v>
      </c>
      <c r="D45" s="53" t="s">
        <v>74</v>
      </c>
      <c r="E45" s="24" t="n">
        <v>303</v>
      </c>
      <c r="F45" s="103" t="e">
        <f aca="false">IF(VLOOKUP(D45;$V$2:$W$299;2;0)&lt;&gt;1;1;0)</f>
        <v>#VALUE!</v>
      </c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8" t="s">
        <v>26</v>
      </c>
      <c r="W45" s="109" t="n">
        <v>1</v>
      </c>
      <c r="AA45" s="106" t="n">
        <v>44</v>
      </c>
      <c r="AB45" s="106" t="n">
        <v>15</v>
      </c>
      <c r="AC45" s="107" t="s">
        <v>28</v>
      </c>
    </row>
    <row collapsed="false" customFormat="false" customHeight="false" hidden="false" ht="15" outlineLevel="0" r="46">
      <c r="A46" s="24" t="n">
        <v>303</v>
      </c>
      <c r="B46" s="53" t="e">
        <f aca="false">CONCATENATE(C46;D46)</f>
        <v>#VALUE!</v>
      </c>
      <c r="C46" s="53" t="n">
        <v>318</v>
      </c>
      <c r="D46" s="53" t="s">
        <v>74</v>
      </c>
      <c r="E46" s="24" t="n">
        <v>303</v>
      </c>
      <c r="F46" s="103" t="e">
        <f aca="false">IF(VLOOKUP(D46;$V$2:$W$299;2;0)&lt;&gt;1;1;0)</f>
        <v>#VALUE!</v>
      </c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8" t="s">
        <v>242</v>
      </c>
      <c r="W46" s="109" t="n">
        <v>1</v>
      </c>
      <c r="AA46" s="106" t="n">
        <v>45</v>
      </c>
      <c r="AB46" s="106" t="n">
        <v>15</v>
      </c>
      <c r="AC46" s="107" t="s">
        <v>28</v>
      </c>
    </row>
    <row collapsed="false" customFormat="false" customHeight="false" hidden="false" ht="15" outlineLevel="0" r="47">
      <c r="A47" s="24" t="n">
        <v>90</v>
      </c>
      <c r="B47" s="53" t="e">
        <f aca="false">CONCATENATE(C47;D47)</f>
        <v>#VALUE!</v>
      </c>
      <c r="C47" s="53" t="n">
        <v>95</v>
      </c>
      <c r="D47" s="53" t="s">
        <v>286</v>
      </c>
      <c r="E47" s="24" t="n">
        <v>90</v>
      </c>
      <c r="F47" s="103" t="e">
        <f aca="false">IF(VLOOKUP(D47;$V$2:$W$299;2;0)&lt;&gt;1;1;0)</f>
        <v>#VALUE!</v>
      </c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8" t="s">
        <v>113</v>
      </c>
      <c r="W47" s="109" t="n">
        <v>1</v>
      </c>
      <c r="AA47" s="106" t="n">
        <v>46</v>
      </c>
      <c r="AB47" s="106" t="n">
        <v>15</v>
      </c>
      <c r="AC47" s="107" t="s">
        <v>28</v>
      </c>
    </row>
    <row collapsed="false" customFormat="false" customHeight="false" hidden="false" ht="15" outlineLevel="0" r="48">
      <c r="A48" s="24" t="n">
        <v>206</v>
      </c>
      <c r="B48" s="53" t="e">
        <f aca="false">CONCATENATE(C48;D48)</f>
        <v>#VALUE!</v>
      </c>
      <c r="C48" s="53" t="n">
        <v>216</v>
      </c>
      <c r="D48" s="53" t="s">
        <v>159</v>
      </c>
      <c r="E48" s="24" t="n">
        <v>206</v>
      </c>
      <c r="F48" s="103" t="e">
        <f aca="false">IF(VLOOKUP(D48;$V$2:$W$299;2;0)&lt;&gt;1;1;0)</f>
        <v>#VALUE!</v>
      </c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8" t="s">
        <v>103</v>
      </c>
      <c r="W48" s="109" t="n">
        <v>1</v>
      </c>
      <c r="AA48" s="106" t="n">
        <v>47</v>
      </c>
      <c r="AB48" s="106" t="n">
        <v>15</v>
      </c>
      <c r="AC48" s="107" t="s">
        <v>28</v>
      </c>
    </row>
    <row collapsed="false" customFormat="false" customHeight="false" hidden="false" ht="25.5" outlineLevel="0" r="49">
      <c r="A49" s="24" t="n">
        <v>101</v>
      </c>
      <c r="B49" s="53" t="e">
        <f aca="false">CONCATENATE(C49;D49)</f>
        <v>#VALUE!</v>
      </c>
      <c r="C49" s="53" t="n">
        <v>106</v>
      </c>
      <c r="D49" s="53" t="s">
        <v>196</v>
      </c>
      <c r="E49" s="24" t="n">
        <v>101</v>
      </c>
      <c r="F49" s="103" t="e">
        <f aca="false">IF(VLOOKUP(D49;$V$2:$W$299;2;0)&lt;&gt;1;1;0)</f>
        <v>#VALUE!</v>
      </c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8" t="s">
        <v>286</v>
      </c>
      <c r="W49" s="109" t="n">
        <v>1</v>
      </c>
      <c r="AA49" s="106" t="n">
        <v>48</v>
      </c>
      <c r="AB49" s="106" t="n">
        <v>15</v>
      </c>
      <c r="AC49" s="107" t="s">
        <v>28</v>
      </c>
    </row>
    <row collapsed="false" customFormat="false" customHeight="false" hidden="false" ht="15" outlineLevel="0" r="50">
      <c r="A50" s="24" t="n">
        <v>86</v>
      </c>
      <c r="B50" s="53" t="e">
        <f aca="false">CONCATENATE(C50;D50)</f>
        <v>#VALUE!</v>
      </c>
      <c r="C50" s="53" t="n">
        <v>91</v>
      </c>
      <c r="D50" s="53" t="s">
        <v>277</v>
      </c>
      <c r="E50" s="24" t="n">
        <v>86</v>
      </c>
      <c r="F50" s="103" t="e">
        <f aca="false">IF(VLOOKUP(D50;$V$2:$W$299;2;0)&lt;&gt;1;1;0)</f>
        <v>#VALUE!</v>
      </c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8" t="s">
        <v>159</v>
      </c>
      <c r="W50" s="109" t="n">
        <v>1</v>
      </c>
      <c r="AA50" s="106" t="n">
        <v>49</v>
      </c>
      <c r="AB50" s="106" t="n">
        <v>15</v>
      </c>
      <c r="AC50" s="107" t="s">
        <v>28</v>
      </c>
    </row>
    <row collapsed="false" customFormat="false" customHeight="false" hidden="false" ht="15" outlineLevel="0" r="51">
      <c r="A51" s="24" t="n">
        <v>43</v>
      </c>
      <c r="B51" s="53" t="e">
        <f aca="false">CONCATENATE(C51;D51)</f>
        <v>#VALUE!</v>
      </c>
      <c r="C51" s="53" t="n">
        <v>43</v>
      </c>
      <c r="D51" s="53" t="s">
        <v>89</v>
      </c>
      <c r="E51" s="24" t="n">
        <v>43</v>
      </c>
      <c r="F51" s="103" t="e">
        <f aca="false">IF(VLOOKUP(D51;$V$2:$W$299;2;0)&lt;&gt;1;1;0)</f>
        <v>#VALUE!</v>
      </c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8" t="s">
        <v>196</v>
      </c>
      <c r="W51" s="109" t="n">
        <v>1</v>
      </c>
      <c r="AA51" s="106" t="n">
        <v>50</v>
      </c>
      <c r="AB51" s="106" t="n">
        <v>15</v>
      </c>
      <c r="AC51" s="107" t="s">
        <v>28</v>
      </c>
    </row>
    <row collapsed="false" customFormat="false" customHeight="false" hidden="false" ht="15" outlineLevel="0" r="52">
      <c r="A52" s="24" t="n">
        <v>25</v>
      </c>
      <c r="B52" s="53" t="e">
        <f aca="false">CONCATENATE(C52;D52)</f>
        <v>#VALUE!</v>
      </c>
      <c r="C52" s="53" t="n">
        <v>25</v>
      </c>
      <c r="D52" s="53" t="s">
        <v>310</v>
      </c>
      <c r="E52" s="24" t="n">
        <v>25</v>
      </c>
      <c r="F52" s="103" t="e">
        <f aca="false">IF(VLOOKUP(D52;$V$2:$W$299;2;0)&lt;&gt;1;1;0)</f>
        <v>#VALUE!</v>
      </c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8" t="s">
        <v>277</v>
      </c>
      <c r="W52" s="109" t="n">
        <v>1</v>
      </c>
      <c r="AA52" s="106" t="n">
        <v>51</v>
      </c>
      <c r="AB52" s="106" t="n">
        <v>15</v>
      </c>
      <c r="AC52" s="107" t="s">
        <v>28</v>
      </c>
    </row>
    <row collapsed="false" customFormat="false" customHeight="false" hidden="false" ht="25.5" outlineLevel="0" r="53">
      <c r="A53" s="24" t="n">
        <v>138</v>
      </c>
      <c r="B53" s="53" t="e">
        <f aca="false">CONCATENATE(C53;D53)</f>
        <v>#VALUE!</v>
      </c>
      <c r="C53" s="53" t="n">
        <v>146</v>
      </c>
      <c r="D53" s="53" t="s">
        <v>302</v>
      </c>
      <c r="E53" s="24" t="n">
        <v>138</v>
      </c>
      <c r="F53" s="103" t="e">
        <f aca="false">IF(VLOOKUP(D53;$V$2:$W$299;2;0)&lt;&gt;1;1;0)</f>
        <v>#VALUE!</v>
      </c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8" t="s">
        <v>89</v>
      </c>
      <c r="W53" s="109" t="n">
        <v>1</v>
      </c>
      <c r="AA53" s="106" t="n">
        <v>52</v>
      </c>
      <c r="AB53" s="106" t="n">
        <v>15</v>
      </c>
      <c r="AC53" s="107" t="s">
        <v>28</v>
      </c>
    </row>
    <row collapsed="false" customFormat="false" customHeight="false" hidden="false" ht="25.5" outlineLevel="0" r="54">
      <c r="A54" s="24" t="n">
        <v>228</v>
      </c>
      <c r="B54" s="53" t="e">
        <f aca="false">CONCATENATE(C54;D54)</f>
        <v>#VALUE!</v>
      </c>
      <c r="C54" s="53" t="n">
        <v>237</v>
      </c>
      <c r="D54" s="53" t="s">
        <v>85</v>
      </c>
      <c r="E54" s="24" t="n">
        <v>228</v>
      </c>
      <c r="F54" s="103" t="e">
        <f aca="false">IF(VLOOKUP(D54;$V$2:$W$299;2;0)&lt;&gt;1;1;0)</f>
        <v>#VALUE!</v>
      </c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8" t="s">
        <v>310</v>
      </c>
      <c r="W54" s="109" t="n">
        <v>1</v>
      </c>
      <c r="AA54" s="106" t="n">
        <v>53</v>
      </c>
      <c r="AB54" s="106" t="n">
        <v>15</v>
      </c>
      <c r="AC54" s="107" t="s">
        <v>28</v>
      </c>
    </row>
    <row collapsed="false" customFormat="false" customHeight="false" hidden="false" ht="15" outlineLevel="0" r="55">
      <c r="A55" s="24" t="n">
        <v>37</v>
      </c>
      <c r="B55" s="53" t="e">
        <f aca="false">CONCATENATE(C55;D55)</f>
        <v>#VALUE!</v>
      </c>
      <c r="C55" s="53" t="n">
        <v>37</v>
      </c>
      <c r="D55" s="53" t="s">
        <v>218</v>
      </c>
      <c r="E55" s="24" t="n">
        <v>37</v>
      </c>
      <c r="F55" s="103" t="e">
        <f aca="false">IF(VLOOKUP(D55;$V$2:$W$299;2;0)&lt;&gt;1;1;0)</f>
        <v>#VALUE!</v>
      </c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8" t="s">
        <v>302</v>
      </c>
      <c r="W55" s="109" t="n">
        <v>1</v>
      </c>
      <c r="AA55" s="106" t="n">
        <v>54</v>
      </c>
      <c r="AB55" s="106" t="n">
        <v>15</v>
      </c>
      <c r="AC55" s="107" t="s">
        <v>28</v>
      </c>
    </row>
    <row collapsed="false" customFormat="false" customHeight="false" hidden="false" ht="15" outlineLevel="0" r="56">
      <c r="A56" s="24" t="n">
        <v>126</v>
      </c>
      <c r="B56" s="53" t="e">
        <f aca="false">CONCATENATE(C56;D56)</f>
        <v>#VALUE!</v>
      </c>
      <c r="C56" s="53" t="n">
        <v>131</v>
      </c>
      <c r="D56" s="53" t="s">
        <v>244</v>
      </c>
      <c r="E56" s="24" t="n">
        <v>126</v>
      </c>
      <c r="F56" s="103" t="e">
        <f aca="false">IF(VLOOKUP(D56;$V$2:$W$299;2;0)&lt;&gt;1;1;0)</f>
        <v>#VALUE!</v>
      </c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8" t="s">
        <v>85</v>
      </c>
      <c r="W56" s="109" t="n">
        <v>1</v>
      </c>
      <c r="AA56" s="106" t="n">
        <v>55</v>
      </c>
      <c r="AB56" s="106" t="n">
        <v>15</v>
      </c>
      <c r="AC56" s="107" t="s">
        <v>28</v>
      </c>
    </row>
    <row collapsed="false" customFormat="false" customHeight="false" hidden="false" ht="15" outlineLevel="0" r="57">
      <c r="A57" s="24" t="n">
        <v>58</v>
      </c>
      <c r="B57" s="53" t="e">
        <f aca="false">CONCATENATE(C57;D57)</f>
        <v>#VALUE!</v>
      </c>
      <c r="C57" s="53" t="n">
        <v>60</v>
      </c>
      <c r="D57" s="53" t="s">
        <v>273</v>
      </c>
      <c r="E57" s="24" t="n">
        <v>58</v>
      </c>
      <c r="F57" s="103" t="e">
        <f aca="false">IF(VLOOKUP(D57;$V$2:$W$299;2;0)&lt;&gt;1;1;0)</f>
        <v>#VALUE!</v>
      </c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8" t="s">
        <v>218</v>
      </c>
      <c r="W57" s="109" t="n">
        <v>1</v>
      </c>
      <c r="AA57" s="106" t="n">
        <v>56</v>
      </c>
      <c r="AB57" s="106" t="n">
        <v>15</v>
      </c>
      <c r="AC57" s="107" t="s">
        <v>28</v>
      </c>
    </row>
    <row collapsed="false" customFormat="false" customHeight="false" hidden="false" ht="15" outlineLevel="0" r="58">
      <c r="A58" s="24" t="n">
        <v>117</v>
      </c>
      <c r="B58" s="53" t="e">
        <f aca="false">CONCATENATE(C58;D58)</f>
        <v>#VALUE!</v>
      </c>
      <c r="C58" s="53" t="n">
        <v>122</v>
      </c>
      <c r="D58" s="53" t="s">
        <v>100</v>
      </c>
      <c r="E58" s="24" t="n">
        <v>117</v>
      </c>
      <c r="F58" s="103" t="e">
        <f aca="false">IF(VLOOKUP(D58;$V$2:$W$299;2;0)&lt;&gt;1;1;0)</f>
        <v>#VALUE!</v>
      </c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8" t="s">
        <v>244</v>
      </c>
      <c r="W58" s="109" t="n">
        <v>1</v>
      </c>
      <c r="AA58" s="106" t="n">
        <v>57</v>
      </c>
      <c r="AB58" s="106" t="n">
        <v>15</v>
      </c>
      <c r="AC58" s="107" t="s">
        <v>28</v>
      </c>
    </row>
    <row collapsed="false" customFormat="false" customHeight="false" hidden="false" ht="15" outlineLevel="0" r="59">
      <c r="A59" s="24" t="n">
        <v>61</v>
      </c>
      <c r="B59" s="53" t="e">
        <f aca="false">CONCATENATE(C59;D59)</f>
        <v>#VALUE!</v>
      </c>
      <c r="C59" s="53" t="n">
        <v>63</v>
      </c>
      <c r="D59" s="53" t="s">
        <v>88</v>
      </c>
      <c r="E59" s="24" t="n">
        <v>61</v>
      </c>
      <c r="F59" s="103" t="e">
        <f aca="false">IF(VLOOKUP(D59;$V$2:$W$299;2;0)&lt;&gt;1;1;0)</f>
        <v>#VALUE!</v>
      </c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8" t="s">
        <v>273</v>
      </c>
      <c r="W59" s="109" t="n">
        <v>1</v>
      </c>
      <c r="AA59" s="106" t="n">
        <v>58</v>
      </c>
      <c r="AB59" s="106" t="n">
        <v>15</v>
      </c>
      <c r="AC59" s="107" t="s">
        <v>28</v>
      </c>
    </row>
    <row collapsed="false" customFormat="false" customHeight="false" hidden="false" ht="25.5" outlineLevel="0" r="60">
      <c r="A60" s="24" t="n">
        <v>294</v>
      </c>
      <c r="B60" s="53" t="e">
        <f aca="false">CONCATENATE(C60;D60)</f>
        <v>#VALUE!</v>
      </c>
      <c r="C60" s="53" t="n">
        <v>309</v>
      </c>
      <c r="D60" s="53" t="s">
        <v>316</v>
      </c>
      <c r="E60" s="24" t="n">
        <v>294</v>
      </c>
      <c r="F60" s="103" t="e">
        <f aca="false">IF(VLOOKUP(D60;$V$2:$W$299;2;0)&lt;&gt;1;1;0)</f>
        <v>#VALUE!</v>
      </c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8" t="s">
        <v>100</v>
      </c>
      <c r="W60" s="109" t="n">
        <v>1</v>
      </c>
      <c r="AA60" s="106" t="n">
        <v>59</v>
      </c>
      <c r="AB60" s="106" t="n">
        <v>15</v>
      </c>
      <c r="AC60" s="107" t="s">
        <v>28</v>
      </c>
    </row>
    <row collapsed="false" customFormat="false" customHeight="false" hidden="false" ht="15" outlineLevel="0" r="61">
      <c r="A61" s="24" t="n">
        <v>286</v>
      </c>
      <c r="B61" s="53" t="e">
        <f aca="false">CONCATENATE(C61;D61)</f>
        <v>#VALUE!</v>
      </c>
      <c r="C61" s="53" t="n">
        <v>298</v>
      </c>
      <c r="D61" s="53" t="s">
        <v>320</v>
      </c>
      <c r="E61" s="24" t="n">
        <v>286</v>
      </c>
      <c r="F61" s="103" t="e">
        <f aca="false">IF(VLOOKUP(D61;$V$2:$W$299;2;0)&lt;&gt;1;1;0)</f>
        <v>#VALUE!</v>
      </c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8" t="s">
        <v>88</v>
      </c>
      <c r="W61" s="109" t="n">
        <v>1</v>
      </c>
      <c r="AA61" s="106" t="n">
        <v>60</v>
      </c>
      <c r="AB61" s="106" t="n">
        <v>15</v>
      </c>
      <c r="AC61" s="107" t="s">
        <v>28</v>
      </c>
    </row>
    <row collapsed="false" customFormat="false" customHeight="false" hidden="false" ht="25.5" outlineLevel="0" r="62">
      <c r="A62" s="24" t="n">
        <v>64</v>
      </c>
      <c r="B62" s="53" t="e">
        <f aca="false">CONCATENATE(C62;D62)</f>
        <v>#VALUE!</v>
      </c>
      <c r="C62" s="53" t="n">
        <v>66</v>
      </c>
      <c r="D62" s="53" t="s">
        <v>204</v>
      </c>
      <c r="E62" s="24" t="n">
        <v>64</v>
      </c>
      <c r="F62" s="103" t="e">
        <f aca="false">IF(VLOOKUP(D62;$V$2:$W$299;2;0)&lt;&gt;1;1;0)</f>
        <v>#VALUE!</v>
      </c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8" t="s">
        <v>316</v>
      </c>
      <c r="W62" s="109" t="n">
        <v>1</v>
      </c>
      <c r="AA62" s="106" t="n">
        <v>61</v>
      </c>
      <c r="AB62" s="106" t="n">
        <v>12</v>
      </c>
      <c r="AC62" s="107" t="s">
        <v>42</v>
      </c>
    </row>
    <row collapsed="false" customFormat="false" customHeight="false" hidden="false" ht="15" outlineLevel="0" r="63">
      <c r="A63" s="24" t="n">
        <v>94</v>
      </c>
      <c r="B63" s="53" t="e">
        <f aca="false">CONCATENATE(C63;D63)</f>
        <v>#VALUE!</v>
      </c>
      <c r="C63" s="53" t="n">
        <v>99</v>
      </c>
      <c r="D63" s="53" t="s">
        <v>173</v>
      </c>
      <c r="E63" s="24" t="n">
        <v>94</v>
      </c>
      <c r="F63" s="103" t="e">
        <f aca="false">IF(VLOOKUP(D63;$V$2:$W$299;2;0)&lt;&gt;1;1;0)</f>
        <v>#VALUE!</v>
      </c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8" t="s">
        <v>320</v>
      </c>
      <c r="W63" s="109" t="n">
        <v>1</v>
      </c>
      <c r="AA63" s="106" t="n">
        <v>62</v>
      </c>
      <c r="AB63" s="106" t="n">
        <v>12</v>
      </c>
      <c r="AC63" s="107" t="s">
        <v>42</v>
      </c>
    </row>
    <row collapsed="false" customFormat="false" customHeight="false" hidden="false" ht="15" outlineLevel="0" r="64">
      <c r="A64" s="24" t="n">
        <v>39</v>
      </c>
      <c r="B64" s="53" t="e">
        <f aca="false">CONCATENATE(C64;D64)</f>
        <v>#VALUE!</v>
      </c>
      <c r="C64" s="53" t="n">
        <v>39</v>
      </c>
      <c r="D64" s="53" t="s">
        <v>140</v>
      </c>
      <c r="E64" s="24" t="n">
        <v>39</v>
      </c>
      <c r="F64" s="103" t="e">
        <f aca="false">IF(VLOOKUP(D64;$V$2:$W$299;2;0)&lt;&gt;1;1;0)</f>
        <v>#VALUE!</v>
      </c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8" t="s">
        <v>204</v>
      </c>
      <c r="W64" s="109" t="n">
        <v>1</v>
      </c>
      <c r="AA64" s="106" t="n">
        <v>63</v>
      </c>
      <c r="AB64" s="106" t="n">
        <v>12</v>
      </c>
      <c r="AC64" s="107" t="s">
        <v>42</v>
      </c>
    </row>
    <row collapsed="false" customFormat="false" customHeight="false" hidden="false" ht="15" outlineLevel="0" r="65">
      <c r="A65" s="24" t="n">
        <v>276</v>
      </c>
      <c r="B65" s="53" t="e">
        <f aca="false">CONCATENATE(C65;D65)</f>
        <v>#VALUE!</v>
      </c>
      <c r="C65" s="53" t="n">
        <v>289</v>
      </c>
      <c r="D65" s="53" t="s">
        <v>317</v>
      </c>
      <c r="E65" s="24" t="n">
        <v>276</v>
      </c>
      <c r="F65" s="103" t="e">
        <f aca="false">IF(VLOOKUP(D65;$V$2:$W$299;2;0)&lt;&gt;1;1;0)</f>
        <v>#VALUE!</v>
      </c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8" t="s">
        <v>173</v>
      </c>
      <c r="W65" s="109" t="n">
        <v>1</v>
      </c>
      <c r="AA65" s="106" t="n">
        <v>64</v>
      </c>
      <c r="AB65" s="106" t="n">
        <v>12</v>
      </c>
      <c r="AC65" s="107" t="s">
        <v>42</v>
      </c>
    </row>
    <row collapsed="false" customFormat="false" customHeight="false" hidden="false" ht="15" outlineLevel="0" r="66">
      <c r="A66" s="24" t="n">
        <v>148</v>
      </c>
      <c r="B66" s="53" t="e">
        <f aca="false">CONCATENATE(C66;D66)</f>
        <v>#VALUE!</v>
      </c>
      <c r="C66" s="53" t="n">
        <v>156</v>
      </c>
      <c r="D66" s="53" t="s">
        <v>67</v>
      </c>
      <c r="E66" s="24" t="n">
        <v>148</v>
      </c>
      <c r="F66" s="103" t="e">
        <f aca="false">IF(VLOOKUP(D66;$V$2:$W$299;2;0)&lt;&gt;1;1;0)</f>
        <v>#VALUE!</v>
      </c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8" t="s">
        <v>140</v>
      </c>
      <c r="W66" s="109" t="n">
        <v>1</v>
      </c>
      <c r="AA66" s="106" t="n">
        <v>65</v>
      </c>
      <c r="AB66" s="106" t="n">
        <v>12</v>
      </c>
      <c r="AC66" s="107" t="s">
        <v>42</v>
      </c>
    </row>
    <row collapsed="false" customFormat="false" customHeight="false" hidden="false" ht="15" outlineLevel="0" r="67">
      <c r="A67" s="24" t="n">
        <v>308</v>
      </c>
      <c r="B67" s="53" t="e">
        <f aca="false">CONCATENATE(C67;D67)</f>
        <v>#VALUE!</v>
      </c>
      <c r="C67" s="53" t="n">
        <v>323</v>
      </c>
      <c r="D67" s="53" t="s">
        <v>163</v>
      </c>
      <c r="E67" s="24" t="n">
        <v>308</v>
      </c>
      <c r="F67" s="103" t="e">
        <f aca="false">IF(VLOOKUP(D67;$V$2:$W$299;2;0)&lt;&gt;1;1;0)</f>
        <v>#VALUE!</v>
      </c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8" t="s">
        <v>317</v>
      </c>
      <c r="W67" s="109" t="n">
        <v>1</v>
      </c>
      <c r="AA67" s="106" t="n">
        <v>66</v>
      </c>
      <c r="AB67" s="106" t="n">
        <v>12</v>
      </c>
      <c r="AC67" s="107" t="s">
        <v>42</v>
      </c>
    </row>
    <row collapsed="false" customFormat="false" customHeight="false" hidden="false" ht="15" outlineLevel="0" r="68">
      <c r="A68" s="24" t="n">
        <v>318</v>
      </c>
      <c r="B68" s="53" t="e">
        <f aca="false">CONCATENATE(C68;D68)</f>
        <v>#VALUE!</v>
      </c>
      <c r="C68" s="53" t="s">
        <v>438</v>
      </c>
      <c r="D68" s="53" t="s">
        <v>315</v>
      </c>
      <c r="E68" s="24" t="n">
        <v>318</v>
      </c>
      <c r="F68" s="103" t="e">
        <f aca="false">IF(VLOOKUP(D68;$V$2:$W$299;2;0)&lt;&gt;1;1;0)</f>
        <v>#VALUE!</v>
      </c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8" t="s">
        <v>67</v>
      </c>
      <c r="W68" s="109" t="n">
        <v>1</v>
      </c>
      <c r="AA68" s="106" t="n">
        <v>67</v>
      </c>
      <c r="AB68" s="106" t="n">
        <v>12</v>
      </c>
      <c r="AC68" s="107" t="s">
        <v>42</v>
      </c>
    </row>
    <row collapsed="false" customFormat="false" customHeight="false" hidden="false" ht="15" outlineLevel="0" r="69">
      <c r="A69" s="24" t="n">
        <v>236</v>
      </c>
      <c r="B69" s="53" t="e">
        <f aca="false">CONCATENATE(C69;D69)</f>
        <v>#VALUE!</v>
      </c>
      <c r="C69" s="53" t="n">
        <v>245</v>
      </c>
      <c r="D69" s="53" t="s">
        <v>311</v>
      </c>
      <c r="E69" s="24" t="n">
        <v>236</v>
      </c>
      <c r="F69" s="103" t="e">
        <f aca="false">IF(VLOOKUP(D69;$V$2:$W$299;2;0)&lt;&gt;1;1;0)</f>
        <v>#VALUE!</v>
      </c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8" t="s">
        <v>163</v>
      </c>
      <c r="W69" s="109" t="n">
        <v>1</v>
      </c>
      <c r="AA69" s="106" t="n">
        <v>68</v>
      </c>
      <c r="AB69" s="106" t="n">
        <v>12</v>
      </c>
      <c r="AC69" s="107" t="s">
        <v>42</v>
      </c>
    </row>
    <row collapsed="false" customFormat="false" customHeight="false" hidden="false" ht="25.5" outlineLevel="0" r="70">
      <c r="A70" s="24" t="n">
        <v>226</v>
      </c>
      <c r="B70" s="53" t="e">
        <f aca="false">CONCATENATE(C70;D70)</f>
        <v>#VALUE!</v>
      </c>
      <c r="C70" s="53" t="n">
        <v>235</v>
      </c>
      <c r="D70" s="53" t="s">
        <v>95</v>
      </c>
      <c r="E70" s="24" t="n">
        <v>226</v>
      </c>
      <c r="F70" s="103" t="e">
        <f aca="false">IF(VLOOKUP(D70;$V$2:$W$299;2;0)&lt;&gt;1;1;0)</f>
        <v>#VALUE!</v>
      </c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8" t="s">
        <v>315</v>
      </c>
      <c r="W70" s="109" t="n">
        <v>1</v>
      </c>
      <c r="AA70" s="106" t="n">
        <v>69</v>
      </c>
      <c r="AB70" s="106" t="n">
        <v>12</v>
      </c>
      <c r="AC70" s="107" t="s">
        <v>42</v>
      </c>
    </row>
    <row collapsed="false" customFormat="false" customHeight="false" hidden="false" ht="15" outlineLevel="0" r="71">
      <c r="A71" s="24" t="n">
        <v>285</v>
      </c>
      <c r="B71" s="53" t="e">
        <f aca="false">CONCATENATE(C71;D71)</f>
        <v>#VALUE!</v>
      </c>
      <c r="C71" s="53" t="n">
        <v>297</v>
      </c>
      <c r="D71" s="53" t="s">
        <v>321</v>
      </c>
      <c r="E71" s="24" t="n">
        <v>285</v>
      </c>
      <c r="F71" s="103" t="e">
        <f aca="false">IF(VLOOKUP(D71;$V$2:$W$299;2;0)&lt;&gt;1;1;0)</f>
        <v>#VALUE!</v>
      </c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8" t="s">
        <v>311</v>
      </c>
      <c r="W71" s="109" t="n">
        <v>1</v>
      </c>
      <c r="AA71" s="106" t="n">
        <v>70</v>
      </c>
      <c r="AB71" s="106" t="n">
        <v>12</v>
      </c>
      <c r="AC71" s="107" t="s">
        <v>42</v>
      </c>
    </row>
    <row collapsed="false" customFormat="false" customHeight="false" hidden="false" ht="15" outlineLevel="0" r="72">
      <c r="A72" s="24" t="n">
        <v>24</v>
      </c>
      <c r="B72" s="53" t="e">
        <f aca="false">CONCATENATE(C72;D72)</f>
        <v>#VALUE!</v>
      </c>
      <c r="C72" s="53" t="n">
        <v>24</v>
      </c>
      <c r="D72" s="53" t="s">
        <v>155</v>
      </c>
      <c r="E72" s="24" t="n">
        <v>24</v>
      </c>
      <c r="F72" s="103" t="e">
        <f aca="false">IF(VLOOKUP(D72;$V$2:$W$299;2;0)&lt;&gt;1;1;0)</f>
        <v>#VALUE!</v>
      </c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8" t="s">
        <v>95</v>
      </c>
      <c r="W72" s="109" t="n">
        <v>1</v>
      </c>
      <c r="AA72" s="106" t="n">
        <v>71</v>
      </c>
      <c r="AB72" s="106" t="n">
        <v>12</v>
      </c>
      <c r="AC72" s="107" t="s">
        <v>42</v>
      </c>
    </row>
    <row collapsed="false" customFormat="false" customHeight="false" hidden="false" ht="15" outlineLevel="0" r="73">
      <c r="A73" s="24" t="n">
        <v>50</v>
      </c>
      <c r="B73" s="53" t="e">
        <f aca="false">CONCATENATE(C73;D73)</f>
        <v>#VALUE!</v>
      </c>
      <c r="C73" s="53" t="n">
        <v>50</v>
      </c>
      <c r="D73" s="53" t="s">
        <v>238</v>
      </c>
      <c r="E73" s="24" t="n">
        <v>50</v>
      </c>
      <c r="F73" s="103" t="e">
        <f aca="false">IF(VLOOKUP(D73;$V$2:$W$299;2;0)&lt;&gt;1;1;0)</f>
        <v>#VALUE!</v>
      </c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8" t="s">
        <v>321</v>
      </c>
      <c r="W73" s="109" t="n">
        <v>1</v>
      </c>
      <c r="AA73" s="106" t="n">
        <v>72</v>
      </c>
      <c r="AB73" s="106" t="n">
        <v>12</v>
      </c>
      <c r="AC73" s="107" t="s">
        <v>42</v>
      </c>
    </row>
    <row collapsed="false" customFormat="false" customHeight="false" hidden="false" ht="15" outlineLevel="0" r="74">
      <c r="A74" s="24" t="n">
        <v>122</v>
      </c>
      <c r="B74" s="53" t="e">
        <f aca="false">CONCATENATE(C74;D74)</f>
        <v>#VALUE!</v>
      </c>
      <c r="C74" s="53" t="n">
        <v>127</v>
      </c>
      <c r="D74" s="53" t="s">
        <v>202</v>
      </c>
      <c r="E74" s="24" t="n">
        <v>122</v>
      </c>
      <c r="F74" s="103" t="e">
        <f aca="false">IF(VLOOKUP(D74;$V$2:$W$299;2;0)&lt;&gt;1;1;0)</f>
        <v>#VALUE!</v>
      </c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8" t="s">
        <v>155</v>
      </c>
      <c r="W74" s="109" t="n">
        <v>1</v>
      </c>
      <c r="AA74" s="106" t="n">
        <v>73</v>
      </c>
      <c r="AB74" s="106" t="n">
        <v>12</v>
      </c>
      <c r="AC74" s="107" t="s">
        <v>42</v>
      </c>
    </row>
    <row collapsed="false" customFormat="false" customHeight="false" hidden="false" ht="25.5" outlineLevel="0" r="75">
      <c r="A75" s="24" t="n">
        <v>301</v>
      </c>
      <c r="B75" s="53" t="e">
        <f aca="false">CONCATENATE(C75;D75)</f>
        <v>#VALUE!</v>
      </c>
      <c r="C75" s="53" t="n">
        <v>316</v>
      </c>
      <c r="D75" s="53" t="s">
        <v>133</v>
      </c>
      <c r="E75" s="24" t="n">
        <v>301</v>
      </c>
      <c r="F75" s="103" t="e">
        <f aca="false">IF(VLOOKUP(D75;$V$2:$W$299;2;0)&lt;&gt;1;1;0)</f>
        <v>#VALUE!</v>
      </c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8" t="s">
        <v>238</v>
      </c>
      <c r="W75" s="109" t="n">
        <v>1</v>
      </c>
      <c r="AA75" s="106" t="n">
        <v>74</v>
      </c>
      <c r="AB75" s="106" t="n">
        <v>12</v>
      </c>
      <c r="AC75" s="107" t="s">
        <v>42</v>
      </c>
    </row>
    <row collapsed="false" customFormat="false" customHeight="false" hidden="false" ht="25.5" outlineLevel="0" r="76">
      <c r="A76" s="24" t="n">
        <v>18</v>
      </c>
      <c r="B76" s="53" t="e">
        <f aca="false">CONCATENATE(C76;D76)</f>
        <v>#VALUE!</v>
      </c>
      <c r="C76" s="53" t="n">
        <v>18</v>
      </c>
      <c r="D76" s="53" t="s">
        <v>220</v>
      </c>
      <c r="E76" s="24" t="n">
        <v>18</v>
      </c>
      <c r="F76" s="103" t="e">
        <f aca="false">IF(VLOOKUP(D76;$V$2:$W$299;2;0)&lt;&gt;1;1;0)</f>
        <v>#VALUE!</v>
      </c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8" t="s">
        <v>202</v>
      </c>
      <c r="W76" s="109" t="n">
        <v>1</v>
      </c>
      <c r="AA76" s="106" t="n">
        <v>75</v>
      </c>
      <c r="AB76" s="106" t="n">
        <v>12</v>
      </c>
      <c r="AC76" s="107" t="s">
        <v>42</v>
      </c>
    </row>
    <row collapsed="false" customFormat="false" customHeight="false" hidden="false" ht="25.5" outlineLevel="0" r="77">
      <c r="A77" s="24" t="n">
        <v>155</v>
      </c>
      <c r="B77" s="53" t="e">
        <f aca="false">CONCATENATE(C77;D77)</f>
        <v>#VALUE!</v>
      </c>
      <c r="C77" s="53" t="n">
        <v>163</v>
      </c>
      <c r="D77" s="53" t="s">
        <v>301</v>
      </c>
      <c r="E77" s="24" t="n">
        <v>155</v>
      </c>
      <c r="F77" s="103" t="e">
        <f aca="false">IF(VLOOKUP(D77;$V$2:$W$299;2;0)&lt;&gt;1;1;0)</f>
        <v>#VALUE!</v>
      </c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8" t="s">
        <v>133</v>
      </c>
      <c r="W77" s="109" t="n">
        <v>1</v>
      </c>
      <c r="AA77" s="106" t="n">
        <v>76</v>
      </c>
      <c r="AB77" s="106" t="n">
        <v>12</v>
      </c>
      <c r="AC77" s="107" t="s">
        <v>42</v>
      </c>
    </row>
    <row collapsed="false" customFormat="false" customHeight="false" hidden="false" ht="15" outlineLevel="0" r="78">
      <c r="A78" s="24" t="n">
        <v>44</v>
      </c>
      <c r="B78" s="53" t="e">
        <f aca="false">CONCATENATE(C78;D78)</f>
        <v>#VALUE!</v>
      </c>
      <c r="C78" s="53" t="n">
        <v>44</v>
      </c>
      <c r="D78" s="53" t="s">
        <v>197</v>
      </c>
      <c r="E78" s="24" t="n">
        <v>44</v>
      </c>
      <c r="F78" s="103" t="e">
        <f aca="false">IF(VLOOKUP(D78;$V$2:$W$299;2;0)&lt;&gt;1;1;0)</f>
        <v>#VALUE!</v>
      </c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8" t="s">
        <v>220</v>
      </c>
      <c r="W78" s="109" t="n">
        <v>1</v>
      </c>
      <c r="AA78" s="106" t="n">
        <v>77</v>
      </c>
      <c r="AB78" s="106" t="n">
        <v>12</v>
      </c>
      <c r="AC78" s="107" t="s">
        <v>42</v>
      </c>
    </row>
    <row collapsed="false" customFormat="false" customHeight="false" hidden="false" ht="15" outlineLevel="0" r="79">
      <c r="A79" s="24" t="n">
        <v>132</v>
      </c>
      <c r="B79" s="53" t="e">
        <f aca="false">CONCATENATE(C79;D79)</f>
        <v>#VALUE!</v>
      </c>
      <c r="C79" s="53" t="n">
        <v>139</v>
      </c>
      <c r="D79" s="53" t="s">
        <v>129</v>
      </c>
      <c r="E79" s="24" t="n">
        <v>132</v>
      </c>
      <c r="F79" s="103" t="e">
        <f aca="false">IF(VLOOKUP(D79;$V$2:$W$299;2;0)&lt;&gt;1;1;0)</f>
        <v>#VALUE!</v>
      </c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8" t="s">
        <v>301</v>
      </c>
      <c r="W79" s="109" t="n">
        <v>1</v>
      </c>
      <c r="AA79" s="106" t="n">
        <v>78</v>
      </c>
      <c r="AB79" s="106" t="n">
        <v>12</v>
      </c>
      <c r="AC79" s="107" t="s">
        <v>42</v>
      </c>
    </row>
    <row collapsed="false" customFormat="false" customHeight="false" hidden="false" ht="15" outlineLevel="0" r="80">
      <c r="A80" s="24" t="n">
        <v>159</v>
      </c>
      <c r="B80" s="53" t="e">
        <f aca="false">CONCATENATE(C80;D80)</f>
        <v>#VALUE!</v>
      </c>
      <c r="C80" s="53" t="n">
        <v>167</v>
      </c>
      <c r="D80" s="53" t="s">
        <v>215</v>
      </c>
      <c r="E80" s="24" t="n">
        <v>159</v>
      </c>
      <c r="F80" s="103" t="e">
        <f aca="false">IF(VLOOKUP(D80;$V$2:$W$299;2;0)&lt;&gt;1;1;0)</f>
        <v>#VALUE!</v>
      </c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8" t="s">
        <v>197</v>
      </c>
      <c r="W80" s="109" t="n">
        <v>1</v>
      </c>
      <c r="AA80" s="106" t="n">
        <v>79</v>
      </c>
      <c r="AB80" s="106" t="n">
        <v>12</v>
      </c>
      <c r="AC80" s="107" t="s">
        <v>42</v>
      </c>
    </row>
    <row collapsed="false" customFormat="false" customHeight="false" hidden="false" ht="15" outlineLevel="0" r="81">
      <c r="A81" s="24" t="n">
        <v>181</v>
      </c>
      <c r="B81" s="53" t="e">
        <f aca="false">CONCATENATE(C81;D81)</f>
        <v>#VALUE!</v>
      </c>
      <c r="C81" s="53" t="n">
        <v>189</v>
      </c>
      <c r="D81" s="53" t="s">
        <v>263</v>
      </c>
      <c r="E81" s="24" t="n">
        <v>181</v>
      </c>
      <c r="F81" s="103" t="e">
        <f aca="false">IF(VLOOKUP(D81;$V$2:$W$299;2;0)&lt;&gt;1;1;0)</f>
        <v>#VALUE!</v>
      </c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8" t="s">
        <v>129</v>
      </c>
      <c r="W81" s="109" t="n">
        <v>1</v>
      </c>
      <c r="AA81" s="106" t="n">
        <v>80</v>
      </c>
      <c r="AB81" s="106" t="n">
        <v>12</v>
      </c>
      <c r="AC81" s="107" t="s">
        <v>42</v>
      </c>
    </row>
    <row collapsed="false" customFormat="false" customHeight="false" hidden="false" ht="25.5" outlineLevel="0" r="82">
      <c r="A82" s="24" t="n">
        <v>284</v>
      </c>
      <c r="B82" s="53" t="e">
        <f aca="false">CONCATENATE(C82;D82)</f>
        <v>#VALUE!</v>
      </c>
      <c r="C82" s="53" t="n">
        <v>296</v>
      </c>
      <c r="D82" s="53" t="s">
        <v>180</v>
      </c>
      <c r="E82" s="24" t="n">
        <v>284</v>
      </c>
      <c r="F82" s="103" t="e">
        <f aca="false">IF(VLOOKUP(D82;$V$2:$W$299;2;0)&lt;&gt;1;1;0)</f>
        <v>#VALUE!</v>
      </c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8" t="s">
        <v>215</v>
      </c>
      <c r="W82" s="109" t="n">
        <v>1</v>
      </c>
      <c r="AA82" s="106" t="n">
        <v>81</v>
      </c>
      <c r="AB82" s="106" t="n">
        <v>2</v>
      </c>
      <c r="AC82" s="107" t="s">
        <v>55</v>
      </c>
    </row>
    <row collapsed="false" customFormat="false" customHeight="false" hidden="false" ht="25.5" outlineLevel="0" r="83">
      <c r="A83" s="24" t="n">
        <v>264</v>
      </c>
      <c r="B83" s="53" t="e">
        <f aca="false">CONCATENATE(C83;D83)</f>
        <v>#VALUE!</v>
      </c>
      <c r="C83" s="53" t="n">
        <v>277</v>
      </c>
      <c r="D83" s="53" t="s">
        <v>233</v>
      </c>
      <c r="E83" s="24" t="n">
        <v>264</v>
      </c>
      <c r="F83" s="103" t="e">
        <f aca="false">IF(VLOOKUP(D83;$V$2:$W$299;2;0)&lt;&gt;1;1;0)</f>
        <v>#VALUE!</v>
      </c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8" t="s">
        <v>263</v>
      </c>
      <c r="W83" s="109" t="n">
        <v>1</v>
      </c>
      <c r="AA83" s="106" t="n">
        <v>82</v>
      </c>
      <c r="AB83" s="106" t="n">
        <v>2</v>
      </c>
      <c r="AC83" s="107" t="s">
        <v>55</v>
      </c>
    </row>
    <row collapsed="false" customFormat="false" customHeight="false" hidden="false" ht="15" outlineLevel="0" r="84">
      <c r="A84" s="24" t="n">
        <v>32</v>
      </c>
      <c r="B84" s="53" t="e">
        <f aca="false">CONCATENATE(C84;D84)</f>
        <v>#VALUE!</v>
      </c>
      <c r="C84" s="53" t="n">
        <v>32</v>
      </c>
      <c r="D84" s="53" t="s">
        <v>290</v>
      </c>
      <c r="E84" s="24" t="n">
        <v>32</v>
      </c>
      <c r="F84" s="103" t="e">
        <f aca="false">IF(VLOOKUP(D84;$V$2:$W$299;2;0)&lt;&gt;1;1;0)</f>
        <v>#VALUE!</v>
      </c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8" t="s">
        <v>180</v>
      </c>
      <c r="W84" s="109" t="n">
        <v>1</v>
      </c>
      <c r="AA84" s="106" t="n">
        <v>83</v>
      </c>
      <c r="AB84" s="106" t="n">
        <v>2</v>
      </c>
      <c r="AC84" s="107" t="s">
        <v>55</v>
      </c>
    </row>
    <row collapsed="false" customFormat="false" customHeight="false" hidden="false" ht="25.5" outlineLevel="0" r="85">
      <c r="A85" s="24" t="n">
        <v>49</v>
      </c>
      <c r="B85" s="53" t="e">
        <f aca="false">CONCATENATE(C85;D85)</f>
        <v>#VALUE!</v>
      </c>
      <c r="C85" s="53" t="n">
        <v>49</v>
      </c>
      <c r="D85" s="53" t="s">
        <v>274</v>
      </c>
      <c r="E85" s="24" t="n">
        <v>49</v>
      </c>
      <c r="F85" s="103" t="e">
        <f aca="false">IF(VLOOKUP(D85;$V$2:$W$299;2;0)&lt;&gt;1;1;0)</f>
        <v>#VALUE!</v>
      </c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8" t="s">
        <v>233</v>
      </c>
      <c r="W85" s="109" t="n">
        <v>1</v>
      </c>
      <c r="AA85" s="106" t="n">
        <v>84</v>
      </c>
      <c r="AB85" s="106" t="n">
        <v>2</v>
      </c>
      <c r="AC85" s="107" t="s">
        <v>55</v>
      </c>
    </row>
    <row collapsed="false" customFormat="false" customHeight="false" hidden="false" ht="25.5" outlineLevel="0" r="86">
      <c r="A86" s="24" t="n">
        <v>234</v>
      </c>
      <c r="B86" s="53" t="e">
        <f aca="false">CONCATENATE(C86;D86)</f>
        <v>#VALUE!</v>
      </c>
      <c r="C86" s="53" t="s">
        <v>457</v>
      </c>
      <c r="D86" s="53" t="s">
        <v>280</v>
      </c>
      <c r="E86" s="24" t="n">
        <v>234</v>
      </c>
      <c r="F86" s="103" t="e">
        <f aca="false">IF(VLOOKUP(D86;$V$2:$W$299;2;0)&lt;&gt;1;1;0)</f>
        <v>#VALUE!</v>
      </c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8" t="s">
        <v>290</v>
      </c>
      <c r="W86" s="109" t="n">
        <v>1</v>
      </c>
      <c r="AA86" s="106" t="n">
        <v>85</v>
      </c>
      <c r="AB86" s="106" t="n">
        <v>2</v>
      </c>
      <c r="AC86" s="107" t="s">
        <v>55</v>
      </c>
    </row>
    <row collapsed="false" customFormat="false" customHeight="false" hidden="false" ht="25.5" outlineLevel="0" r="87">
      <c r="A87" s="24" t="n">
        <v>234</v>
      </c>
      <c r="B87" s="53" t="e">
        <f aca="false">CONCATENATE(C87;D87)</f>
        <v>#VALUE!</v>
      </c>
      <c r="C87" s="53" t="n">
        <v>244</v>
      </c>
      <c r="D87" s="53" t="s">
        <v>280</v>
      </c>
      <c r="E87" s="24" t="n">
        <v>234</v>
      </c>
      <c r="F87" s="103" t="e">
        <f aca="false">IF(VLOOKUP(D87;$V$2:$W$299;2;0)&lt;&gt;1;1;0)</f>
        <v>#VALUE!</v>
      </c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8" t="s">
        <v>274</v>
      </c>
      <c r="W87" s="109" t="n">
        <v>1</v>
      </c>
      <c r="AA87" s="106" t="n">
        <v>86</v>
      </c>
      <c r="AB87" s="106" t="n">
        <v>2</v>
      </c>
      <c r="AC87" s="107" t="s">
        <v>55</v>
      </c>
    </row>
    <row collapsed="false" customFormat="false" customHeight="false" hidden="false" ht="25.5" outlineLevel="0" r="88">
      <c r="A88" s="24" t="n">
        <v>234</v>
      </c>
      <c r="B88" s="53" t="e">
        <f aca="false">CONCATENATE(C88;D88)</f>
        <v>#VALUE!</v>
      </c>
      <c r="C88" s="53" t="n">
        <v>243</v>
      </c>
      <c r="D88" s="53" t="s">
        <v>280</v>
      </c>
      <c r="E88" s="24" t="n">
        <v>234</v>
      </c>
      <c r="F88" s="103" t="e">
        <f aca="false">IF(VLOOKUP(D88;$V$2:$W$299;2;0)&lt;&gt;1;1;0)</f>
        <v>#VALUE!</v>
      </c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8" t="s">
        <v>183</v>
      </c>
      <c r="W88" s="109" t="n">
        <v>1</v>
      </c>
      <c r="AA88" s="106" t="n">
        <v>87</v>
      </c>
      <c r="AB88" s="106" t="n">
        <v>2</v>
      </c>
      <c r="AC88" s="107" t="s">
        <v>55</v>
      </c>
    </row>
    <row collapsed="false" customFormat="false" customHeight="false" hidden="false" ht="15" outlineLevel="0" r="89">
      <c r="A89" s="24" t="n">
        <v>254</v>
      </c>
      <c r="B89" s="53" t="e">
        <f aca="false">CONCATENATE(C89;D89)</f>
        <v>#VALUE!</v>
      </c>
      <c r="C89" s="53" t="n">
        <v>267</v>
      </c>
      <c r="D89" s="53" t="s">
        <v>183</v>
      </c>
      <c r="E89" s="24" t="n">
        <v>254</v>
      </c>
      <c r="F89" s="103" t="e">
        <f aca="false">IF(VLOOKUP(D89;$V$2:$W$299;2;0)&lt;&gt;1;1;0)</f>
        <v>#VALUE!</v>
      </c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8" t="s">
        <v>241</v>
      </c>
      <c r="W89" s="109" t="n">
        <v>1</v>
      </c>
      <c r="AA89" s="106" t="n">
        <v>88</v>
      </c>
      <c r="AB89" s="106" t="n">
        <v>2</v>
      </c>
      <c r="AC89" s="107" t="s">
        <v>55</v>
      </c>
    </row>
    <row collapsed="false" customFormat="false" customHeight="false" hidden="false" ht="15" outlineLevel="0" r="90">
      <c r="A90" s="24" t="n">
        <v>230</v>
      </c>
      <c r="B90" s="53" t="e">
        <f aca="false">CONCATENATE(C90;D90)</f>
        <v>#VALUE!</v>
      </c>
      <c r="C90" s="53" t="n">
        <v>257</v>
      </c>
      <c r="D90" s="53" t="s">
        <v>168</v>
      </c>
      <c r="E90" s="24" t="n">
        <v>230</v>
      </c>
      <c r="F90" s="103" t="e">
        <f aca="false">IF(VLOOKUP(D90;$V$2:$W$299;2;0)&lt;&gt;1;1;0)</f>
        <v>#VALUE!</v>
      </c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8" t="s">
        <v>104</v>
      </c>
      <c r="W90" s="109" t="n">
        <v>1</v>
      </c>
      <c r="AA90" s="106" t="n">
        <v>89</v>
      </c>
      <c r="AB90" s="106" t="n">
        <v>2</v>
      </c>
      <c r="AC90" s="107" t="s">
        <v>55</v>
      </c>
    </row>
    <row collapsed="false" customFormat="false" customHeight="false" hidden="false" ht="15" outlineLevel="0" r="91">
      <c r="A91" s="24" t="n">
        <v>230</v>
      </c>
      <c r="B91" s="53" t="e">
        <f aca="false">CONCATENATE(C91;D91)</f>
        <v>#VALUE!</v>
      </c>
      <c r="C91" s="53" t="n">
        <v>239</v>
      </c>
      <c r="D91" s="53" t="s">
        <v>168</v>
      </c>
      <c r="E91" s="24" t="n">
        <v>230</v>
      </c>
      <c r="F91" s="103" t="e">
        <f aca="false">IF(VLOOKUP(D91;$V$2:$W$299;2;0)&lt;&gt;1;1;0)</f>
        <v>#VALUE!</v>
      </c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8" t="s">
        <v>30</v>
      </c>
      <c r="W91" s="109" t="n">
        <v>1</v>
      </c>
      <c r="AA91" s="106" t="n">
        <v>90</v>
      </c>
      <c r="AB91" s="106" t="n">
        <v>2</v>
      </c>
      <c r="AC91" s="107" t="s">
        <v>55</v>
      </c>
    </row>
    <row collapsed="false" customFormat="false" customHeight="false" hidden="false" ht="15" outlineLevel="0" r="92">
      <c r="A92" s="24" t="n">
        <v>4</v>
      </c>
      <c r="B92" s="53" t="e">
        <f aca="false">CONCATENATE(C92;D92)</f>
        <v>#VALUE!</v>
      </c>
      <c r="C92" s="53" t="n">
        <v>4</v>
      </c>
      <c r="D92" s="53" t="s">
        <v>241</v>
      </c>
      <c r="E92" s="24" t="n">
        <v>4</v>
      </c>
      <c r="F92" s="103" t="e">
        <f aca="false">IF(VLOOKUP(D92;$V$2:$W$299;2;0)&lt;&gt;1;1;0)</f>
        <v>#VALUE!</v>
      </c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8" t="s">
        <v>192</v>
      </c>
      <c r="W92" s="109" t="n">
        <v>1</v>
      </c>
      <c r="AA92" s="106" t="n">
        <v>91</v>
      </c>
      <c r="AB92" s="106" t="n">
        <v>2</v>
      </c>
      <c r="AC92" s="107" t="s">
        <v>55</v>
      </c>
    </row>
    <row collapsed="false" customFormat="false" customHeight="false" hidden="false" ht="15" outlineLevel="0" r="93">
      <c r="A93" s="24" t="n">
        <v>213</v>
      </c>
      <c r="B93" s="53" t="e">
        <f aca="false">CONCATENATE(C93;D93)</f>
        <v>#VALUE!</v>
      </c>
      <c r="C93" s="53" t="n">
        <v>222</v>
      </c>
      <c r="D93" s="53" t="s">
        <v>104</v>
      </c>
      <c r="E93" s="24" t="n">
        <v>213</v>
      </c>
      <c r="F93" s="103" t="e">
        <f aca="false">IF(VLOOKUP(D93;$V$2:$W$299;2;0)&lt;&gt;1;1;0)</f>
        <v>#VALUE!</v>
      </c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8" t="s">
        <v>154</v>
      </c>
      <c r="W93" s="109" t="n">
        <v>1</v>
      </c>
      <c r="AA93" s="106" t="n">
        <v>92</v>
      </c>
      <c r="AB93" s="106" t="n">
        <v>2</v>
      </c>
      <c r="AC93" s="107" t="s">
        <v>55</v>
      </c>
    </row>
    <row collapsed="false" customFormat="false" customHeight="false" hidden="false" ht="15" outlineLevel="0" r="94">
      <c r="A94" s="24" t="n">
        <v>127</v>
      </c>
      <c r="B94" s="53" t="e">
        <f aca="false">CONCATENATE(C94;D94)</f>
        <v>#VALUE!</v>
      </c>
      <c r="C94" s="53" t="n">
        <v>132</v>
      </c>
      <c r="D94" s="53" t="s">
        <v>30</v>
      </c>
      <c r="E94" s="24" t="n">
        <v>127</v>
      </c>
      <c r="F94" s="103" t="e">
        <f aca="false">IF(VLOOKUP(D94;$V$2:$W$299;2;0)&lt;&gt;1;1;0)</f>
        <v>#VALUE!</v>
      </c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8" t="s">
        <v>71</v>
      </c>
      <c r="W94" s="109" t="n">
        <v>1</v>
      </c>
      <c r="AA94" s="106" t="n">
        <v>93</v>
      </c>
      <c r="AB94" s="106" t="n">
        <v>2</v>
      </c>
      <c r="AC94" s="107" t="s">
        <v>55</v>
      </c>
    </row>
    <row collapsed="false" customFormat="false" customHeight="false" hidden="false" ht="25.5" outlineLevel="0" r="95">
      <c r="A95" s="24" t="n">
        <v>66</v>
      </c>
      <c r="B95" s="53" t="e">
        <f aca="false">CONCATENATE(C95;D95)</f>
        <v>#VALUE!</v>
      </c>
      <c r="C95" s="53" t="n">
        <v>68</v>
      </c>
      <c r="D95" s="53" t="s">
        <v>192</v>
      </c>
      <c r="E95" s="24" t="n">
        <v>66</v>
      </c>
      <c r="F95" s="103" t="e">
        <f aca="false">IF(VLOOKUP(D95;$V$2:$W$299;2;0)&lt;&gt;1;1;0)</f>
        <v>#VALUE!</v>
      </c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8" t="s">
        <v>68</v>
      </c>
      <c r="W95" s="109" t="n">
        <v>1</v>
      </c>
      <c r="AA95" s="106" t="n">
        <v>94</v>
      </c>
      <c r="AB95" s="106" t="n">
        <v>2</v>
      </c>
      <c r="AC95" s="107" t="s">
        <v>55</v>
      </c>
    </row>
    <row collapsed="false" customFormat="false" customHeight="false" hidden="false" ht="25.5" outlineLevel="0" r="96">
      <c r="A96" s="24" t="n">
        <v>36</v>
      </c>
      <c r="B96" s="53" t="e">
        <f aca="false">CONCATENATE(C96;D96)</f>
        <v>#VALUE!</v>
      </c>
      <c r="C96" s="53" t="n">
        <v>36</v>
      </c>
      <c r="D96" s="53" t="s">
        <v>154</v>
      </c>
      <c r="E96" s="24" t="n">
        <v>36</v>
      </c>
      <c r="F96" s="103" t="e">
        <f aca="false">IF(VLOOKUP(D96;$V$2:$W$299;2;0)&lt;&gt;1;1;0)</f>
        <v>#VALUE!</v>
      </c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8" t="s">
        <v>322</v>
      </c>
      <c r="W96" s="109" t="n">
        <v>1</v>
      </c>
      <c r="AA96" s="106" t="n">
        <v>95</v>
      </c>
      <c r="AB96" s="106" t="n">
        <v>2</v>
      </c>
      <c r="AC96" s="107" t="s">
        <v>55</v>
      </c>
    </row>
    <row collapsed="false" customFormat="false" customHeight="false" hidden="false" ht="25.5" outlineLevel="0" r="97">
      <c r="A97" s="24" t="n">
        <v>38</v>
      </c>
      <c r="B97" s="53" t="e">
        <f aca="false">CONCATENATE(C97;D97)</f>
        <v>#VALUE!</v>
      </c>
      <c r="C97" s="53" t="n">
        <v>255</v>
      </c>
      <c r="D97" s="53" t="s">
        <v>175</v>
      </c>
      <c r="E97" s="24" t="n">
        <v>38</v>
      </c>
      <c r="F97" s="103" t="e">
        <f aca="false">IF(VLOOKUP(D97;$V$2:$W$299;2;0)&lt;&gt;1;1;0)</f>
        <v>#VALUE!</v>
      </c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8" t="s">
        <v>222</v>
      </c>
      <c r="W97" s="109" t="n">
        <v>1</v>
      </c>
      <c r="AA97" s="106" t="n">
        <v>96</v>
      </c>
      <c r="AB97" s="106" t="n">
        <v>2</v>
      </c>
      <c r="AC97" s="107" t="s">
        <v>55</v>
      </c>
    </row>
    <row collapsed="false" customFormat="false" customHeight="false" hidden="false" ht="25.5" outlineLevel="0" r="98">
      <c r="A98" s="24" t="n">
        <v>38</v>
      </c>
      <c r="B98" s="53" t="e">
        <f aca="false">CONCATENATE(C98;D98)</f>
        <v>#VALUE!</v>
      </c>
      <c r="C98" s="53" t="n">
        <v>38</v>
      </c>
      <c r="D98" s="53" t="s">
        <v>175</v>
      </c>
      <c r="E98" s="24" t="n">
        <v>38</v>
      </c>
      <c r="F98" s="103" t="e">
        <f aca="false">IF(VLOOKUP(D98;$V$2:$W$299;2;0)&lt;&gt;1;1;0)</f>
        <v>#VALUE!</v>
      </c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8" t="s">
        <v>307</v>
      </c>
      <c r="W98" s="109" t="n">
        <v>1</v>
      </c>
      <c r="AA98" s="106" t="n">
        <v>97</v>
      </c>
      <c r="AB98" s="106" t="n">
        <v>2</v>
      </c>
      <c r="AC98" s="107" t="s">
        <v>55</v>
      </c>
    </row>
    <row collapsed="false" customFormat="false" customHeight="false" hidden="false" ht="25.5" outlineLevel="0" r="99">
      <c r="A99" s="24" t="n">
        <v>12</v>
      </c>
      <c r="B99" s="53" t="e">
        <f aca="false">CONCATENATE(C99;D99)</f>
        <v>#VALUE!</v>
      </c>
      <c r="C99" s="53" t="n">
        <v>12</v>
      </c>
      <c r="D99" s="53" t="s">
        <v>71</v>
      </c>
      <c r="E99" s="24" t="n">
        <v>12</v>
      </c>
      <c r="F99" s="103" t="e">
        <f aca="false">IF(VLOOKUP(D99;$V$2:$W$299;2;0)&lt;&gt;1;1;0)</f>
        <v>#VALUE!</v>
      </c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8" t="s">
        <v>149</v>
      </c>
      <c r="W99" s="109" t="n">
        <v>1</v>
      </c>
      <c r="AA99" s="106" t="n">
        <v>98</v>
      </c>
      <c r="AB99" s="106" t="n">
        <v>2</v>
      </c>
      <c r="AC99" s="107" t="s">
        <v>55</v>
      </c>
    </row>
    <row collapsed="false" customFormat="false" customHeight="false" hidden="false" ht="15" outlineLevel="0" r="100">
      <c r="A100" s="24" t="n">
        <v>63</v>
      </c>
      <c r="B100" s="53" t="e">
        <f aca="false">CONCATENATE(C100;D100)</f>
        <v>#VALUE!</v>
      </c>
      <c r="C100" s="53" t="n">
        <v>65</v>
      </c>
      <c r="D100" s="53" t="s">
        <v>68</v>
      </c>
      <c r="E100" s="24" t="n">
        <v>63</v>
      </c>
      <c r="F100" s="103" t="e">
        <f aca="false">IF(VLOOKUP(D100;$V$2:$W$299;2;0)&lt;&gt;1;1;0)</f>
        <v>#VALUE!</v>
      </c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8" t="s">
        <v>295</v>
      </c>
      <c r="W100" s="109" t="n">
        <v>1</v>
      </c>
      <c r="AA100" s="106" t="n">
        <v>99</v>
      </c>
      <c r="AB100" s="106" t="n">
        <v>2</v>
      </c>
      <c r="AC100" s="107" t="s">
        <v>55</v>
      </c>
    </row>
    <row collapsed="false" customFormat="false" customHeight="false" hidden="false" ht="15" outlineLevel="0" r="101">
      <c r="A101" s="24" t="n">
        <v>16</v>
      </c>
      <c r="B101" s="53" t="e">
        <f aca="false">CONCATENATE(C101;D101)</f>
        <v>#VALUE!</v>
      </c>
      <c r="C101" s="53" t="n">
        <v>16</v>
      </c>
      <c r="D101" s="53" t="s">
        <v>322</v>
      </c>
      <c r="E101" s="24" t="n">
        <v>16</v>
      </c>
      <c r="F101" s="103" t="e">
        <f aca="false">IF(VLOOKUP(D101;$V$2:$W$299;2;0)&lt;&gt;1;1;0)</f>
        <v>#VALUE!</v>
      </c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8" t="s">
        <v>170</v>
      </c>
      <c r="W101" s="109" t="n">
        <v>1</v>
      </c>
      <c r="AA101" s="106" t="n">
        <v>100</v>
      </c>
      <c r="AB101" s="106" t="n">
        <v>2</v>
      </c>
      <c r="AC101" s="107" t="s">
        <v>55</v>
      </c>
    </row>
    <row collapsed="false" customFormat="false" customHeight="false" hidden="false" ht="15" outlineLevel="0" r="102">
      <c r="A102" s="24" t="n">
        <v>121</v>
      </c>
      <c r="B102" s="53" t="e">
        <f aca="false">CONCATENATE(C102;D102)</f>
        <v>#VALUE!</v>
      </c>
      <c r="C102" s="53" t="n">
        <v>126</v>
      </c>
      <c r="D102" s="53" t="s">
        <v>222</v>
      </c>
      <c r="E102" s="24" t="n">
        <v>121</v>
      </c>
      <c r="F102" s="103" t="e">
        <f aca="false">IF(VLOOKUP(D102;$V$2:$W$299;2;0)&lt;&gt;1;1;0)</f>
        <v>#VALUE!</v>
      </c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8" t="s">
        <v>52</v>
      </c>
      <c r="W102" s="109" t="n">
        <v>1</v>
      </c>
      <c r="AA102" s="106" t="n">
        <v>101</v>
      </c>
      <c r="AB102" s="106" t="n">
        <v>1</v>
      </c>
      <c r="AC102" s="107" t="s">
        <v>49</v>
      </c>
    </row>
    <row collapsed="false" customFormat="false" customHeight="false" hidden="false" ht="15" outlineLevel="0" r="103">
      <c r="A103" s="24" t="n">
        <v>156</v>
      </c>
      <c r="B103" s="53" t="e">
        <f aca="false">CONCATENATE(C103;D103)</f>
        <v>#VALUE!</v>
      </c>
      <c r="C103" s="53" t="n">
        <v>164</v>
      </c>
      <c r="D103" s="53" t="s">
        <v>307</v>
      </c>
      <c r="E103" s="24" t="n">
        <v>156</v>
      </c>
      <c r="F103" s="103" t="e">
        <f aca="false">IF(VLOOKUP(D103;$V$2:$W$299;2;0)&lt;&gt;1;1;0)</f>
        <v>#VALUE!</v>
      </c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8" t="s">
        <v>40</v>
      </c>
      <c r="W103" s="109" t="n">
        <v>1</v>
      </c>
      <c r="AA103" s="106" t="n">
        <v>102</v>
      </c>
      <c r="AB103" s="106" t="n">
        <v>1</v>
      </c>
      <c r="AC103" s="107" t="s">
        <v>49</v>
      </c>
    </row>
    <row collapsed="false" customFormat="false" customHeight="false" hidden="false" ht="15" outlineLevel="0" r="104">
      <c r="A104" s="24" t="n">
        <v>5</v>
      </c>
      <c r="B104" s="53" t="e">
        <f aca="false">CONCATENATE(C104;D104)</f>
        <v>#VALUE!</v>
      </c>
      <c r="C104" s="53" t="n">
        <v>5</v>
      </c>
      <c r="D104" s="53" t="s">
        <v>149</v>
      </c>
      <c r="E104" s="24" t="n">
        <v>5</v>
      </c>
      <c r="F104" s="103" t="e">
        <f aca="false">IF(VLOOKUP(D104;$V$2:$W$299;2;0)&lt;&gt;1;1;0)</f>
        <v>#VALUE!</v>
      </c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8" t="s">
        <v>281</v>
      </c>
      <c r="W104" s="109" t="n">
        <v>1</v>
      </c>
      <c r="AA104" s="106" t="n">
        <v>103</v>
      </c>
      <c r="AB104" s="106" t="n">
        <v>1</v>
      </c>
      <c r="AC104" s="107" t="s">
        <v>49</v>
      </c>
    </row>
    <row collapsed="false" customFormat="false" customHeight="false" hidden="false" ht="15" outlineLevel="0" r="105">
      <c r="A105" s="24" t="n">
        <v>214</v>
      </c>
      <c r="B105" s="53" t="e">
        <f aca="false">CONCATENATE(C105;D105)</f>
        <v>#VALUE!</v>
      </c>
      <c r="C105" s="53" t="n">
        <v>223</v>
      </c>
      <c r="D105" s="53" t="s">
        <v>295</v>
      </c>
      <c r="E105" s="24" t="n">
        <v>214</v>
      </c>
      <c r="F105" s="103" t="e">
        <f aca="false">IF(VLOOKUP(D105;$V$2:$W$299;2;0)&lt;&gt;1;1;0)</f>
        <v>#VALUE!</v>
      </c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8" t="s">
        <v>125</v>
      </c>
      <c r="W105" s="109" t="n">
        <v>1</v>
      </c>
      <c r="AA105" s="106" t="n">
        <v>104</v>
      </c>
      <c r="AB105" s="106" t="n">
        <v>1</v>
      </c>
      <c r="AC105" s="107" t="s">
        <v>49</v>
      </c>
    </row>
    <row collapsed="false" customFormat="false" customHeight="false" hidden="false" ht="15" outlineLevel="0" r="106">
      <c r="A106" s="24" t="n">
        <v>279</v>
      </c>
      <c r="B106" s="53" t="e">
        <f aca="false">CONCATENATE(C106;D106)</f>
        <v>#VALUE!</v>
      </c>
      <c r="C106" s="53" t="n">
        <v>291</v>
      </c>
      <c r="D106" s="53" t="s">
        <v>170</v>
      </c>
      <c r="E106" s="24" t="n">
        <v>279</v>
      </c>
      <c r="F106" s="103" t="e">
        <f aca="false">IF(VLOOKUP(D106;$V$2:$W$299;2;0)&lt;&gt;1;1;0)</f>
        <v>#VALUE!</v>
      </c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8" t="s">
        <v>146</v>
      </c>
      <c r="W106" s="109" t="n">
        <v>1</v>
      </c>
      <c r="AA106" s="106" t="n">
        <v>105</v>
      </c>
      <c r="AB106" s="106" t="n">
        <v>1</v>
      </c>
      <c r="AC106" s="107" t="s">
        <v>49</v>
      </c>
    </row>
    <row collapsed="false" customFormat="false" customHeight="false" hidden="false" ht="15" outlineLevel="0" r="107">
      <c r="A107" s="24" t="n">
        <v>197</v>
      </c>
      <c r="B107" s="53" t="e">
        <f aca="false">CONCATENATE(C107;D107)</f>
        <v>#VALUE!</v>
      </c>
      <c r="C107" s="53" t="n">
        <v>205</v>
      </c>
      <c r="D107" s="53" t="s">
        <v>52</v>
      </c>
      <c r="E107" s="24" t="n">
        <v>197</v>
      </c>
      <c r="F107" s="103" t="e">
        <f aca="false">IF(VLOOKUP(D107;$V$2:$W$299;2;0)&lt;&gt;1;1;0)</f>
        <v>#VALUE!</v>
      </c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8" t="s">
        <v>252</v>
      </c>
      <c r="W107" s="109" t="n">
        <v>1</v>
      </c>
      <c r="AA107" s="106" t="n">
        <v>106</v>
      </c>
      <c r="AB107" s="106" t="n">
        <v>1</v>
      </c>
      <c r="AC107" s="107" t="s">
        <v>49</v>
      </c>
    </row>
    <row collapsed="false" customFormat="false" customHeight="false" hidden="false" ht="15" outlineLevel="0" r="108">
      <c r="A108" s="24" t="n">
        <v>295</v>
      </c>
      <c r="B108" s="53" t="e">
        <f aca="false">CONCATENATE(C108;D108)</f>
        <v>#VALUE!</v>
      </c>
      <c r="C108" s="53" t="n">
        <v>310</v>
      </c>
      <c r="D108" s="53" t="s">
        <v>40</v>
      </c>
      <c r="E108" s="24" t="n">
        <v>295</v>
      </c>
      <c r="F108" s="103" t="e">
        <f aca="false">IF(VLOOKUP(D108;$V$2:$W$299;2;0)&lt;&gt;1;1;0)</f>
        <v>#VALUE!</v>
      </c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8" t="s">
        <v>50</v>
      </c>
      <c r="W108" s="109" t="n">
        <v>1</v>
      </c>
      <c r="AA108" s="106" t="n">
        <v>107</v>
      </c>
      <c r="AB108" s="106" t="n">
        <v>1</v>
      </c>
      <c r="AC108" s="107" t="s">
        <v>49</v>
      </c>
    </row>
    <row collapsed="false" customFormat="false" customHeight="false" hidden="false" ht="15" outlineLevel="0" r="109">
      <c r="A109" s="24" t="n">
        <v>196</v>
      </c>
      <c r="B109" s="53" t="e">
        <f aca="false">CONCATENATE(C109;D109)</f>
        <v>#VALUE!</v>
      </c>
      <c r="C109" s="53" t="n">
        <v>204</v>
      </c>
      <c r="D109" s="53" t="s">
        <v>281</v>
      </c>
      <c r="E109" s="24" t="n">
        <v>196</v>
      </c>
      <c r="F109" s="103" t="e">
        <f aca="false">IF(VLOOKUP(D109;$V$2:$W$299;2;0)&lt;&gt;1;1;0)</f>
        <v>#VALUE!</v>
      </c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8" t="s">
        <v>38</v>
      </c>
      <c r="W109" s="109" t="n">
        <v>1</v>
      </c>
      <c r="AA109" s="106" t="n">
        <v>108</v>
      </c>
      <c r="AB109" s="106" t="n">
        <v>1</v>
      </c>
      <c r="AC109" s="107" t="s">
        <v>49</v>
      </c>
    </row>
    <row collapsed="false" customFormat="false" customHeight="false" hidden="false" ht="38.25" outlineLevel="0" r="110">
      <c r="A110" s="24" t="n">
        <v>124</v>
      </c>
      <c r="B110" s="53" t="e">
        <f aca="false">CONCATENATE(C110;D110)</f>
        <v>#VALUE!</v>
      </c>
      <c r="C110" s="53" t="n">
        <v>129</v>
      </c>
      <c r="D110" s="53" t="s">
        <v>125</v>
      </c>
      <c r="E110" s="24" t="n">
        <v>124</v>
      </c>
      <c r="F110" s="103" t="e">
        <f aca="false">IF(VLOOKUP(D110;$V$2:$W$299;2;0)&lt;&gt;1;1;0)</f>
        <v>#VALUE!</v>
      </c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8" t="s">
        <v>189</v>
      </c>
      <c r="W110" s="109" t="n">
        <v>1</v>
      </c>
      <c r="AA110" s="106" t="n">
        <v>109</v>
      </c>
      <c r="AB110" s="106" t="n">
        <v>1</v>
      </c>
      <c r="AC110" s="107" t="s">
        <v>49</v>
      </c>
    </row>
    <row collapsed="false" customFormat="false" customHeight="false" hidden="false" ht="15" outlineLevel="0" r="111">
      <c r="A111" s="24" t="n">
        <v>250</v>
      </c>
      <c r="B111" s="53" t="e">
        <f aca="false">CONCATENATE(C111;D111)</f>
        <v>#VALUE!</v>
      </c>
      <c r="C111" s="53" t="n">
        <v>261</v>
      </c>
      <c r="D111" s="53" t="s">
        <v>146</v>
      </c>
      <c r="E111" s="24" t="n">
        <v>250</v>
      </c>
      <c r="F111" s="103" t="e">
        <f aca="false">IF(VLOOKUP(D111;$V$2:$W$299;2;0)&lt;&gt;1;1;0)</f>
        <v>#VALUE!</v>
      </c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8" t="s">
        <v>210</v>
      </c>
      <c r="W111" s="109" t="n">
        <v>1</v>
      </c>
      <c r="AA111" s="106" t="n">
        <v>110</v>
      </c>
      <c r="AB111" s="106" t="n">
        <v>1</v>
      </c>
      <c r="AC111" s="107" t="s">
        <v>49</v>
      </c>
    </row>
    <row collapsed="false" customFormat="false" customHeight="false" hidden="false" ht="15" outlineLevel="0" r="112">
      <c r="A112" s="24" t="n">
        <v>153</v>
      </c>
      <c r="B112" s="53" t="e">
        <f aca="false">CONCATENATE(C112;D112)</f>
        <v>#VALUE!</v>
      </c>
      <c r="C112" s="53" t="n">
        <v>161</v>
      </c>
      <c r="D112" s="53" t="s">
        <v>252</v>
      </c>
      <c r="E112" s="24" t="n">
        <v>153</v>
      </c>
      <c r="F112" s="103" t="e">
        <f aca="false">IF(VLOOKUP(D112;$V$2:$W$299;2;0)&lt;&gt;1;1;0)</f>
        <v>#VALUE!</v>
      </c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8" t="s">
        <v>226</v>
      </c>
      <c r="W112" s="109" t="n">
        <v>1</v>
      </c>
      <c r="AA112" s="106" t="n">
        <v>111</v>
      </c>
      <c r="AB112" s="106" t="n">
        <v>1</v>
      </c>
      <c r="AC112" s="107" t="s">
        <v>49</v>
      </c>
    </row>
    <row collapsed="false" customFormat="false" customHeight="false" hidden="false" ht="15" outlineLevel="0" r="113">
      <c r="A113" s="24" t="n">
        <v>106</v>
      </c>
      <c r="B113" s="53" t="e">
        <f aca="false">CONCATENATE(C113;D113)</f>
        <v>#VALUE!</v>
      </c>
      <c r="C113" s="53" t="n">
        <v>111</v>
      </c>
      <c r="D113" s="53" t="s">
        <v>50</v>
      </c>
      <c r="E113" s="24" t="n">
        <v>106</v>
      </c>
      <c r="F113" s="103" t="e">
        <f aca="false">IF(VLOOKUP(D113;$V$2:$W$299;2;0)&lt;&gt;1;1;0)</f>
        <v>#VALUE!</v>
      </c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8" t="s">
        <v>309</v>
      </c>
      <c r="W113" s="109" t="n">
        <v>1</v>
      </c>
      <c r="AA113" s="106" t="n">
        <v>112</v>
      </c>
      <c r="AB113" s="106" t="n">
        <v>1</v>
      </c>
      <c r="AC113" s="107" t="s">
        <v>49</v>
      </c>
    </row>
    <row collapsed="false" customFormat="false" customHeight="false" hidden="false" ht="15" outlineLevel="0" r="114">
      <c r="A114" s="24" t="n">
        <v>222</v>
      </c>
      <c r="B114" s="53" t="e">
        <f aca="false">CONCATENATE(C114;D114)</f>
        <v>#VALUE!</v>
      </c>
      <c r="C114" s="53" t="n">
        <v>231</v>
      </c>
      <c r="D114" s="53" t="s">
        <v>38</v>
      </c>
      <c r="E114" s="24" t="n">
        <v>222</v>
      </c>
      <c r="F114" s="103" t="e">
        <f aca="false">IF(VLOOKUP(D114;$V$2:$W$299;2;0)&lt;&gt;1;1;0)</f>
        <v>#VALUE!</v>
      </c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8" t="s">
        <v>229</v>
      </c>
      <c r="W114" s="109" t="n">
        <v>1</v>
      </c>
      <c r="AA114" s="106" t="n">
        <v>113</v>
      </c>
      <c r="AB114" s="106" t="n">
        <v>1</v>
      </c>
      <c r="AC114" s="107" t="s">
        <v>49</v>
      </c>
    </row>
    <row collapsed="false" customFormat="false" customHeight="false" hidden="false" ht="15" outlineLevel="0" r="115">
      <c r="A115" s="24" t="n">
        <v>208</v>
      </c>
      <c r="B115" s="53" t="e">
        <f aca="false">CONCATENATE(C115;D115)</f>
        <v>#VALUE!</v>
      </c>
      <c r="C115" s="53" t="n">
        <v>218</v>
      </c>
      <c r="D115" s="53" t="s">
        <v>189</v>
      </c>
      <c r="E115" s="24" t="n">
        <v>208</v>
      </c>
      <c r="F115" s="103" t="e">
        <f aca="false">IF(VLOOKUP(D115;$V$2:$W$299;2;0)&lt;&gt;1;1;0)</f>
        <v>#VALUE!</v>
      </c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8" t="s">
        <v>240</v>
      </c>
      <c r="W115" s="109" t="n">
        <v>1</v>
      </c>
      <c r="AA115" s="106" t="n">
        <v>114</v>
      </c>
      <c r="AB115" s="106" t="n">
        <v>1</v>
      </c>
      <c r="AC115" s="107" t="s">
        <v>49</v>
      </c>
    </row>
    <row collapsed="false" customFormat="false" customHeight="false" hidden="false" ht="38.25" outlineLevel="0" r="116">
      <c r="A116" s="24" t="n">
        <v>207</v>
      </c>
      <c r="B116" s="53" t="e">
        <f aca="false">CONCATENATE(C116;D116)</f>
        <v>#VALUE!</v>
      </c>
      <c r="C116" s="53" t="n">
        <v>217</v>
      </c>
      <c r="D116" s="53" t="s">
        <v>210</v>
      </c>
      <c r="E116" s="24" t="n">
        <v>207</v>
      </c>
      <c r="F116" s="103" t="e">
        <f aca="false">IF(VLOOKUP(D116;$V$2:$W$299;2;0)&lt;&gt;1;1;0)</f>
        <v>#VALUE!</v>
      </c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8" t="s">
        <v>35</v>
      </c>
      <c r="W116" s="109" t="n">
        <v>1</v>
      </c>
      <c r="AA116" s="106" t="n">
        <v>115</v>
      </c>
      <c r="AB116" s="106" t="n">
        <v>1</v>
      </c>
      <c r="AC116" s="107" t="s">
        <v>49</v>
      </c>
    </row>
    <row collapsed="false" customFormat="false" customHeight="false" hidden="false" ht="15" outlineLevel="0" r="117">
      <c r="A117" s="24" t="n">
        <v>231</v>
      </c>
      <c r="B117" s="53" t="e">
        <f aca="false">CONCATENATE(C117;D117)</f>
        <v>#VALUE!</v>
      </c>
      <c r="C117" s="53" t="n">
        <v>240</v>
      </c>
      <c r="D117" s="53" t="s">
        <v>226</v>
      </c>
      <c r="E117" s="24" t="n">
        <v>231</v>
      </c>
      <c r="F117" s="103" t="e">
        <f aca="false">IF(VLOOKUP(D117;$V$2:$W$299;2;0)&lt;&gt;1;1;0)</f>
        <v>#VALUE!</v>
      </c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8" t="s">
        <v>37</v>
      </c>
      <c r="W117" s="109" t="n">
        <v>1</v>
      </c>
      <c r="AA117" s="106" t="n">
        <v>116</v>
      </c>
      <c r="AB117" s="106" t="n">
        <v>1</v>
      </c>
      <c r="AC117" s="107" t="s">
        <v>49</v>
      </c>
    </row>
    <row collapsed="false" customFormat="false" customHeight="false" hidden="false" ht="25.5" outlineLevel="0" r="118">
      <c r="A118" s="24" t="n">
        <v>76</v>
      </c>
      <c r="B118" s="53" t="e">
        <f aca="false">CONCATENATE(C118;D118)</f>
        <v>#VALUE!</v>
      </c>
      <c r="C118" s="53" t="n">
        <v>82</v>
      </c>
      <c r="D118" s="53" t="s">
        <v>309</v>
      </c>
      <c r="E118" s="24" t="n">
        <v>76</v>
      </c>
      <c r="F118" s="103" t="e">
        <f aca="false">IF(VLOOKUP(D118;$V$2:$W$299;2;0)&lt;&gt;1;1;0)</f>
        <v>#VALUE!</v>
      </c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8" t="s">
        <v>106</v>
      </c>
      <c r="W118" s="109" t="n">
        <v>1</v>
      </c>
      <c r="AA118" s="106" t="n">
        <v>117</v>
      </c>
      <c r="AB118" s="106" t="n">
        <v>1</v>
      </c>
      <c r="AC118" s="107" t="s">
        <v>49</v>
      </c>
    </row>
    <row collapsed="false" customFormat="false" customHeight="false" hidden="false" ht="25.5" outlineLevel="0" r="119">
      <c r="A119" s="24" t="n">
        <v>82</v>
      </c>
      <c r="B119" s="53" t="e">
        <f aca="false">CONCATENATE(C119;D119)</f>
        <v>#VALUE!</v>
      </c>
      <c r="C119" s="53" t="n">
        <v>87</v>
      </c>
      <c r="D119" s="53" t="s">
        <v>229</v>
      </c>
      <c r="E119" s="24" t="n">
        <v>82</v>
      </c>
      <c r="F119" s="103" t="e">
        <f aca="false">IF(VLOOKUP(D119;$V$2:$W$299;2;0)&lt;&gt;1;1;0)</f>
        <v>#VALUE!</v>
      </c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8" t="s">
        <v>294</v>
      </c>
      <c r="W119" s="109" t="n">
        <v>1</v>
      </c>
      <c r="AA119" s="106" t="n">
        <v>118</v>
      </c>
      <c r="AB119" s="106" t="n">
        <v>1</v>
      </c>
      <c r="AC119" s="107" t="s">
        <v>49</v>
      </c>
    </row>
    <row collapsed="false" customFormat="false" customHeight="false" hidden="false" ht="15" outlineLevel="0" r="120">
      <c r="A120" s="24" t="n">
        <v>8</v>
      </c>
      <c r="B120" s="53" t="e">
        <f aca="false">CONCATENATE(C120;D120)</f>
        <v>#VALUE!</v>
      </c>
      <c r="C120" s="53" t="n">
        <v>8</v>
      </c>
      <c r="D120" s="53" t="s">
        <v>240</v>
      </c>
      <c r="E120" s="24" t="n">
        <v>8</v>
      </c>
      <c r="F120" s="103" t="e">
        <f aca="false">IF(VLOOKUP(D120;$V$2:$W$299;2;0)&lt;&gt;1;1;0)</f>
        <v>#VALUE!</v>
      </c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8" t="s">
        <v>92</v>
      </c>
      <c r="W120" s="109" t="n">
        <v>1</v>
      </c>
      <c r="AA120" s="106" t="n">
        <v>119</v>
      </c>
      <c r="AB120" s="106" t="n">
        <v>1</v>
      </c>
      <c r="AC120" s="107" t="s">
        <v>49</v>
      </c>
    </row>
    <row collapsed="false" customFormat="false" customHeight="false" hidden="false" ht="15" outlineLevel="0" r="121">
      <c r="A121" s="24" t="n">
        <v>149</v>
      </c>
      <c r="B121" s="53" t="e">
        <f aca="false">CONCATENATE(C121;D121)</f>
        <v>#VALUE!</v>
      </c>
      <c r="C121" s="53" t="n">
        <v>157</v>
      </c>
      <c r="D121" s="53" t="s">
        <v>35</v>
      </c>
      <c r="E121" s="24" t="n">
        <v>149</v>
      </c>
      <c r="F121" s="103" t="e">
        <f aca="false">IF(VLOOKUP(D121;$V$2:$W$299;2;0)&lt;&gt;1;1;0)</f>
        <v>#VALUE!</v>
      </c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8" t="s">
        <v>31</v>
      </c>
      <c r="W121" s="109" t="n">
        <v>1</v>
      </c>
      <c r="AA121" s="106" t="n">
        <v>120</v>
      </c>
      <c r="AB121" s="106" t="n">
        <v>1</v>
      </c>
      <c r="AC121" s="107" t="s">
        <v>49</v>
      </c>
    </row>
    <row collapsed="false" customFormat="false" customHeight="false" hidden="false" ht="25.5" outlineLevel="0" r="122">
      <c r="A122" s="24" t="n">
        <v>30</v>
      </c>
      <c r="B122" s="53" t="e">
        <f aca="false">CONCATENATE(C122;D122)</f>
        <v>#VALUE!</v>
      </c>
      <c r="C122" s="53" t="n">
        <v>30</v>
      </c>
      <c r="D122" s="53" t="s">
        <v>37</v>
      </c>
      <c r="E122" s="24" t="n">
        <v>30</v>
      </c>
      <c r="F122" s="103" t="e">
        <f aca="false">IF(VLOOKUP(D122;$V$2:$W$299;2;0)&lt;&gt;1;1;0)</f>
        <v>#VALUE!</v>
      </c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8" t="s">
        <v>126</v>
      </c>
      <c r="W122" s="109" t="n">
        <v>1</v>
      </c>
      <c r="AA122" s="106" t="n">
        <v>121</v>
      </c>
      <c r="AB122" s="106" t="n">
        <v>1</v>
      </c>
      <c r="AC122" s="107" t="s">
        <v>49</v>
      </c>
    </row>
    <row collapsed="false" customFormat="false" customHeight="false" hidden="false" ht="15" outlineLevel="0" r="123">
      <c r="A123" s="24" t="n">
        <v>269</v>
      </c>
      <c r="B123" s="53" t="e">
        <f aca="false">CONCATENATE(C123;D123)</f>
        <v>#VALUE!</v>
      </c>
      <c r="C123" s="53" t="n">
        <v>282</v>
      </c>
      <c r="D123" s="53" t="s">
        <v>106</v>
      </c>
      <c r="E123" s="24" t="n">
        <v>269</v>
      </c>
      <c r="F123" s="103" t="e">
        <f aca="false">IF(VLOOKUP(D123;$V$2:$W$299;2;0)&lt;&gt;1;1;0)</f>
        <v>#VALUE!</v>
      </c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8" t="s">
        <v>230</v>
      </c>
      <c r="W123" s="109" t="n">
        <v>1</v>
      </c>
      <c r="AA123" s="106" t="n">
        <v>122</v>
      </c>
      <c r="AB123" s="106" t="n">
        <v>1</v>
      </c>
      <c r="AC123" s="107" t="s">
        <v>49</v>
      </c>
    </row>
    <row collapsed="false" customFormat="false" customHeight="false" hidden="false" ht="25.5" outlineLevel="0" r="124">
      <c r="A124" s="24" t="n">
        <v>271</v>
      </c>
      <c r="B124" s="53" t="e">
        <f aca="false">CONCATENATE(C124;D124)</f>
        <v>#VALUE!</v>
      </c>
      <c r="C124" s="53" t="n">
        <v>284</v>
      </c>
      <c r="D124" s="53" t="s">
        <v>294</v>
      </c>
      <c r="E124" s="24" t="n">
        <v>271</v>
      </c>
      <c r="F124" s="103" t="e">
        <f aca="false">IF(VLOOKUP(D124;$V$2:$W$299;2;0)&lt;&gt;1;1;0)</f>
        <v>#VALUE!</v>
      </c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8" t="s">
        <v>127</v>
      </c>
      <c r="W124" s="109" t="n">
        <v>1</v>
      </c>
      <c r="AA124" s="106" t="n">
        <v>123</v>
      </c>
      <c r="AB124" s="106" t="n">
        <v>1</v>
      </c>
      <c r="AC124" s="107" t="s">
        <v>49</v>
      </c>
    </row>
    <row collapsed="false" customFormat="false" customHeight="false" hidden="false" ht="15" outlineLevel="0" r="125">
      <c r="A125" s="24" t="n">
        <v>265</v>
      </c>
      <c r="B125" s="53" t="e">
        <f aca="false">CONCATENATE(C125;D125)</f>
        <v>#VALUE!</v>
      </c>
      <c r="C125" s="53" t="n">
        <v>278</v>
      </c>
      <c r="D125" s="53" t="s">
        <v>92</v>
      </c>
      <c r="E125" s="24" t="n">
        <v>265</v>
      </c>
      <c r="F125" s="103" t="e">
        <f aca="false">IF(VLOOKUP(D125;$V$2:$W$299;2;0)&lt;&gt;1;1;0)</f>
        <v>#VALUE!</v>
      </c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8" t="s">
        <v>130</v>
      </c>
      <c r="W125" s="109" t="n">
        <v>1</v>
      </c>
      <c r="AA125" s="106" t="n">
        <v>124</v>
      </c>
      <c r="AB125" s="106" t="n">
        <v>1</v>
      </c>
      <c r="AC125" s="107" t="s">
        <v>49</v>
      </c>
    </row>
    <row collapsed="false" customFormat="false" customHeight="false" hidden="false" ht="25.5" outlineLevel="0" r="126">
      <c r="A126" s="24" t="n">
        <v>173</v>
      </c>
      <c r="B126" s="53" t="e">
        <f aca="false">CONCATENATE(C126;D126)</f>
        <v>#VALUE!</v>
      </c>
      <c r="C126" s="53" t="n">
        <v>181</v>
      </c>
      <c r="D126" s="53" t="s">
        <v>31</v>
      </c>
      <c r="E126" s="24" t="n">
        <v>173</v>
      </c>
      <c r="F126" s="103" t="e">
        <f aca="false">IF(VLOOKUP(D126;$V$2:$W$299;2;0)&lt;&gt;1;1;0)</f>
        <v>#VALUE!</v>
      </c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8" t="s">
        <v>160</v>
      </c>
      <c r="W126" s="109" t="n">
        <v>1</v>
      </c>
      <c r="AA126" s="106" t="n">
        <v>125</v>
      </c>
      <c r="AB126" s="106" t="n">
        <v>1</v>
      </c>
      <c r="AC126" s="107" t="s">
        <v>49</v>
      </c>
    </row>
    <row collapsed="false" customFormat="false" customHeight="false" hidden="false" ht="15" outlineLevel="0" r="127">
      <c r="A127" s="24" t="n">
        <v>305</v>
      </c>
      <c r="B127" s="53" t="e">
        <f aca="false">CONCATENATE(C127;D127)</f>
        <v>#VALUE!</v>
      </c>
      <c r="C127" s="53" t="n">
        <v>320</v>
      </c>
      <c r="D127" s="53" t="s">
        <v>126</v>
      </c>
      <c r="E127" s="24" t="n">
        <v>305</v>
      </c>
      <c r="F127" s="103" t="e">
        <f aca="false">IF(VLOOKUP(D127;$V$2:$W$299;2;0)&lt;&gt;1;1;0)</f>
        <v>#VALUE!</v>
      </c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8" t="s">
        <v>101</v>
      </c>
      <c r="W127" s="109" t="n">
        <v>1</v>
      </c>
      <c r="AA127" s="106" t="n">
        <v>126</v>
      </c>
      <c r="AB127" s="106" t="n">
        <v>1</v>
      </c>
      <c r="AC127" s="107" t="s">
        <v>49</v>
      </c>
    </row>
    <row collapsed="false" customFormat="false" customHeight="false" hidden="false" ht="15" outlineLevel="0" r="128">
      <c r="A128" s="24" t="n">
        <v>69</v>
      </c>
      <c r="B128" s="53" t="e">
        <f aca="false">CONCATENATE(C128;D128)</f>
        <v>#VALUE!</v>
      </c>
      <c r="C128" s="53" t="n">
        <v>76</v>
      </c>
      <c r="D128" s="53" t="s">
        <v>45</v>
      </c>
      <c r="E128" s="24" t="n">
        <v>69</v>
      </c>
      <c r="F128" s="103" t="e">
        <f aca="false">IF(VLOOKUP(D128;$V$2:$W$299;2;0)&lt;&gt;1;1;0)</f>
        <v>#VALUE!</v>
      </c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8" t="s">
        <v>166</v>
      </c>
      <c r="W128" s="109" t="n">
        <v>1</v>
      </c>
      <c r="AA128" s="106" t="n">
        <v>127</v>
      </c>
      <c r="AB128" s="106" t="n">
        <v>1</v>
      </c>
      <c r="AC128" s="107" t="s">
        <v>49</v>
      </c>
    </row>
    <row collapsed="false" customFormat="false" customHeight="false" hidden="false" ht="15" outlineLevel="0" r="129">
      <c r="A129" s="24" t="n">
        <v>69</v>
      </c>
      <c r="B129" s="53" t="e">
        <f aca="false">CONCATENATE(C129;D129)</f>
        <v>#VALUE!</v>
      </c>
      <c r="C129" s="53" t="n">
        <v>75</v>
      </c>
      <c r="D129" s="53" t="s">
        <v>45</v>
      </c>
      <c r="E129" s="24" t="n">
        <v>69</v>
      </c>
      <c r="F129" s="103" t="e">
        <f aca="false">IF(VLOOKUP(D129;$V$2:$W$299;2;0)&lt;&gt;1;1;0)</f>
        <v>#VALUE!</v>
      </c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8" t="s">
        <v>117</v>
      </c>
      <c r="W129" s="109" t="n">
        <v>1</v>
      </c>
      <c r="AA129" s="106" t="n">
        <v>128</v>
      </c>
      <c r="AB129" s="106" t="n">
        <v>1</v>
      </c>
      <c r="AC129" s="107" t="s">
        <v>49</v>
      </c>
    </row>
    <row collapsed="false" customFormat="false" customHeight="false" hidden="false" ht="15" outlineLevel="0" r="130">
      <c r="A130" s="24" t="n">
        <v>1</v>
      </c>
      <c r="B130" s="53" t="e">
        <f aca="false">CONCATENATE(C130;D130)</f>
        <v>#VALUE!</v>
      </c>
      <c r="C130" s="53" t="n">
        <v>1</v>
      </c>
      <c r="D130" s="53" t="s">
        <v>230</v>
      </c>
      <c r="E130" s="24" t="n">
        <v>1</v>
      </c>
      <c r="F130" s="103" t="e">
        <f aca="false">IF(VLOOKUP(D130;$V$2:$W$299;2;0)&lt;&gt;1;1;0)</f>
        <v>#VALUE!</v>
      </c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8" t="s">
        <v>231</v>
      </c>
      <c r="W130" s="109" t="n">
        <v>1</v>
      </c>
      <c r="AA130" s="106" t="n">
        <v>129</v>
      </c>
      <c r="AB130" s="106" t="n">
        <v>1</v>
      </c>
      <c r="AC130" s="107" t="s">
        <v>49</v>
      </c>
    </row>
    <row collapsed="false" customFormat="false" customHeight="false" hidden="false" ht="25.5" outlineLevel="0" r="131">
      <c r="A131" s="24" t="n">
        <v>302</v>
      </c>
      <c r="B131" s="53" t="e">
        <f aca="false">CONCATENATE(C131;D131)</f>
        <v>#VALUE!</v>
      </c>
      <c r="C131" s="53" t="n">
        <v>317</v>
      </c>
      <c r="D131" s="53" t="s">
        <v>127</v>
      </c>
      <c r="E131" s="24" t="n">
        <v>302</v>
      </c>
      <c r="F131" s="103" t="e">
        <f aca="false">IF(VLOOKUP(D131;$V$2:$W$299;2;0)&lt;&gt;1;1;0)</f>
        <v>#VALUE!</v>
      </c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8" t="s">
        <v>296</v>
      </c>
      <c r="W131" s="109" t="n">
        <v>1</v>
      </c>
      <c r="AA131" s="106" t="n">
        <v>130</v>
      </c>
      <c r="AB131" s="106" t="n">
        <v>1</v>
      </c>
      <c r="AC131" s="107" t="s">
        <v>49</v>
      </c>
    </row>
    <row collapsed="false" customFormat="false" customHeight="false" hidden="false" ht="15" outlineLevel="0" r="132">
      <c r="A132" s="24" t="n">
        <v>123</v>
      </c>
      <c r="B132" s="53" t="e">
        <f aca="false">CONCATENATE(C132;D132)</f>
        <v>#VALUE!</v>
      </c>
      <c r="C132" s="53" t="n">
        <v>128</v>
      </c>
      <c r="D132" s="53" t="s">
        <v>130</v>
      </c>
      <c r="E132" s="24" t="n">
        <v>123</v>
      </c>
      <c r="F132" s="103" t="e">
        <f aca="false">IF(VLOOKUP(D132;$V$2:$W$299;2;0)&lt;&gt;1;1;0)</f>
        <v>#VALUE!</v>
      </c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8" t="s">
        <v>77</v>
      </c>
      <c r="W132" s="109" t="n">
        <v>1</v>
      </c>
      <c r="AA132" s="106" t="n">
        <v>131</v>
      </c>
      <c r="AB132" s="106" t="n">
        <v>13</v>
      </c>
      <c r="AC132" s="107" t="s">
        <v>24</v>
      </c>
    </row>
    <row collapsed="false" customFormat="false" customHeight="false" hidden="false" ht="25.5" outlineLevel="0" r="133">
      <c r="A133" s="24" t="n">
        <v>163</v>
      </c>
      <c r="B133" s="53" t="e">
        <f aca="false">CONCATENATE(C133;D133)</f>
        <v>#VALUE!</v>
      </c>
      <c r="C133" s="53" t="n">
        <v>171</v>
      </c>
      <c r="D133" s="53" t="s">
        <v>160</v>
      </c>
      <c r="E133" s="24" t="n">
        <v>163</v>
      </c>
      <c r="F133" s="103" t="e">
        <f aca="false">IF(VLOOKUP(D133;$V$2:$W$299;2;0)&lt;&gt;1;1;0)</f>
        <v>#VALUE!</v>
      </c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8" t="s">
        <v>109</v>
      </c>
      <c r="W133" s="109" t="n">
        <v>1</v>
      </c>
      <c r="AA133" s="106" t="n">
        <v>132</v>
      </c>
      <c r="AB133" s="106" t="n">
        <v>13</v>
      </c>
      <c r="AC133" s="107" t="s">
        <v>24</v>
      </c>
    </row>
    <row collapsed="false" customFormat="false" customHeight="false" hidden="false" ht="15" outlineLevel="0" r="134">
      <c r="A134" s="24" t="n">
        <v>110</v>
      </c>
      <c r="B134" s="53" t="e">
        <f aca="false">CONCATENATE(C134;D134)</f>
        <v>#VALUE!</v>
      </c>
      <c r="C134" s="53" t="n">
        <v>115</v>
      </c>
      <c r="D134" s="53" t="s">
        <v>101</v>
      </c>
      <c r="E134" s="24" t="n">
        <v>110</v>
      </c>
      <c r="F134" s="103" t="e">
        <f aca="false">IF(VLOOKUP(D134;$V$2:$W$299;2;0)&lt;&gt;1;1;0)</f>
        <v>#VALUE!</v>
      </c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8" t="s">
        <v>158</v>
      </c>
      <c r="W134" s="109" t="n">
        <v>1</v>
      </c>
      <c r="AA134" s="106" t="n">
        <v>133</v>
      </c>
      <c r="AB134" s="106" t="n">
        <v>13</v>
      </c>
      <c r="AC134" s="107" t="s">
        <v>24</v>
      </c>
    </row>
    <row collapsed="false" customFormat="false" customHeight="false" hidden="false" ht="38.25" outlineLevel="0" r="135">
      <c r="A135" s="24" t="n">
        <v>112</v>
      </c>
      <c r="B135" s="53" t="e">
        <f aca="false">CONCATENATE(C135;D135)</f>
        <v>#VALUE!</v>
      </c>
      <c r="C135" s="53" t="n">
        <v>117</v>
      </c>
      <c r="D135" s="53" t="s">
        <v>166</v>
      </c>
      <c r="E135" s="24" t="n">
        <v>112</v>
      </c>
      <c r="F135" s="103" t="e">
        <f aca="false">IF(VLOOKUP(D135;$V$2:$W$299;2;0)&lt;&gt;1;1;0)</f>
        <v>#VALUE!</v>
      </c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8" t="s">
        <v>162</v>
      </c>
      <c r="W135" s="109" t="n">
        <v>1</v>
      </c>
      <c r="AA135" s="106" t="n">
        <v>134</v>
      </c>
      <c r="AB135" s="106" t="n">
        <v>13</v>
      </c>
      <c r="AC135" s="107" t="s">
        <v>24</v>
      </c>
    </row>
    <row collapsed="false" customFormat="false" customHeight="false" hidden="false" ht="15" outlineLevel="0" r="136">
      <c r="A136" s="24" t="n">
        <v>190</v>
      </c>
      <c r="B136" s="53" t="e">
        <f aca="false">CONCATENATE(C136;D136)</f>
        <v>#VALUE!</v>
      </c>
      <c r="C136" s="53" t="n">
        <v>198</v>
      </c>
      <c r="D136" s="53" t="s">
        <v>117</v>
      </c>
      <c r="E136" s="24" t="n">
        <v>190</v>
      </c>
      <c r="F136" s="103" t="e">
        <f aca="false">IF(VLOOKUP(D136;$V$2:$W$299;2;0)&lt;&gt;1;1;0)</f>
        <v>#VALUE!</v>
      </c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8" t="s">
        <v>253</v>
      </c>
      <c r="W136" s="109" t="n">
        <v>1</v>
      </c>
      <c r="AA136" s="106" t="n">
        <v>135</v>
      </c>
      <c r="AB136" s="106" t="n">
        <v>13</v>
      </c>
      <c r="AC136" s="107" t="s">
        <v>24</v>
      </c>
    </row>
    <row collapsed="false" customFormat="false" customHeight="false" hidden="false" ht="25.5" outlineLevel="0" r="137">
      <c r="A137" s="24" t="n">
        <v>83</v>
      </c>
      <c r="B137" s="53" t="e">
        <f aca="false">CONCATENATE(C137;D137)</f>
        <v>#VALUE!</v>
      </c>
      <c r="C137" s="53" t="n">
        <v>88</v>
      </c>
      <c r="D137" s="53" t="s">
        <v>231</v>
      </c>
      <c r="E137" s="24" t="n">
        <v>83</v>
      </c>
      <c r="F137" s="103" t="e">
        <f aca="false">IF(VLOOKUP(D137;$V$2:$W$299;2;0)&lt;&gt;1;1;0)</f>
        <v>#VALUE!</v>
      </c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8" t="s">
        <v>114</v>
      </c>
      <c r="W137" s="109" t="n">
        <v>1</v>
      </c>
      <c r="AA137" s="106" t="n">
        <v>136</v>
      </c>
      <c r="AB137" s="106" t="n">
        <v>13</v>
      </c>
      <c r="AC137" s="107" t="s">
        <v>24</v>
      </c>
    </row>
    <row collapsed="false" customFormat="false" customHeight="false" hidden="false" ht="25.5" outlineLevel="0" r="138">
      <c r="A138" s="24" t="n">
        <v>133</v>
      </c>
      <c r="B138" s="53" t="e">
        <f aca="false">CONCATENATE(C138;D138)</f>
        <v>#VALUE!</v>
      </c>
      <c r="C138" s="53" t="n">
        <v>140</v>
      </c>
      <c r="D138" s="53" t="s">
        <v>296</v>
      </c>
      <c r="E138" s="24" t="n">
        <v>133</v>
      </c>
      <c r="F138" s="103" t="e">
        <f aca="false">IF(VLOOKUP(D138;$V$2:$W$299;2;0)&lt;&gt;1;1;0)</f>
        <v>#VALUE!</v>
      </c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8" t="s">
        <v>145</v>
      </c>
      <c r="W138" s="109" t="n">
        <v>1</v>
      </c>
      <c r="AA138" s="106" t="n">
        <v>137</v>
      </c>
      <c r="AB138" s="106" t="n">
        <v>13</v>
      </c>
      <c r="AC138" s="107" t="s">
        <v>24</v>
      </c>
    </row>
    <row collapsed="false" customFormat="false" customHeight="false" hidden="false" ht="15" outlineLevel="0" r="139">
      <c r="A139" s="24" t="n">
        <v>202</v>
      </c>
      <c r="B139" s="53" t="e">
        <f aca="false">CONCATENATE(C139;D139)</f>
        <v>#VALUE!</v>
      </c>
      <c r="C139" s="53" t="n">
        <v>212</v>
      </c>
      <c r="D139" s="53" t="s">
        <v>77</v>
      </c>
      <c r="E139" s="24" t="n">
        <v>202</v>
      </c>
      <c r="F139" s="103" t="e">
        <f aca="false">IF(VLOOKUP(D139;$V$2:$W$299;2;0)&lt;&gt;1;1;0)</f>
        <v>#VALUE!</v>
      </c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8" t="s">
        <v>80</v>
      </c>
      <c r="W139" s="109" t="n">
        <v>1</v>
      </c>
      <c r="AA139" s="106" t="n">
        <v>138</v>
      </c>
      <c r="AB139" s="106" t="n">
        <v>13</v>
      </c>
      <c r="AC139" s="107" t="s">
        <v>24</v>
      </c>
    </row>
    <row collapsed="false" customFormat="false" customHeight="false" hidden="false" ht="25.5" outlineLevel="0" r="140">
      <c r="A140" s="24" t="n">
        <v>192</v>
      </c>
      <c r="B140" s="53" t="e">
        <f aca="false">CONCATENATE(C140;D140)</f>
        <v>#VALUE!</v>
      </c>
      <c r="C140" s="53" t="n">
        <v>200</v>
      </c>
      <c r="D140" s="53" t="s">
        <v>109</v>
      </c>
      <c r="E140" s="24" t="n">
        <v>192</v>
      </c>
      <c r="F140" s="103" t="e">
        <f aca="false">IF(VLOOKUP(D140;$V$2:$W$299;2;0)&lt;&gt;1;1;0)</f>
        <v>#VALUE!</v>
      </c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8" t="s">
        <v>227</v>
      </c>
      <c r="W140" s="109" t="n">
        <v>1</v>
      </c>
      <c r="AA140" s="106" t="n">
        <v>139</v>
      </c>
      <c r="AB140" s="106" t="n">
        <v>13</v>
      </c>
      <c r="AC140" s="107" t="s">
        <v>24</v>
      </c>
    </row>
    <row collapsed="false" customFormat="false" customHeight="false" hidden="false" ht="15" outlineLevel="0" r="141">
      <c r="A141" s="24" t="n">
        <v>289</v>
      </c>
      <c r="B141" s="53" t="e">
        <f aca="false">CONCATENATE(C141;D141)</f>
        <v>#VALUE!</v>
      </c>
      <c r="C141" s="53" t="n">
        <v>301</v>
      </c>
      <c r="D141" s="53" t="s">
        <v>158</v>
      </c>
      <c r="E141" s="24" t="n">
        <v>289</v>
      </c>
      <c r="F141" s="103" t="e">
        <f aca="false">IF(VLOOKUP(D141;$V$2:$W$299;2;0)&lt;&gt;1;1;0)</f>
        <v>#VALUE!</v>
      </c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8" t="s">
        <v>98</v>
      </c>
      <c r="W141" s="109" t="n">
        <v>1</v>
      </c>
      <c r="AA141" s="106" t="n">
        <v>140</v>
      </c>
      <c r="AB141" s="106" t="n">
        <v>13</v>
      </c>
      <c r="AC141" s="107" t="s">
        <v>24</v>
      </c>
    </row>
    <row collapsed="false" customFormat="false" customHeight="false" hidden="false" ht="15" outlineLevel="0" r="142">
      <c r="A142" s="24" t="n">
        <v>143</v>
      </c>
      <c r="B142" s="53" t="e">
        <f aca="false">CONCATENATE(C142;D142)</f>
        <v>#VALUE!</v>
      </c>
      <c r="C142" s="53" t="n">
        <v>151</v>
      </c>
      <c r="D142" s="53" t="s">
        <v>162</v>
      </c>
      <c r="E142" s="24" t="n">
        <v>143</v>
      </c>
      <c r="F142" s="103" t="e">
        <f aca="false">IF(VLOOKUP(D142;$V$2:$W$299;2;0)&lt;&gt;1;1;0)</f>
        <v>#VALUE!</v>
      </c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8" t="s">
        <v>27</v>
      </c>
      <c r="W142" s="109" t="n">
        <v>1</v>
      </c>
      <c r="AA142" s="106" t="n">
        <v>141</v>
      </c>
      <c r="AB142" s="106" t="n">
        <v>13</v>
      </c>
      <c r="AC142" s="107" t="s">
        <v>24</v>
      </c>
    </row>
    <row collapsed="false" customFormat="false" customHeight="false" hidden="false" ht="15" outlineLevel="0" r="143">
      <c r="A143" s="24" t="n">
        <v>62</v>
      </c>
      <c r="B143" s="53" t="e">
        <f aca="false">CONCATENATE(C143;D143)</f>
        <v>#VALUE!</v>
      </c>
      <c r="C143" s="53" t="n">
        <v>64</v>
      </c>
      <c r="D143" s="53" t="s">
        <v>253</v>
      </c>
      <c r="E143" s="24" t="n">
        <v>62</v>
      </c>
      <c r="F143" s="103" t="e">
        <f aca="false">IF(VLOOKUP(D143;$V$2:$W$299;2;0)&lt;&gt;1;1;0)</f>
        <v>#VALUE!</v>
      </c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8" t="s">
        <v>59</v>
      </c>
      <c r="W143" s="109" t="n">
        <v>1</v>
      </c>
      <c r="AA143" s="106" t="n">
        <v>142</v>
      </c>
      <c r="AB143" s="106" t="n">
        <v>13</v>
      </c>
      <c r="AC143" s="107" t="s">
        <v>24</v>
      </c>
    </row>
    <row collapsed="false" customFormat="false" customHeight="false" hidden="false" ht="15" outlineLevel="0" r="144">
      <c r="A144" s="24" t="n">
        <v>225</v>
      </c>
      <c r="B144" s="53" t="e">
        <f aca="false">CONCATENATE(C144;D144)</f>
        <v>#VALUE!</v>
      </c>
      <c r="C144" s="53" t="n">
        <v>234</v>
      </c>
      <c r="D144" s="53" t="s">
        <v>114</v>
      </c>
      <c r="E144" s="24" t="n">
        <v>225</v>
      </c>
      <c r="F144" s="103" t="e">
        <f aca="false">IF(VLOOKUP(D144;$V$2:$W$299;2;0)&lt;&gt;1;1;0)</f>
        <v>#VALUE!</v>
      </c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8" t="s">
        <v>70</v>
      </c>
      <c r="W144" s="109" t="n">
        <v>1</v>
      </c>
      <c r="AA144" s="106" t="n">
        <v>143</v>
      </c>
      <c r="AB144" s="106" t="n">
        <v>13</v>
      </c>
      <c r="AC144" s="107" t="s">
        <v>24</v>
      </c>
    </row>
    <row collapsed="false" customFormat="false" customHeight="false" hidden="false" ht="25.5" outlineLevel="0" r="145">
      <c r="A145" s="24" t="n">
        <v>266</v>
      </c>
      <c r="B145" s="53" t="e">
        <f aca="false">CONCATENATE(C145;D145)</f>
        <v>#VALUE!</v>
      </c>
      <c r="C145" s="53" t="n">
        <v>279</v>
      </c>
      <c r="D145" s="53" t="s">
        <v>145</v>
      </c>
      <c r="E145" s="24" t="n">
        <v>266</v>
      </c>
      <c r="F145" s="103" t="e">
        <f aca="false">IF(VLOOKUP(D145;$V$2:$W$299;2;0)&lt;&gt;1;1;0)</f>
        <v>#VALUE!</v>
      </c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8" t="s">
        <v>108</v>
      </c>
      <c r="W145" s="109" t="n">
        <v>1</v>
      </c>
      <c r="AA145" s="106" t="n">
        <v>144</v>
      </c>
      <c r="AB145" s="106" t="n">
        <v>13</v>
      </c>
      <c r="AC145" s="107" t="s">
        <v>24</v>
      </c>
    </row>
    <row collapsed="false" customFormat="false" customHeight="false" hidden="false" ht="15" outlineLevel="0" r="146">
      <c r="A146" s="24" t="n">
        <v>157</v>
      </c>
      <c r="B146" s="53" t="e">
        <f aca="false">CONCATENATE(C146;D146)</f>
        <v>#VALUE!</v>
      </c>
      <c r="C146" s="53" t="n">
        <v>165</v>
      </c>
      <c r="D146" s="53" t="s">
        <v>80</v>
      </c>
      <c r="E146" s="24" t="n">
        <v>157</v>
      </c>
      <c r="F146" s="103" t="e">
        <f aca="false">IF(VLOOKUP(D146;$V$2:$W$299;2;0)&lt;&gt;1;1;0)</f>
        <v>#VALUE!</v>
      </c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8" t="s">
        <v>90</v>
      </c>
      <c r="W146" s="109" t="n">
        <v>1</v>
      </c>
      <c r="AA146" s="106" t="n">
        <v>145</v>
      </c>
      <c r="AB146" s="106" t="n">
        <v>13</v>
      </c>
      <c r="AC146" s="107" t="s">
        <v>24</v>
      </c>
    </row>
    <row collapsed="false" customFormat="false" customHeight="false" hidden="false" ht="25.5" outlineLevel="0" r="147">
      <c r="A147" s="24" t="n">
        <v>194</v>
      </c>
      <c r="B147" s="53" t="e">
        <f aca="false">CONCATENATE(C147;D147)</f>
        <v>#VALUE!</v>
      </c>
      <c r="C147" s="53" t="n">
        <v>202</v>
      </c>
      <c r="D147" s="53" t="s">
        <v>227</v>
      </c>
      <c r="E147" s="24" t="n">
        <v>194</v>
      </c>
      <c r="F147" s="103" t="e">
        <f aca="false">IF(VLOOKUP(D147;$V$2:$W$299;2;0)&lt;&gt;1;1;0)</f>
        <v>#VALUE!</v>
      </c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8" t="s">
        <v>84</v>
      </c>
      <c r="W147" s="109" t="n">
        <v>1</v>
      </c>
      <c r="AA147" s="106" t="n">
        <v>146</v>
      </c>
      <c r="AB147" s="106" t="n">
        <v>13</v>
      </c>
      <c r="AC147" s="107" t="s">
        <v>24</v>
      </c>
    </row>
    <row collapsed="false" customFormat="false" customHeight="false" hidden="false" ht="25.5" outlineLevel="0" r="148">
      <c r="A148" s="24" t="n">
        <v>65</v>
      </c>
      <c r="B148" s="53" t="e">
        <f aca="false">CONCATENATE(C148;D148)</f>
        <v>#VALUE!</v>
      </c>
      <c r="C148" s="53" t="n">
        <v>67</v>
      </c>
      <c r="D148" s="53" t="s">
        <v>98</v>
      </c>
      <c r="E148" s="24" t="n">
        <v>65</v>
      </c>
      <c r="F148" s="103" t="e">
        <f aca="false">IF(VLOOKUP(D148;$V$2:$W$299;2;0)&lt;&gt;1;1;0)</f>
        <v>#VALUE!</v>
      </c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8" t="s">
        <v>174</v>
      </c>
      <c r="W148" s="109" t="n">
        <v>1</v>
      </c>
      <c r="AA148" s="106" t="n">
        <v>147</v>
      </c>
      <c r="AB148" s="106" t="n">
        <v>13</v>
      </c>
      <c r="AC148" s="107" t="s">
        <v>24</v>
      </c>
    </row>
    <row collapsed="false" customFormat="false" customHeight="false" hidden="false" ht="15" outlineLevel="0" r="149">
      <c r="A149" s="24" t="n">
        <v>216</v>
      </c>
      <c r="B149" s="53" t="e">
        <f aca="false">CONCATENATE(C149;D149)</f>
        <v>#VALUE!</v>
      </c>
      <c r="C149" s="53" t="n">
        <v>226</v>
      </c>
      <c r="D149" s="111" t="s">
        <v>298</v>
      </c>
      <c r="E149" s="24" t="n">
        <v>216</v>
      </c>
      <c r="F149" s="103" t="e">
        <f aca="false">IF(VLOOKUP(D149;$V$2:$W$299;2;0)&lt;&gt;1;1;0)</f>
        <v>#VALUE!</v>
      </c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8" t="s">
        <v>66</v>
      </c>
      <c r="W149" s="109" t="n">
        <v>1</v>
      </c>
      <c r="AA149" s="106" t="n">
        <v>148</v>
      </c>
      <c r="AB149" s="106" t="n">
        <v>13</v>
      </c>
      <c r="AC149" s="107" t="s">
        <v>24</v>
      </c>
    </row>
    <row collapsed="false" customFormat="false" customHeight="false" hidden="false" ht="15" outlineLevel="0" r="150">
      <c r="A150" s="24" t="n">
        <v>216</v>
      </c>
      <c r="B150" s="53" t="e">
        <f aca="false">CONCATENATE(C150;D150)</f>
        <v>#VALUE!</v>
      </c>
      <c r="C150" s="53" t="n">
        <v>225</v>
      </c>
      <c r="D150" s="111" t="s">
        <v>298</v>
      </c>
      <c r="E150" s="24" t="n">
        <v>216</v>
      </c>
      <c r="F150" s="103" t="e">
        <f aca="false">IF(VLOOKUP(D150;$V$2:$W$299;2;0)&lt;&gt;1;1;0)</f>
        <v>#VALUE!</v>
      </c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8" t="s">
        <v>138</v>
      </c>
      <c r="W150" s="109" t="n">
        <v>1</v>
      </c>
      <c r="AA150" s="106" t="n">
        <v>149</v>
      </c>
      <c r="AB150" s="106" t="n">
        <v>13</v>
      </c>
      <c r="AC150" s="107" t="s">
        <v>24</v>
      </c>
    </row>
    <row collapsed="false" customFormat="false" customHeight="false" hidden="false" ht="15" outlineLevel="0" r="151">
      <c r="A151" s="24" t="n">
        <v>56</v>
      </c>
      <c r="B151" s="53" t="e">
        <f aca="false">CONCATENATE(C151;D151)</f>
        <v>#VALUE!</v>
      </c>
      <c r="C151" s="53" t="n">
        <v>58</v>
      </c>
      <c r="D151" s="53" t="s">
        <v>27</v>
      </c>
      <c r="E151" s="24" t="n">
        <v>56</v>
      </c>
      <c r="F151" s="103" t="e">
        <f aca="false">IF(VLOOKUP(D151;$V$2:$W$299;2;0)&lt;&gt;1;1;0)</f>
        <v>#VALUE!</v>
      </c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8" t="s">
        <v>167</v>
      </c>
      <c r="W151" s="109" t="n">
        <v>1</v>
      </c>
      <c r="AA151" s="106" t="n">
        <v>150</v>
      </c>
      <c r="AB151" s="106" t="n">
        <v>13</v>
      </c>
      <c r="AC151" s="107" t="s">
        <v>24</v>
      </c>
    </row>
    <row collapsed="false" customFormat="false" customHeight="false" hidden="false" ht="15" outlineLevel="0" r="152">
      <c r="A152" s="24" t="n">
        <v>150</v>
      </c>
      <c r="B152" s="53" t="e">
        <f aca="false">CONCATENATE(C152;D152)</f>
        <v>#VALUE!</v>
      </c>
      <c r="C152" s="53" t="n">
        <v>158</v>
      </c>
      <c r="D152" s="53" t="s">
        <v>59</v>
      </c>
      <c r="E152" s="24" t="n">
        <v>150</v>
      </c>
      <c r="F152" s="103" t="e">
        <f aca="false">IF(VLOOKUP(D152;$V$2:$W$299;2;0)&lt;&gt;1;1;0)</f>
        <v>#VALUE!</v>
      </c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8" t="s">
        <v>55</v>
      </c>
      <c r="W152" s="109" t="n">
        <v>1</v>
      </c>
      <c r="AA152" s="106" t="n">
        <v>151</v>
      </c>
      <c r="AB152" s="106" t="n">
        <v>13</v>
      </c>
      <c r="AC152" s="107" t="s">
        <v>24</v>
      </c>
    </row>
    <row collapsed="false" customFormat="false" customHeight="false" hidden="false" ht="15" outlineLevel="0" r="153">
      <c r="A153" s="24" t="n">
        <v>243</v>
      </c>
      <c r="B153" s="53" t="e">
        <f aca="false">CONCATENATE(C153;D153)</f>
        <v>#VALUE!</v>
      </c>
      <c r="C153" s="53" t="n">
        <v>254</v>
      </c>
      <c r="D153" s="53" t="s">
        <v>70</v>
      </c>
      <c r="E153" s="24" t="n">
        <v>243</v>
      </c>
      <c r="F153" s="103" t="e">
        <f aca="false">IF(VLOOKUP(D153;$V$2:$W$299;2;0)&lt;&gt;1;1;0)</f>
        <v>#VALUE!</v>
      </c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8" t="s">
        <v>73</v>
      </c>
      <c r="W153" s="109" t="n">
        <v>1</v>
      </c>
      <c r="AA153" s="106" t="n">
        <v>152</v>
      </c>
      <c r="AB153" s="106" t="n">
        <v>13</v>
      </c>
      <c r="AC153" s="107" t="s">
        <v>24</v>
      </c>
    </row>
    <row collapsed="false" customFormat="false" customHeight="false" hidden="false" ht="25.5" outlineLevel="0" r="154">
      <c r="A154" s="24" t="n">
        <v>220</v>
      </c>
      <c r="B154" s="53" t="e">
        <f aca="false">CONCATENATE(C154;D154)</f>
        <v>#VALUE!</v>
      </c>
      <c r="C154" s="53" t="n">
        <v>229</v>
      </c>
      <c r="D154" s="53" t="s">
        <v>108</v>
      </c>
      <c r="E154" s="24" t="n">
        <v>220</v>
      </c>
      <c r="F154" s="103" t="e">
        <f aca="false">IF(VLOOKUP(D154;$V$2:$W$299;2;0)&lt;&gt;1;1;0)</f>
        <v>#VALUE!</v>
      </c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8" t="s">
        <v>249</v>
      </c>
      <c r="W154" s="109" t="n">
        <v>1</v>
      </c>
      <c r="AA154" s="106" t="n">
        <v>153</v>
      </c>
      <c r="AB154" s="106" t="n">
        <v>13</v>
      </c>
      <c r="AC154" s="107" t="s">
        <v>24</v>
      </c>
    </row>
    <row collapsed="false" customFormat="false" customHeight="false" hidden="false" ht="15" outlineLevel="0" r="155">
      <c r="A155" s="24" t="n">
        <v>3</v>
      </c>
      <c r="B155" s="53" t="e">
        <f aca="false">CONCATENATE(C155;D155)</f>
        <v>#VALUE!</v>
      </c>
      <c r="C155" s="53" t="n">
        <v>3</v>
      </c>
      <c r="D155" s="53" t="s">
        <v>90</v>
      </c>
      <c r="E155" s="24" t="n">
        <v>3</v>
      </c>
      <c r="F155" s="103" t="e">
        <f aca="false">IF(VLOOKUP(D155;$V$2:$W$299;2;0)&lt;&gt;1;1;0)</f>
        <v>#VALUE!</v>
      </c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8" t="s">
        <v>116</v>
      </c>
      <c r="W155" s="109" t="n">
        <v>1</v>
      </c>
      <c r="AA155" s="106" t="n">
        <v>154</v>
      </c>
      <c r="AB155" s="106" t="n">
        <v>13</v>
      </c>
      <c r="AC155" s="107" t="s">
        <v>24</v>
      </c>
    </row>
    <row collapsed="false" customFormat="false" customHeight="false" hidden="false" ht="15" outlineLevel="0" r="156">
      <c r="A156" s="24" t="n">
        <v>158</v>
      </c>
      <c r="B156" s="53" t="e">
        <f aca="false">CONCATENATE(C156;D156)</f>
        <v>#VALUE!</v>
      </c>
      <c r="C156" s="53" t="n">
        <v>166</v>
      </c>
      <c r="D156" s="53" t="s">
        <v>84</v>
      </c>
      <c r="E156" s="24" t="n">
        <v>158</v>
      </c>
      <c r="F156" s="103" t="e">
        <f aca="false">IF(VLOOKUP(D156;$V$2:$W$299;2;0)&lt;&gt;1;1;0)</f>
        <v>#VALUE!</v>
      </c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8" t="s">
        <v>257</v>
      </c>
      <c r="W156" s="109" t="n">
        <v>1</v>
      </c>
      <c r="AA156" s="106" t="n">
        <v>155</v>
      </c>
      <c r="AB156" s="106" t="n">
        <v>13</v>
      </c>
      <c r="AC156" s="107" t="s">
        <v>24</v>
      </c>
    </row>
    <row collapsed="false" customFormat="false" customHeight="false" hidden="false" ht="25.5" outlineLevel="0" r="157">
      <c r="A157" s="24" t="n">
        <v>139</v>
      </c>
      <c r="B157" s="53" t="e">
        <f aca="false">CONCATENATE(C157;D157)</f>
        <v>#VALUE!</v>
      </c>
      <c r="C157" s="53" t="n">
        <v>149</v>
      </c>
      <c r="D157" s="53" t="s">
        <v>51</v>
      </c>
      <c r="E157" s="24" t="n">
        <v>139</v>
      </c>
      <c r="F157" s="103" t="e">
        <f aca="false">IF(VLOOKUP(D157;$V$2:$W$299;2;0)&lt;&gt;1;1;0)</f>
        <v>#VALUE!</v>
      </c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8" t="s">
        <v>188</v>
      </c>
      <c r="W157" s="109" t="n">
        <v>1</v>
      </c>
      <c r="AA157" s="106" t="n">
        <v>156</v>
      </c>
      <c r="AB157" s="106" t="n">
        <v>3</v>
      </c>
      <c r="AC157" s="107" t="s">
        <v>36</v>
      </c>
    </row>
    <row collapsed="false" customFormat="false" customHeight="false" hidden="false" ht="25.5" outlineLevel="0" r="158">
      <c r="A158" s="24" t="n">
        <v>139</v>
      </c>
      <c r="B158" s="53" t="e">
        <f aca="false">CONCATENATE(C158;D158)</f>
        <v>#VALUE!</v>
      </c>
      <c r="C158" s="53" t="n">
        <v>148</v>
      </c>
      <c r="D158" s="53" t="s">
        <v>51</v>
      </c>
      <c r="E158" s="24" t="n">
        <v>139</v>
      </c>
      <c r="F158" s="103" t="e">
        <f aca="false">IF(VLOOKUP(D158;$V$2:$W$299;2;0)&lt;&gt;1;1;0)</f>
        <v>#VALUE!</v>
      </c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8" t="s">
        <v>224</v>
      </c>
      <c r="W158" s="109" t="n">
        <v>1</v>
      </c>
      <c r="AA158" s="106" t="n">
        <v>157</v>
      </c>
      <c r="AB158" s="106" t="n">
        <v>3</v>
      </c>
      <c r="AC158" s="107" t="s">
        <v>36</v>
      </c>
    </row>
    <row collapsed="false" customFormat="false" customHeight="false" hidden="false" ht="25.5" outlineLevel="0" r="159">
      <c r="A159" s="24" t="n">
        <v>139</v>
      </c>
      <c r="B159" s="53" t="e">
        <f aca="false">CONCATENATE(C159;D159)</f>
        <v>#VALUE!</v>
      </c>
      <c r="C159" s="53" t="n">
        <v>147</v>
      </c>
      <c r="D159" s="53" t="s">
        <v>51</v>
      </c>
      <c r="E159" s="24" t="n">
        <v>139</v>
      </c>
      <c r="F159" s="103" t="e">
        <f aca="false">IF(VLOOKUP(D159;$V$2:$W$299;2;0)&lt;&gt;1;1;0)</f>
        <v>#VALUE!</v>
      </c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8" t="s">
        <v>151</v>
      </c>
      <c r="W159" s="109" t="n">
        <v>1</v>
      </c>
      <c r="AA159" s="106" t="n">
        <v>158</v>
      </c>
      <c r="AB159" s="106" t="n">
        <v>3</v>
      </c>
      <c r="AC159" s="107" t="s">
        <v>36</v>
      </c>
    </row>
    <row collapsed="false" customFormat="false" customHeight="false" hidden="false" ht="15" outlineLevel="0" r="160">
      <c r="A160" s="24" t="n">
        <v>261</v>
      </c>
      <c r="B160" s="53" t="e">
        <f aca="false">CONCATENATE(C160;D160)</f>
        <v>#VALUE!</v>
      </c>
      <c r="C160" s="53" t="n">
        <v>275</v>
      </c>
      <c r="D160" s="53" t="s">
        <v>72</v>
      </c>
      <c r="E160" s="24" t="n">
        <v>261</v>
      </c>
      <c r="F160" s="103" t="e">
        <f aca="false">IF(VLOOKUP(D160;$V$2:$W$299;2;0)&lt;&gt;1;1;0)</f>
        <v>#VALUE!</v>
      </c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8" t="s">
        <v>132</v>
      </c>
      <c r="W160" s="109" t="n">
        <v>1</v>
      </c>
      <c r="AA160" s="106" t="n">
        <v>159</v>
      </c>
      <c r="AB160" s="106" t="n">
        <v>3</v>
      </c>
      <c r="AC160" s="107" t="s">
        <v>36</v>
      </c>
    </row>
    <row collapsed="false" customFormat="false" customHeight="false" hidden="false" ht="15" outlineLevel="0" r="161">
      <c r="A161" s="24" t="n">
        <v>261</v>
      </c>
      <c r="B161" s="53" t="e">
        <f aca="false">CONCATENATE(C161;D161)</f>
        <v>#VALUE!</v>
      </c>
      <c r="C161" s="53" t="n">
        <v>274</v>
      </c>
      <c r="D161" s="53" t="s">
        <v>72</v>
      </c>
      <c r="E161" s="24" t="n">
        <v>261</v>
      </c>
      <c r="F161" s="103" t="e">
        <f aca="false">IF(VLOOKUP(D161;$V$2:$W$299;2;0)&lt;&gt;1;1;0)</f>
        <v>#VALUE!</v>
      </c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8" t="s">
        <v>266</v>
      </c>
      <c r="W161" s="109" t="n">
        <v>1</v>
      </c>
      <c r="AA161" s="106" t="n">
        <v>160</v>
      </c>
      <c r="AB161" s="106" t="n">
        <v>3</v>
      </c>
      <c r="AC161" s="107" t="s">
        <v>36</v>
      </c>
    </row>
    <row collapsed="false" customFormat="false" customHeight="false" hidden="false" ht="15" outlineLevel="0" r="162">
      <c r="A162" s="24" t="n">
        <v>72</v>
      </c>
      <c r="B162" s="53" t="e">
        <f aca="false">CONCATENATE(C162;D162)</f>
        <v>#VALUE!</v>
      </c>
      <c r="C162" s="53" t="n">
        <v>78</v>
      </c>
      <c r="D162" s="53" t="s">
        <v>174</v>
      </c>
      <c r="E162" s="24" t="n">
        <v>72</v>
      </c>
      <c r="F162" s="103" t="e">
        <f aca="false">IF(VLOOKUP(D162;$V$2:$W$299;2;0)&lt;&gt;1;1;0)</f>
        <v>#VALUE!</v>
      </c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8" t="s">
        <v>299</v>
      </c>
      <c r="W162" s="109" t="n">
        <v>1</v>
      </c>
      <c r="AA162" s="106" t="n">
        <v>161</v>
      </c>
      <c r="AB162" s="106" t="n">
        <v>3</v>
      </c>
      <c r="AC162" s="107" t="s">
        <v>36</v>
      </c>
    </row>
    <row collapsed="false" customFormat="false" customHeight="false" hidden="false" ht="15" outlineLevel="0" r="163">
      <c r="A163" s="24" t="n">
        <v>288</v>
      </c>
      <c r="B163" s="53" t="e">
        <f aca="false">CONCATENATE(C163;D163)</f>
        <v>#VALUE!</v>
      </c>
      <c r="C163" s="53" t="n">
        <v>300</v>
      </c>
      <c r="D163" s="53" t="s">
        <v>66</v>
      </c>
      <c r="E163" s="24" t="n">
        <v>288</v>
      </c>
      <c r="F163" s="103" t="e">
        <f aca="false">IF(VLOOKUP(D163;$V$2:$W$299;2;0)&lt;&gt;1;1;0)</f>
        <v>#VALUE!</v>
      </c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8" t="s">
        <v>115</v>
      </c>
      <c r="W163" s="109" t="n">
        <v>1</v>
      </c>
      <c r="AA163" s="106" t="n">
        <v>162</v>
      </c>
      <c r="AB163" s="106" t="n">
        <v>3</v>
      </c>
      <c r="AC163" s="107" t="s">
        <v>36</v>
      </c>
    </row>
    <row collapsed="false" customFormat="false" customHeight="false" hidden="false" ht="25.5" outlineLevel="0" r="164">
      <c r="A164" s="24" t="n">
        <v>166</v>
      </c>
      <c r="B164" s="53" t="e">
        <f aca="false">CONCATENATE(C164;D164)</f>
        <v>#VALUE!</v>
      </c>
      <c r="C164" s="53" t="n">
        <v>174</v>
      </c>
      <c r="D164" s="53" t="s">
        <v>138</v>
      </c>
      <c r="E164" s="24" t="n">
        <v>166</v>
      </c>
      <c r="F164" s="103" t="e">
        <f aca="false">IF(VLOOKUP(D164;$V$2:$W$299;2;0)&lt;&gt;1;1;0)</f>
        <v>#VALUE!</v>
      </c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8" t="s">
        <v>144</v>
      </c>
      <c r="W164" s="109" t="n">
        <v>1</v>
      </c>
      <c r="AA164" s="106" t="n">
        <v>163</v>
      </c>
      <c r="AB164" s="106" t="n">
        <v>3</v>
      </c>
      <c r="AC164" s="107" t="s">
        <v>36</v>
      </c>
    </row>
    <row collapsed="false" customFormat="false" customHeight="false" hidden="false" ht="25.5" outlineLevel="0" r="165">
      <c r="A165" s="24" t="n">
        <v>118</v>
      </c>
      <c r="B165" s="53" t="e">
        <f aca="false">CONCATENATE(C165;D165)</f>
        <v>#VALUE!</v>
      </c>
      <c r="C165" s="53" t="n">
        <v>123</v>
      </c>
      <c r="D165" s="53" t="s">
        <v>167</v>
      </c>
      <c r="E165" s="24" t="n">
        <v>118</v>
      </c>
      <c r="F165" s="103" t="e">
        <f aca="false">IF(VLOOKUP(D165;$V$2:$W$299;2;0)&lt;&gt;1;1;0)</f>
        <v>#VALUE!</v>
      </c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8" t="s">
        <v>118</v>
      </c>
      <c r="W165" s="109" t="n">
        <v>1</v>
      </c>
      <c r="AA165" s="106" t="n">
        <v>164</v>
      </c>
      <c r="AB165" s="106" t="n">
        <v>3</v>
      </c>
      <c r="AC165" s="107" t="s">
        <v>36</v>
      </c>
    </row>
    <row collapsed="false" customFormat="false" customHeight="false" hidden="false" ht="15" outlineLevel="0" r="166">
      <c r="A166" s="24" t="n">
        <v>199</v>
      </c>
      <c r="B166" s="53" t="e">
        <f aca="false">CONCATENATE(C166;D166)</f>
        <v>#VALUE!</v>
      </c>
      <c r="C166" s="53" t="n">
        <v>208</v>
      </c>
      <c r="D166" s="53" t="s">
        <v>25</v>
      </c>
      <c r="E166" s="24" t="n">
        <v>199</v>
      </c>
      <c r="F166" s="103" t="e">
        <f aca="false">IF(VLOOKUP(D166;$V$2:$W$299;2;0)&lt;&gt;1;1;0)</f>
        <v>#VALUE!</v>
      </c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8" t="s">
        <v>69</v>
      </c>
      <c r="W166" s="109" t="n">
        <v>1</v>
      </c>
      <c r="AA166" s="106" t="n">
        <v>165</v>
      </c>
      <c r="AB166" s="106" t="n">
        <v>3</v>
      </c>
      <c r="AC166" s="107" t="s">
        <v>36</v>
      </c>
    </row>
    <row collapsed="false" customFormat="false" customHeight="false" hidden="false" ht="15" outlineLevel="0" r="167">
      <c r="A167" s="24" t="n">
        <v>199</v>
      </c>
      <c r="B167" s="53" t="e">
        <f aca="false">CONCATENATE(C167;D167)</f>
        <v>#VALUE!</v>
      </c>
      <c r="C167" s="53" t="n">
        <v>207</v>
      </c>
      <c r="D167" s="53" t="s">
        <v>25</v>
      </c>
      <c r="E167" s="24" t="n">
        <v>199</v>
      </c>
      <c r="F167" s="103" t="e">
        <f aca="false">IF(VLOOKUP(D167;$V$2:$W$299;2;0)&lt;&gt;1;1;0)</f>
        <v>#VALUE!</v>
      </c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8" t="s">
        <v>209</v>
      </c>
      <c r="W167" s="109" t="n">
        <v>1</v>
      </c>
      <c r="AA167" s="106" t="n">
        <v>166</v>
      </c>
      <c r="AB167" s="106" t="n">
        <v>3</v>
      </c>
      <c r="AC167" s="107" t="s">
        <v>36</v>
      </c>
    </row>
    <row collapsed="false" customFormat="false" customHeight="false" hidden="false" ht="15" outlineLevel="0" r="168">
      <c r="A168" s="24" t="n">
        <v>164</v>
      </c>
      <c r="B168" s="53" t="e">
        <f aca="false">CONCATENATE(C168;D168)</f>
        <v>#VALUE!</v>
      </c>
      <c r="C168" s="53" t="n">
        <v>172</v>
      </c>
      <c r="D168" s="53" t="s">
        <v>73</v>
      </c>
      <c r="E168" s="24" t="n">
        <v>164</v>
      </c>
      <c r="F168" s="103" t="e">
        <f aca="false">IF(VLOOKUP(D168;$V$2:$W$299;2;0)&lt;&gt;1;1;0)</f>
        <v>#VALUE!</v>
      </c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8" t="s">
        <v>228</v>
      </c>
      <c r="W168" s="109" t="n">
        <v>1</v>
      </c>
      <c r="AA168" s="106" t="n">
        <v>167</v>
      </c>
      <c r="AB168" s="106" t="n">
        <v>3</v>
      </c>
      <c r="AC168" s="107" t="s">
        <v>36</v>
      </c>
    </row>
    <row collapsed="false" customFormat="false" customHeight="false" hidden="false" ht="15" outlineLevel="0" r="169">
      <c r="A169" s="24" t="n">
        <v>34</v>
      </c>
      <c r="B169" s="53" t="e">
        <f aca="false">CONCATENATE(C169;D169)</f>
        <v>#VALUE!</v>
      </c>
      <c r="C169" s="53" t="n">
        <v>34</v>
      </c>
      <c r="D169" s="53" t="s">
        <v>249</v>
      </c>
      <c r="E169" s="24" t="n">
        <v>34</v>
      </c>
      <c r="F169" s="103" t="e">
        <f aca="false">IF(VLOOKUP(D169;$V$2:$W$299;2;0)&lt;&gt;1;1;0)</f>
        <v>#VALUE!</v>
      </c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8" t="s">
        <v>83</v>
      </c>
      <c r="W169" s="109" t="n">
        <v>1</v>
      </c>
      <c r="AA169" s="106" t="n">
        <v>168</v>
      </c>
      <c r="AB169" s="106" t="n">
        <v>3</v>
      </c>
      <c r="AC169" s="107" t="s">
        <v>36</v>
      </c>
    </row>
    <row collapsed="false" customFormat="false" customHeight="false" hidden="false" ht="15" outlineLevel="0" r="170">
      <c r="A170" s="24" t="n">
        <v>13</v>
      </c>
      <c r="B170" s="53" t="e">
        <f aca="false">CONCATENATE(C170;D170)</f>
        <v>#VALUE!</v>
      </c>
      <c r="C170" s="53" t="n">
        <v>13</v>
      </c>
      <c r="D170" s="53" t="s">
        <v>116</v>
      </c>
      <c r="E170" s="24" t="n">
        <v>13</v>
      </c>
      <c r="F170" s="103" t="e">
        <f aca="false">IF(VLOOKUP(D170;$V$2:$W$299;2;0)&lt;&gt;1;1;0)</f>
        <v>#VALUE!</v>
      </c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8" t="s">
        <v>236</v>
      </c>
      <c r="W170" s="109" t="n">
        <v>1</v>
      </c>
      <c r="AA170" s="106" t="n">
        <v>169</v>
      </c>
      <c r="AB170" s="106" t="n">
        <v>3</v>
      </c>
      <c r="AC170" s="107" t="s">
        <v>36</v>
      </c>
    </row>
    <row collapsed="false" customFormat="false" customHeight="false" hidden="false" ht="15" outlineLevel="0" r="171">
      <c r="A171" s="24" t="n">
        <v>273</v>
      </c>
      <c r="B171" s="53" t="e">
        <f aca="false">CONCATENATE(C171;D171)</f>
        <v>#VALUE!</v>
      </c>
      <c r="C171" s="53" t="n">
        <v>286</v>
      </c>
      <c r="D171" s="112" t="s">
        <v>257</v>
      </c>
      <c r="E171" s="24" t="n">
        <v>273</v>
      </c>
      <c r="F171" s="103" t="e">
        <f aca="false">IF(VLOOKUP(D171;$V$2:$W$299;2;0)&lt;&gt;1;1;0)</f>
        <v>#VALUE!</v>
      </c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8" t="s">
        <v>63</v>
      </c>
      <c r="W171" s="109" t="n">
        <v>1</v>
      </c>
      <c r="AA171" s="106" t="n">
        <v>170</v>
      </c>
      <c r="AB171" s="106" t="n">
        <v>3</v>
      </c>
      <c r="AC171" s="107" t="s">
        <v>36</v>
      </c>
    </row>
    <row collapsed="false" customFormat="false" customHeight="false" hidden="false" ht="25.5" outlineLevel="0" r="172">
      <c r="A172" s="24" t="n">
        <v>87</v>
      </c>
      <c r="B172" s="53" t="e">
        <f aca="false">CONCATENATE(C172;D172)</f>
        <v>#VALUE!</v>
      </c>
      <c r="C172" s="53" t="n">
        <v>92</v>
      </c>
      <c r="D172" s="53" t="s">
        <v>188</v>
      </c>
      <c r="E172" s="24" t="n">
        <v>87</v>
      </c>
      <c r="F172" s="103" t="e">
        <f aca="false">IF(VLOOKUP(D172;$V$2:$W$299;2;0)&lt;&gt;1;1;0)</f>
        <v>#VALUE!</v>
      </c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8" t="s">
        <v>164</v>
      </c>
      <c r="W172" s="109" t="n">
        <v>1</v>
      </c>
      <c r="AA172" s="106" t="n">
        <v>171</v>
      </c>
      <c r="AB172" s="106" t="n">
        <v>3</v>
      </c>
      <c r="AC172" s="107" t="s">
        <v>36</v>
      </c>
    </row>
    <row collapsed="false" customFormat="false" customHeight="false" hidden="false" ht="15" outlineLevel="0" r="173">
      <c r="A173" s="24" t="n">
        <v>154</v>
      </c>
      <c r="B173" s="53" t="e">
        <f aca="false">CONCATENATE(C173;D173)</f>
        <v>#VALUE!</v>
      </c>
      <c r="C173" s="53" t="n">
        <v>162</v>
      </c>
      <c r="D173" s="53" t="s">
        <v>224</v>
      </c>
      <c r="E173" s="24" t="n">
        <v>154</v>
      </c>
      <c r="F173" s="103" t="e">
        <f aca="false">IF(VLOOKUP(D173;$V$2:$W$299;2;0)&lt;&gt;1;1;0)</f>
        <v>#VALUE!</v>
      </c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8" t="s">
        <v>284</v>
      </c>
      <c r="W173" s="109" t="n">
        <v>1</v>
      </c>
      <c r="AA173" s="106" t="n">
        <v>172</v>
      </c>
      <c r="AB173" s="106" t="n">
        <v>3</v>
      </c>
      <c r="AC173" s="107" t="s">
        <v>36</v>
      </c>
    </row>
    <row collapsed="false" customFormat="false" customHeight="false" hidden="false" ht="15" outlineLevel="0" r="174">
      <c r="A174" s="24" t="n">
        <v>270</v>
      </c>
      <c r="B174" s="53" t="e">
        <f aca="false">CONCATENATE(C174;D174)</f>
        <v>#VALUE!</v>
      </c>
      <c r="C174" s="53" t="n">
        <v>283</v>
      </c>
      <c r="D174" s="53" t="s">
        <v>151</v>
      </c>
      <c r="E174" s="24" t="n">
        <v>270</v>
      </c>
      <c r="F174" s="103" t="e">
        <f aca="false">IF(VLOOKUP(D174;$V$2:$W$299;2;0)&lt;&gt;1;1;0)</f>
        <v>#VALUE!</v>
      </c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8" t="s">
        <v>193</v>
      </c>
      <c r="W174" s="109" t="n">
        <v>1</v>
      </c>
      <c r="AA174" s="106" t="n">
        <v>173</v>
      </c>
      <c r="AB174" s="106" t="n">
        <v>3</v>
      </c>
      <c r="AC174" s="107" t="s">
        <v>36</v>
      </c>
    </row>
    <row collapsed="false" customFormat="false" customHeight="false" hidden="false" ht="25.5" outlineLevel="0" r="175">
      <c r="A175" s="24" t="n">
        <v>9</v>
      </c>
      <c r="B175" s="53" t="e">
        <f aca="false">CONCATENATE(C175;D175)</f>
        <v>#VALUE!</v>
      </c>
      <c r="C175" s="53" t="n">
        <v>9</v>
      </c>
      <c r="D175" s="53" t="s">
        <v>132</v>
      </c>
      <c r="E175" s="24" t="n">
        <v>9</v>
      </c>
      <c r="F175" s="103" t="e">
        <f aca="false">IF(VLOOKUP(D175;$V$2:$W$299;2;0)&lt;&gt;1;1;0)</f>
        <v>#VALUE!</v>
      </c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8" t="s">
        <v>182</v>
      </c>
      <c r="W175" s="109" t="n">
        <v>1</v>
      </c>
      <c r="AA175" s="106" t="n">
        <v>174</v>
      </c>
      <c r="AB175" s="106" t="n">
        <v>3</v>
      </c>
      <c r="AC175" s="107" t="s">
        <v>36</v>
      </c>
    </row>
    <row collapsed="false" customFormat="false" customHeight="false" hidden="false" ht="25.5" outlineLevel="0" r="176">
      <c r="A176" s="24" t="n">
        <v>129</v>
      </c>
      <c r="B176" s="53" t="e">
        <f aca="false">CONCATENATE(C176;D176)</f>
        <v>#VALUE!</v>
      </c>
      <c r="C176" s="53" t="n">
        <v>136</v>
      </c>
      <c r="D176" s="53" t="s">
        <v>266</v>
      </c>
      <c r="E176" s="24" t="n">
        <v>129</v>
      </c>
      <c r="F176" s="103" t="e">
        <f aca="false">IF(VLOOKUP(D176;$V$2:$W$299;2;0)&lt;&gt;1;1;0)</f>
        <v>#VALUE!</v>
      </c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8" t="s">
        <v>293</v>
      </c>
      <c r="W176" s="109" t="n">
        <v>1</v>
      </c>
      <c r="AA176" s="106" t="n">
        <v>175</v>
      </c>
      <c r="AB176" s="106" t="n">
        <v>3</v>
      </c>
      <c r="AC176" s="107" t="s">
        <v>36</v>
      </c>
    </row>
    <row collapsed="false" customFormat="false" customHeight="false" hidden="false" ht="38.25" outlineLevel="0" r="177">
      <c r="A177" s="24" t="n">
        <v>42</v>
      </c>
      <c r="B177" s="53" t="e">
        <f aca="false">CONCATENATE(C177;D177)</f>
        <v>#VALUE!</v>
      </c>
      <c r="C177" s="53" t="n">
        <v>42</v>
      </c>
      <c r="D177" s="53" t="s">
        <v>299</v>
      </c>
      <c r="E177" s="24" t="n">
        <v>42</v>
      </c>
      <c r="F177" s="103" t="e">
        <f aca="false">IF(VLOOKUP(D177;$V$2:$W$299;2;0)&lt;&gt;1;1;0)</f>
        <v>#VALUE!</v>
      </c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8" t="s">
        <v>42</v>
      </c>
      <c r="W177" s="109" t="n">
        <v>1</v>
      </c>
      <c r="AA177" s="106" t="n">
        <v>176</v>
      </c>
      <c r="AB177" s="106" t="n">
        <v>3</v>
      </c>
      <c r="AC177" s="107" t="s">
        <v>36</v>
      </c>
    </row>
    <row collapsed="false" customFormat="false" customHeight="false" hidden="false" ht="15" outlineLevel="0" r="178">
      <c r="A178" s="24" t="n">
        <v>96</v>
      </c>
      <c r="B178" s="53" t="e">
        <f aca="false">CONCATENATE(C178;D178)</f>
        <v>#VALUE!</v>
      </c>
      <c r="C178" s="53" t="n">
        <v>102</v>
      </c>
      <c r="D178" s="53" t="s">
        <v>131</v>
      </c>
      <c r="E178" s="24" t="n">
        <v>96</v>
      </c>
      <c r="F178" s="103" t="e">
        <f aca="false">IF(VLOOKUP(D178;$V$2:$W$299;2;0)&lt;&gt;1;1;0)</f>
        <v>#VALUE!</v>
      </c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8" t="s">
        <v>291</v>
      </c>
      <c r="W178" s="109" t="n">
        <v>1</v>
      </c>
      <c r="AA178" s="106" t="n">
        <v>177</v>
      </c>
      <c r="AB178" s="106" t="n">
        <v>3</v>
      </c>
      <c r="AC178" s="107" t="s">
        <v>36</v>
      </c>
    </row>
    <row collapsed="false" customFormat="false" customHeight="false" hidden="false" ht="15" outlineLevel="0" r="179">
      <c r="A179" s="24" t="n">
        <v>96</v>
      </c>
      <c r="B179" s="53" t="e">
        <f aca="false">CONCATENATE(C179;D179)</f>
        <v>#VALUE!</v>
      </c>
      <c r="C179" s="53" t="n">
        <v>101</v>
      </c>
      <c r="D179" s="53" t="s">
        <v>131</v>
      </c>
      <c r="E179" s="24" t="n">
        <v>96</v>
      </c>
      <c r="F179" s="103" t="e">
        <f aca="false">IF(VLOOKUP(D179;$V$2:$W$299;2;0)&lt;&gt;1;1;0)</f>
        <v>#VALUE!</v>
      </c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8" t="s">
        <v>187</v>
      </c>
      <c r="W179" s="109" t="n">
        <v>1</v>
      </c>
      <c r="AA179" s="106" t="n">
        <v>178</v>
      </c>
      <c r="AB179" s="106" t="n">
        <v>3</v>
      </c>
      <c r="AC179" s="107" t="s">
        <v>36</v>
      </c>
    </row>
    <row collapsed="false" customFormat="false" customHeight="false" hidden="false" ht="15" outlineLevel="0" r="180">
      <c r="A180" s="24" t="n">
        <v>292</v>
      </c>
      <c r="B180" s="53" t="e">
        <f aca="false">CONCATENATE(C180;D180)</f>
        <v>#VALUE!</v>
      </c>
      <c r="C180" s="53" t="n">
        <v>305</v>
      </c>
      <c r="D180" s="53" t="s">
        <v>144</v>
      </c>
      <c r="E180" s="24" t="n">
        <v>292</v>
      </c>
      <c r="F180" s="103" t="e">
        <f aca="false">IF(VLOOKUP(D180;$V$2:$W$299;2;0)&lt;&gt;1;1;0)</f>
        <v>#VALUE!</v>
      </c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8" t="s">
        <v>287</v>
      </c>
      <c r="W180" s="109" t="n">
        <v>1</v>
      </c>
      <c r="AA180" s="106" t="n">
        <v>179</v>
      </c>
      <c r="AB180" s="106" t="n">
        <v>3</v>
      </c>
      <c r="AC180" s="107" t="s">
        <v>36</v>
      </c>
    </row>
    <row collapsed="false" customFormat="false" customHeight="false" hidden="false" ht="25.5" outlineLevel="0" r="181">
      <c r="A181" s="24" t="n">
        <v>209</v>
      </c>
      <c r="B181" s="53" t="e">
        <f aca="false">CONCATENATE(C181;D181)</f>
        <v>#VALUE!</v>
      </c>
      <c r="C181" s="53" t="n">
        <v>219</v>
      </c>
      <c r="D181" s="53" t="s">
        <v>118</v>
      </c>
      <c r="E181" s="24" t="n">
        <v>209</v>
      </c>
      <c r="F181" s="103" t="e">
        <f aca="false">IF(VLOOKUP(D181;$V$2:$W$299;2;0)&lt;&gt;1;1;0)</f>
        <v>#VALUE!</v>
      </c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8" t="s">
        <v>143</v>
      </c>
      <c r="W181" s="109" t="n">
        <v>1</v>
      </c>
      <c r="AA181" s="106" t="n">
        <v>180</v>
      </c>
      <c r="AB181" s="106" t="n">
        <v>3</v>
      </c>
      <c r="AC181" s="107" t="s">
        <v>36</v>
      </c>
    </row>
    <row collapsed="false" customFormat="false" customHeight="false" hidden="false" ht="15" outlineLevel="0" r="182">
      <c r="A182" s="24" t="n">
        <v>257</v>
      </c>
      <c r="B182" s="53" t="e">
        <f aca="false">CONCATENATE(C182;D182)</f>
        <v>#VALUE!</v>
      </c>
      <c r="C182" s="53" t="n">
        <v>270</v>
      </c>
      <c r="D182" s="53" t="s">
        <v>69</v>
      </c>
      <c r="E182" s="24" t="n">
        <v>257</v>
      </c>
      <c r="F182" s="103" t="e">
        <f aca="false">IF(VLOOKUP(D182;$V$2:$W$299;2;0)&lt;&gt;1;1;0)</f>
        <v>#VALUE!</v>
      </c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8" t="s">
        <v>81</v>
      </c>
      <c r="W182" s="109" t="n">
        <v>1</v>
      </c>
      <c r="AA182" s="106" t="n">
        <v>181</v>
      </c>
      <c r="AB182" s="106" t="n">
        <v>14</v>
      </c>
      <c r="AC182" s="107" t="s">
        <v>32</v>
      </c>
    </row>
    <row collapsed="false" customFormat="false" customHeight="false" hidden="false" ht="15" outlineLevel="0" r="183">
      <c r="A183" s="24" t="n">
        <v>212</v>
      </c>
      <c r="B183" s="53" t="e">
        <f aca="false">CONCATENATE(C183;D183)</f>
        <v>#VALUE!</v>
      </c>
      <c r="C183" s="53" t="n">
        <v>221</v>
      </c>
      <c r="D183" s="53" t="s">
        <v>209</v>
      </c>
      <c r="E183" s="24" t="n">
        <v>212</v>
      </c>
      <c r="F183" s="103" t="e">
        <f aca="false">IF(VLOOKUP(D183;$V$2:$W$299;2;0)&lt;&gt;1;1;0)</f>
        <v>#VALUE!</v>
      </c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8" t="s">
        <v>181</v>
      </c>
      <c r="W183" s="109" t="n">
        <v>1</v>
      </c>
      <c r="AA183" s="106" t="n">
        <v>182</v>
      </c>
      <c r="AB183" s="106" t="n">
        <v>14</v>
      </c>
      <c r="AC183" s="107" t="s">
        <v>32</v>
      </c>
    </row>
    <row collapsed="false" customFormat="false" customHeight="false" hidden="false" ht="15" outlineLevel="0" r="184">
      <c r="A184" s="24" t="n">
        <v>320</v>
      </c>
      <c r="B184" s="53" t="e">
        <f aca="false">CONCATENATE(C184;D184)</f>
        <v>#VALUE!</v>
      </c>
      <c r="C184" s="53"/>
      <c r="D184" s="53" t="s">
        <v>324</v>
      </c>
      <c r="E184" s="24" t="n">
        <v>320</v>
      </c>
      <c r="F184" s="103" t="e">
        <f aca="false">IF(VLOOKUP(D184;$V$2:$W$299;2;0)&lt;&gt;1;1;0)</f>
        <v>#VALUE!</v>
      </c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8" t="s">
        <v>211</v>
      </c>
      <c r="W184" s="109" t="n">
        <v>1</v>
      </c>
      <c r="AA184" s="106" t="n">
        <v>183</v>
      </c>
      <c r="AB184" s="106" t="n">
        <v>14</v>
      </c>
      <c r="AC184" s="107" t="s">
        <v>32</v>
      </c>
    </row>
    <row collapsed="false" customFormat="false" customHeight="false" hidden="false" ht="38.25" outlineLevel="0" r="185">
      <c r="A185" s="24" t="n">
        <v>186</v>
      </c>
      <c r="B185" s="53" t="e">
        <f aca="false">CONCATENATE(C185;D185)</f>
        <v>#VALUE!</v>
      </c>
      <c r="C185" s="53" t="n">
        <v>194</v>
      </c>
      <c r="D185" s="53" t="s">
        <v>228</v>
      </c>
      <c r="E185" s="24" t="n">
        <v>186</v>
      </c>
      <c r="F185" s="103" t="e">
        <f aca="false">IF(VLOOKUP(D185;$V$2:$W$299;2;0)&lt;&gt;1;1;0)</f>
        <v>#VALUE!</v>
      </c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8" t="s">
        <v>207</v>
      </c>
      <c r="W185" s="109" t="n">
        <v>1</v>
      </c>
      <c r="AA185" s="106" t="n">
        <v>184</v>
      </c>
      <c r="AB185" s="106" t="n">
        <v>14</v>
      </c>
      <c r="AC185" s="107" t="s">
        <v>32</v>
      </c>
    </row>
    <row collapsed="false" customFormat="false" customHeight="false" hidden="false" ht="25.5" outlineLevel="0" r="186">
      <c r="A186" s="24" t="n">
        <v>187</v>
      </c>
      <c r="B186" s="53" t="e">
        <f aca="false">CONCATENATE(C186;D186)</f>
        <v>#VALUE!</v>
      </c>
      <c r="C186" s="53" t="n">
        <v>195</v>
      </c>
      <c r="D186" s="53" t="s">
        <v>83</v>
      </c>
      <c r="E186" s="24" t="n">
        <v>187</v>
      </c>
      <c r="F186" s="103" t="e">
        <f aca="false">IF(VLOOKUP(D186;$V$2:$W$299;2;0)&lt;&gt;1;1;0)</f>
        <v>#VALUE!</v>
      </c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8" t="s">
        <v>87</v>
      </c>
      <c r="W186" s="109" t="n">
        <v>1</v>
      </c>
      <c r="AA186" s="106" t="n">
        <v>185</v>
      </c>
      <c r="AB186" s="106" t="n">
        <v>14</v>
      </c>
      <c r="AC186" s="107" t="s">
        <v>32</v>
      </c>
    </row>
    <row collapsed="false" customFormat="false" customHeight="false" hidden="false" ht="15" outlineLevel="0" r="187">
      <c r="A187" s="24" t="n">
        <v>211</v>
      </c>
      <c r="B187" s="53" t="e">
        <f aca="false">CONCATENATE(C187;D187)</f>
        <v>#VALUE!</v>
      </c>
      <c r="C187" s="53" t="n">
        <v>220</v>
      </c>
      <c r="D187" s="53" t="s">
        <v>236</v>
      </c>
      <c r="E187" s="24" t="n">
        <v>211</v>
      </c>
      <c r="F187" s="103" t="e">
        <f aca="false">IF(VLOOKUP(D187;$V$2:$W$299;2;0)&lt;&gt;1;1;0)</f>
        <v>#VALUE!</v>
      </c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8" t="s">
        <v>29</v>
      </c>
      <c r="W187" s="109" t="n">
        <v>1</v>
      </c>
      <c r="AA187" s="106" t="n">
        <v>186</v>
      </c>
      <c r="AB187" s="106" t="n">
        <v>14</v>
      </c>
      <c r="AC187" s="107" t="s">
        <v>32</v>
      </c>
    </row>
    <row collapsed="false" customFormat="false" customHeight="false" hidden="false" ht="15" outlineLevel="0" r="188">
      <c r="A188" s="24" t="n">
        <v>242</v>
      </c>
      <c r="B188" s="53" t="e">
        <f aca="false">CONCATENATE(C188;D188)</f>
        <v>#VALUE!</v>
      </c>
      <c r="C188" s="53" t="n">
        <v>253</v>
      </c>
      <c r="D188" s="53" t="s">
        <v>63</v>
      </c>
      <c r="E188" s="24" t="n">
        <v>242</v>
      </c>
      <c r="F188" s="103" t="e">
        <f aca="false">IF(VLOOKUP(D188;$V$2:$W$299;2;0)&lt;&gt;1;1;0)</f>
        <v>#VALUE!</v>
      </c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8" t="s">
        <v>139</v>
      </c>
      <c r="W188" s="109" t="n">
        <v>1</v>
      </c>
      <c r="AA188" s="106" t="n">
        <v>187</v>
      </c>
      <c r="AB188" s="106" t="n">
        <v>14</v>
      </c>
      <c r="AC188" s="107" t="s">
        <v>32</v>
      </c>
    </row>
    <row collapsed="false" customFormat="false" customHeight="false" hidden="false" ht="25.5" outlineLevel="0" r="189">
      <c r="A189" s="24" t="n">
        <v>218</v>
      </c>
      <c r="B189" s="53" t="e">
        <f aca="false">CONCATENATE(C189;D189)</f>
        <v>#VALUE!</v>
      </c>
      <c r="C189" s="113" t="n">
        <v>227</v>
      </c>
      <c r="D189" s="53" t="s">
        <v>164</v>
      </c>
      <c r="E189" s="24" t="n">
        <v>218</v>
      </c>
      <c r="F189" s="103" t="e">
        <f aca="false">IF(VLOOKUP(D189;$V$2:$W$299;2;0)&lt;&gt;1;1;0)</f>
        <v>#VALUE!</v>
      </c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8" t="s">
        <v>156</v>
      </c>
      <c r="W189" s="109" t="n">
        <v>1</v>
      </c>
      <c r="AA189" s="106" t="n">
        <v>188</v>
      </c>
      <c r="AB189" s="106" t="n">
        <v>14</v>
      </c>
      <c r="AC189" s="107" t="s">
        <v>32</v>
      </c>
    </row>
    <row collapsed="false" customFormat="false" customHeight="false" hidden="false" ht="25.5" outlineLevel="0" r="190">
      <c r="A190" s="24" t="n">
        <v>120</v>
      </c>
      <c r="B190" s="53" t="e">
        <f aca="false">CONCATENATE(C190;D190)</f>
        <v>#VALUE!</v>
      </c>
      <c r="C190" s="53" t="n">
        <v>125</v>
      </c>
      <c r="D190" s="53" t="s">
        <v>284</v>
      </c>
      <c r="E190" s="24" t="n">
        <v>120</v>
      </c>
      <c r="F190" s="103" t="e">
        <f aca="false">IF(VLOOKUP(D190;$V$2:$W$299;2;0)&lt;&gt;1;1;0)</f>
        <v>#VALUE!</v>
      </c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8" t="s">
        <v>271</v>
      </c>
      <c r="W190" s="109" t="n">
        <v>1</v>
      </c>
      <c r="AA190" s="106" t="n">
        <v>189</v>
      </c>
      <c r="AB190" s="106" t="n">
        <v>14</v>
      </c>
      <c r="AC190" s="107" t="s">
        <v>32</v>
      </c>
    </row>
    <row collapsed="false" customFormat="false" customHeight="false" hidden="false" ht="15" outlineLevel="0" r="191">
      <c r="A191" s="24" t="n">
        <v>287</v>
      </c>
      <c r="B191" s="53" t="e">
        <f aca="false">CONCATENATE(C191;D191)</f>
        <v>#VALUE!</v>
      </c>
      <c r="C191" s="53" t="n">
        <v>299</v>
      </c>
      <c r="D191" s="53" t="s">
        <v>193</v>
      </c>
      <c r="E191" s="24" t="n">
        <v>287</v>
      </c>
      <c r="F191" s="103" t="e">
        <f aca="false">IF(VLOOKUP(D191;$V$2:$W$299;2;0)&lt;&gt;1;1;0)</f>
        <v>#VALUE!</v>
      </c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8" t="s">
        <v>203</v>
      </c>
      <c r="W191" s="109" t="n">
        <v>1</v>
      </c>
      <c r="AA191" s="106" t="n">
        <v>190</v>
      </c>
      <c r="AB191" s="106" t="n">
        <v>14</v>
      </c>
      <c r="AC191" s="107" t="s">
        <v>32</v>
      </c>
    </row>
    <row collapsed="false" customFormat="false" customHeight="false" hidden="false" ht="25.5" outlineLevel="0" r="192">
      <c r="A192" s="24" t="n">
        <v>170</v>
      </c>
      <c r="B192" s="53" t="e">
        <f aca="false">CONCATENATE(C192;D192)</f>
        <v>#VALUE!</v>
      </c>
      <c r="C192" s="53" t="n">
        <v>179</v>
      </c>
      <c r="D192" s="53" t="s">
        <v>312</v>
      </c>
      <c r="E192" s="24" t="n">
        <v>170</v>
      </c>
      <c r="F192" s="103" t="e">
        <f aca="false">IF(VLOOKUP(D192;$V$2:$W$299;2;0)&lt;&gt;1;1;0)</f>
        <v>#VALUE!</v>
      </c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8" t="s">
        <v>119</v>
      </c>
      <c r="W192" s="109" t="n">
        <v>1</v>
      </c>
      <c r="AA192" s="106" t="n">
        <v>191</v>
      </c>
      <c r="AB192" s="106" t="n">
        <v>14</v>
      </c>
      <c r="AC192" s="107" t="s">
        <v>32</v>
      </c>
    </row>
    <row collapsed="false" customFormat="false" customHeight="false" hidden="false" ht="25.5" outlineLevel="0" r="193">
      <c r="A193" s="24" t="n">
        <v>170</v>
      </c>
      <c r="B193" s="53" t="e">
        <f aca="false">CONCATENATE(C193;D193)</f>
        <v>#VALUE!</v>
      </c>
      <c r="C193" s="53" t="n">
        <v>178</v>
      </c>
      <c r="D193" s="53" t="s">
        <v>312</v>
      </c>
      <c r="E193" s="24" t="n">
        <v>170</v>
      </c>
      <c r="F193" s="103" t="e">
        <f aca="false">IF(VLOOKUP(D193;$V$2:$W$299;2;0)&lt;&gt;1;1;0)</f>
        <v>#VALUE!</v>
      </c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8" t="s">
        <v>644</v>
      </c>
      <c r="W193" s="109" t="n">
        <v>1</v>
      </c>
      <c r="AA193" s="106" t="n">
        <v>192</v>
      </c>
      <c r="AB193" s="106" t="n">
        <v>14</v>
      </c>
      <c r="AC193" s="107" t="s">
        <v>32</v>
      </c>
    </row>
    <row collapsed="false" customFormat="false" customHeight="false" hidden="false" ht="25.5" outlineLevel="0" r="194">
      <c r="A194" s="24" t="n">
        <v>290</v>
      </c>
      <c r="B194" s="53" t="e">
        <f aca="false">CONCATENATE(C194;D194)</f>
        <v>#VALUE!</v>
      </c>
      <c r="C194" s="53" t="n">
        <v>303</v>
      </c>
      <c r="D194" s="53" t="s">
        <v>293</v>
      </c>
      <c r="E194" s="24" t="n">
        <v>290</v>
      </c>
      <c r="F194" s="103" t="e">
        <f aca="false">IF(VLOOKUP(D194;$V$2:$W$299;2;0)&lt;&gt;1;1;0)</f>
        <v>#VALUE!</v>
      </c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8" t="s">
        <v>250</v>
      </c>
      <c r="W194" s="109" t="n">
        <v>1</v>
      </c>
      <c r="AA194" s="106" t="n">
        <v>193</v>
      </c>
      <c r="AB194" s="106" t="n">
        <v>14</v>
      </c>
      <c r="AC194" s="107" t="s">
        <v>32</v>
      </c>
    </row>
    <row collapsed="false" customFormat="false" customHeight="false" hidden="false" ht="15" outlineLevel="0" r="195">
      <c r="A195" s="24" t="n">
        <v>81</v>
      </c>
      <c r="B195" s="53" t="e">
        <f aca="false">CONCATENATE(C195;D195)</f>
        <v>#VALUE!</v>
      </c>
      <c r="C195" s="53" t="n">
        <v>86</v>
      </c>
      <c r="D195" s="53" t="s">
        <v>42</v>
      </c>
      <c r="E195" s="24" t="n">
        <v>81</v>
      </c>
      <c r="F195" s="103" t="e">
        <f aca="false">IF(VLOOKUP(D195;$V$2:$W$299;2;0)&lt;&gt;1;1;0)</f>
        <v>#VALUE!</v>
      </c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8" t="s">
        <v>255</v>
      </c>
      <c r="W195" s="109" t="n">
        <v>1</v>
      </c>
      <c r="AA195" s="106" t="n">
        <v>194</v>
      </c>
      <c r="AB195" s="106" t="n">
        <v>14</v>
      </c>
      <c r="AC195" s="107" t="s">
        <v>32</v>
      </c>
    </row>
    <row collapsed="false" customFormat="false" customHeight="false" hidden="false" ht="15" outlineLevel="0" r="196">
      <c r="A196" s="24" t="n">
        <v>31</v>
      </c>
      <c r="B196" s="53" t="e">
        <f aca="false">CONCATENATE(C196;D196)</f>
        <v>#VALUE!</v>
      </c>
      <c r="C196" s="53" t="n">
        <v>31</v>
      </c>
      <c r="D196" s="53" t="s">
        <v>291</v>
      </c>
      <c r="E196" s="24" t="n">
        <v>31</v>
      </c>
      <c r="F196" s="103" t="e">
        <f aca="false">IF(VLOOKUP(D196;$V$2:$W$299;2;0)&lt;&gt;1;1;0)</f>
        <v>#VALUE!</v>
      </c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8" t="s">
        <v>124</v>
      </c>
      <c r="W196" s="109" t="n">
        <v>1</v>
      </c>
      <c r="AA196" s="106" t="n">
        <v>195</v>
      </c>
      <c r="AB196" s="106" t="n">
        <v>14</v>
      </c>
      <c r="AC196" s="107" t="s">
        <v>32</v>
      </c>
    </row>
    <row collapsed="false" customFormat="false" customHeight="false" hidden="false" ht="15" outlineLevel="0" r="197">
      <c r="A197" s="24" t="n">
        <v>104</v>
      </c>
      <c r="B197" s="53" t="e">
        <f aca="false">CONCATENATE(C197;D197)</f>
        <v>#VALUE!</v>
      </c>
      <c r="C197" s="53" t="n">
        <v>109</v>
      </c>
      <c r="D197" s="53" t="s">
        <v>187</v>
      </c>
      <c r="E197" s="24" t="n">
        <v>104</v>
      </c>
      <c r="F197" s="103" t="e">
        <f aca="false">IF(VLOOKUP(D197;$V$2:$W$299;2;0)&lt;&gt;1;1;0)</f>
        <v>#VALUE!</v>
      </c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8" t="s">
        <v>190</v>
      </c>
      <c r="W197" s="109" t="n">
        <v>1</v>
      </c>
      <c r="AA197" s="106" t="n">
        <v>196</v>
      </c>
      <c r="AB197" s="106" t="n">
        <v>14</v>
      </c>
      <c r="AC197" s="107" t="s">
        <v>32</v>
      </c>
    </row>
    <row collapsed="false" customFormat="false" customHeight="false" hidden="false" ht="15" outlineLevel="0" r="198">
      <c r="A198" s="24" t="n">
        <v>85</v>
      </c>
      <c r="B198" s="53" t="e">
        <f aca="false">CONCATENATE(C198;D198)</f>
        <v>#VALUE!</v>
      </c>
      <c r="C198" s="53" t="n">
        <v>90</v>
      </c>
      <c r="D198" s="53" t="s">
        <v>287</v>
      </c>
      <c r="E198" s="24" t="n">
        <v>85</v>
      </c>
      <c r="F198" s="103" t="e">
        <f aca="false">IF(VLOOKUP(D198;$V$2:$W$299;2;0)&lt;&gt;1;1;0)</f>
        <v>#VALUE!</v>
      </c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8" t="s">
        <v>169</v>
      </c>
      <c r="W198" s="109" t="n">
        <v>1</v>
      </c>
      <c r="AA198" s="106" t="n">
        <v>197</v>
      </c>
      <c r="AB198" s="106" t="n">
        <v>14</v>
      </c>
      <c r="AC198" s="107" t="s">
        <v>32</v>
      </c>
    </row>
    <row collapsed="false" customFormat="false" customHeight="false" hidden="false" ht="15" outlineLevel="0" r="199">
      <c r="A199" s="24" t="n">
        <v>300</v>
      </c>
      <c r="B199" s="53" t="e">
        <f aca="false">CONCATENATE(C199;D199)</f>
        <v>#VALUE!</v>
      </c>
      <c r="C199" s="53" t="n">
        <v>315</v>
      </c>
      <c r="D199" s="53" t="s">
        <v>143</v>
      </c>
      <c r="E199" s="24" t="n">
        <v>300</v>
      </c>
      <c r="F199" s="103" t="e">
        <f aca="false">IF(VLOOKUP(D199;$V$2:$W$299;2;0)&lt;&gt;1;1;0)</f>
        <v>#VALUE!</v>
      </c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8" t="s">
        <v>184</v>
      </c>
      <c r="W199" s="109" t="n">
        <v>1</v>
      </c>
      <c r="AA199" s="106" t="n">
        <v>198</v>
      </c>
      <c r="AB199" s="106" t="n">
        <v>14</v>
      </c>
      <c r="AC199" s="107" t="s">
        <v>32</v>
      </c>
    </row>
    <row collapsed="false" customFormat="false" customHeight="false" hidden="false" ht="25.5" outlineLevel="0" r="200">
      <c r="A200" s="24" t="n">
        <v>47</v>
      </c>
      <c r="B200" s="53" t="e">
        <f aca="false">CONCATENATE(C200;D200)</f>
        <v>#VALUE!</v>
      </c>
      <c r="C200" s="53" t="n">
        <v>47</v>
      </c>
      <c r="D200" s="53" t="s">
        <v>81</v>
      </c>
      <c r="E200" s="24" t="n">
        <v>47</v>
      </c>
      <c r="F200" s="103" t="e">
        <f aca="false">IF(VLOOKUP(D200;$V$2:$W$299;2;0)&lt;&gt;1;1;0)</f>
        <v>#VALUE!</v>
      </c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8" t="s">
        <v>86</v>
      </c>
      <c r="W200" s="109" t="n">
        <v>1</v>
      </c>
      <c r="AA200" s="106" t="n">
        <v>199</v>
      </c>
      <c r="AB200" s="106" t="n">
        <v>14</v>
      </c>
      <c r="AC200" s="107" t="s">
        <v>32</v>
      </c>
    </row>
    <row collapsed="false" customFormat="false" customHeight="false" hidden="false" ht="25.5" outlineLevel="0" r="201">
      <c r="A201" s="24" t="n">
        <v>282</v>
      </c>
      <c r="B201" s="53" t="e">
        <f aca="false">CONCATENATE(C201;D201)</f>
        <v>#VALUE!</v>
      </c>
      <c r="C201" s="53" t="n">
        <v>294</v>
      </c>
      <c r="D201" s="53" t="s">
        <v>181</v>
      </c>
      <c r="E201" s="24" t="n">
        <v>282</v>
      </c>
      <c r="F201" s="103" t="e">
        <f aca="false">IF(VLOOKUP(D201;$V$2:$W$299;2;0)&lt;&gt;1;1;0)</f>
        <v>#VALUE!</v>
      </c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8" t="s">
        <v>217</v>
      </c>
      <c r="W201" s="109" t="n">
        <v>1</v>
      </c>
      <c r="AA201" s="106" t="n">
        <v>200</v>
      </c>
      <c r="AB201" s="106" t="n">
        <v>14</v>
      </c>
      <c r="AC201" s="107" t="s">
        <v>32</v>
      </c>
    </row>
    <row collapsed="false" customFormat="false" customHeight="false" hidden="false" ht="25.5" outlineLevel="0" r="202">
      <c r="A202" s="24" t="n">
        <v>204</v>
      </c>
      <c r="B202" s="53" t="e">
        <f aca="false">CONCATENATE(C202;D202)</f>
        <v>#VALUE!</v>
      </c>
      <c r="C202" s="53" t="n">
        <v>214</v>
      </c>
      <c r="D202" s="53" t="s">
        <v>211</v>
      </c>
      <c r="E202" s="24" t="n">
        <v>204</v>
      </c>
      <c r="F202" s="103" t="e">
        <f aca="false">IF(VLOOKUP(D202;$V$2:$W$299;2;0)&lt;&gt;1;1;0)</f>
        <v>#VALUE!</v>
      </c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8" t="s">
        <v>268</v>
      </c>
      <c r="W202" s="109" t="n">
        <v>1</v>
      </c>
      <c r="AA202" s="106" t="n">
        <v>201</v>
      </c>
      <c r="AB202" s="106" t="n">
        <v>4</v>
      </c>
      <c r="AC202" s="107" t="s">
        <v>26</v>
      </c>
    </row>
    <row collapsed="false" customFormat="false" customHeight="false" hidden="false" ht="15" outlineLevel="0" r="203">
      <c r="A203" s="24" t="n">
        <v>291</v>
      </c>
      <c r="B203" s="53" t="e">
        <f aca="false">CONCATENATE(C203;D203)</f>
        <v>#VALUE!</v>
      </c>
      <c r="C203" s="53" t="n">
        <v>304</v>
      </c>
      <c r="D203" s="53" t="s">
        <v>207</v>
      </c>
      <c r="E203" s="24" t="n">
        <v>291</v>
      </c>
      <c r="F203" s="103" t="e">
        <f aca="false">IF(VLOOKUP(D203;$V$2:$W$299;2;0)&lt;&gt;1;1;0)</f>
        <v>#VALUE!</v>
      </c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8" t="s">
        <v>264</v>
      </c>
      <c r="W203" s="109" t="n">
        <v>1</v>
      </c>
      <c r="AA203" s="106" t="n">
        <v>202</v>
      </c>
      <c r="AB203" s="106" t="n">
        <v>4</v>
      </c>
      <c r="AC203" s="107" t="s">
        <v>26</v>
      </c>
    </row>
    <row collapsed="false" customFormat="false" customHeight="false" hidden="false" ht="25.5" outlineLevel="0" r="204">
      <c r="A204" s="24" t="n">
        <v>89</v>
      </c>
      <c r="B204" s="53" t="e">
        <f aca="false">CONCATENATE(C204;D204)</f>
        <v>#VALUE!</v>
      </c>
      <c r="C204" s="53" t="n">
        <v>94</v>
      </c>
      <c r="D204" s="53" t="s">
        <v>87</v>
      </c>
      <c r="E204" s="24" t="n">
        <v>89</v>
      </c>
      <c r="F204" s="103" t="e">
        <f aca="false">IF(VLOOKUP(D204;$V$2:$W$299;2;0)&lt;&gt;1;1;0)</f>
        <v>#VALUE!</v>
      </c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8" t="s">
        <v>214</v>
      </c>
      <c r="W204" s="109" t="n">
        <v>1</v>
      </c>
      <c r="AA204" s="106" t="n">
        <v>203</v>
      </c>
      <c r="AB204" s="106" t="n">
        <v>4</v>
      </c>
      <c r="AC204" s="107" t="s">
        <v>26</v>
      </c>
    </row>
    <row collapsed="false" customFormat="false" customHeight="false" hidden="false" ht="25.5" outlineLevel="0" r="205">
      <c r="A205" s="24" t="n">
        <v>26</v>
      </c>
      <c r="B205" s="53" t="e">
        <f aca="false">CONCATENATE(C205;D205)</f>
        <v>#VALUE!</v>
      </c>
      <c r="C205" s="53" t="n">
        <v>26</v>
      </c>
      <c r="D205" s="53" t="s">
        <v>29</v>
      </c>
      <c r="E205" s="24" t="n">
        <v>26</v>
      </c>
      <c r="F205" s="103" t="e">
        <f aca="false">IF(VLOOKUP(D205;$V$2:$W$299;2;0)&lt;&gt;1;1;0)</f>
        <v>#VALUE!</v>
      </c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8" t="s">
        <v>93</v>
      </c>
      <c r="W205" s="109" t="n">
        <v>1</v>
      </c>
      <c r="AA205" s="106" t="n">
        <v>204</v>
      </c>
      <c r="AB205" s="106" t="n">
        <v>4</v>
      </c>
      <c r="AC205" s="107" t="s">
        <v>26</v>
      </c>
    </row>
    <row collapsed="false" customFormat="false" customHeight="false" hidden="false" ht="25.5" outlineLevel="0" r="206">
      <c r="A206" s="24" t="n">
        <v>71</v>
      </c>
      <c r="B206" s="53" t="e">
        <f aca="false">CONCATENATE(C206;D206)</f>
        <v>#VALUE!</v>
      </c>
      <c r="C206" s="53" t="n">
        <v>77</v>
      </c>
      <c r="D206" s="53" t="s">
        <v>139</v>
      </c>
      <c r="E206" s="24" t="n">
        <v>71</v>
      </c>
      <c r="F206" s="103" t="e">
        <f aca="false">IF(VLOOKUP(D206;$V$2:$W$299;2;0)&lt;&gt;1;1;0)</f>
        <v>#VALUE!</v>
      </c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8" t="s">
        <v>99</v>
      </c>
      <c r="W206" s="109" t="n">
        <v>1</v>
      </c>
      <c r="AA206" s="106" t="n">
        <v>205</v>
      </c>
      <c r="AB206" s="106" t="n">
        <v>4</v>
      </c>
      <c r="AC206" s="107" t="s">
        <v>26</v>
      </c>
    </row>
    <row collapsed="false" customFormat="false" customHeight="false" hidden="false" ht="25.5" outlineLevel="0" r="207">
      <c r="A207" s="24" t="n">
        <v>6</v>
      </c>
      <c r="B207" s="53" t="e">
        <f aca="false">CONCATENATE(C207;D207)</f>
        <v>#VALUE!</v>
      </c>
      <c r="C207" s="53" t="n">
        <v>6</v>
      </c>
      <c r="D207" s="53" t="s">
        <v>156</v>
      </c>
      <c r="E207" s="24" t="n">
        <v>6</v>
      </c>
      <c r="F207" s="103" t="e">
        <f aca="false">IF(VLOOKUP(D207;$V$2:$W$299;2;0)&lt;&gt;1;1;0)</f>
        <v>#VALUE!</v>
      </c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8" t="s">
        <v>303</v>
      </c>
      <c r="W207" s="109" t="n">
        <v>1</v>
      </c>
      <c r="AA207" s="106" t="n">
        <v>206</v>
      </c>
      <c r="AB207" s="106" t="n">
        <v>4</v>
      </c>
      <c r="AC207" s="107" t="s">
        <v>26</v>
      </c>
    </row>
    <row collapsed="false" customFormat="false" customHeight="false" hidden="false" ht="15" outlineLevel="0" r="208">
      <c r="A208" s="24" t="n">
        <v>80</v>
      </c>
      <c r="B208" s="53" t="e">
        <f aca="false">CONCATENATE(C208;D208)</f>
        <v>#VALUE!</v>
      </c>
      <c r="C208" s="53" t="n">
        <v>85</v>
      </c>
      <c r="D208" s="53" t="s">
        <v>271</v>
      </c>
      <c r="E208" s="24" t="n">
        <v>80</v>
      </c>
      <c r="F208" s="103" t="e">
        <f aca="false">IF(VLOOKUP(D208;$V$2:$W$299;2;0)&lt;&gt;1;1;0)</f>
        <v>#VALUE!</v>
      </c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3"/>
      <c r="U208" s="103"/>
      <c r="V208" s="108" t="s">
        <v>97</v>
      </c>
      <c r="W208" s="109" t="n">
        <v>1</v>
      </c>
      <c r="AA208" s="106" t="n">
        <v>207</v>
      </c>
      <c r="AB208" s="106" t="n">
        <v>4</v>
      </c>
      <c r="AC208" s="107" t="s">
        <v>26</v>
      </c>
    </row>
    <row collapsed="false" customFormat="false" customHeight="false" hidden="false" ht="25.5" outlineLevel="0" r="209">
      <c r="A209" s="24" t="n">
        <v>201</v>
      </c>
      <c r="B209" s="53" t="e">
        <f aca="false">CONCATENATE(C209;D209)</f>
        <v>#VALUE!</v>
      </c>
      <c r="C209" s="53" t="n">
        <v>209</v>
      </c>
      <c r="D209" s="53" t="s">
        <v>203</v>
      </c>
      <c r="E209" s="24" t="n">
        <v>201</v>
      </c>
      <c r="F209" s="103" t="e">
        <f aca="false">IF(VLOOKUP(D209;$V$2:$W$299;2;0)&lt;&gt;1;1;0)</f>
        <v>#VALUE!</v>
      </c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8" t="s">
        <v>300</v>
      </c>
      <c r="W209" s="109" t="n">
        <v>1</v>
      </c>
      <c r="AA209" s="106" t="n">
        <v>208</v>
      </c>
      <c r="AB209" s="106" t="n">
        <v>4</v>
      </c>
      <c r="AC209" s="107" t="s">
        <v>26</v>
      </c>
    </row>
    <row collapsed="false" customFormat="false" customHeight="false" hidden="false" ht="25.5" outlineLevel="0" r="210">
      <c r="A210" s="24" t="n">
        <v>147</v>
      </c>
      <c r="B210" s="53" t="e">
        <f aca="false">CONCATENATE(C210;D210)</f>
        <v>#VALUE!</v>
      </c>
      <c r="C210" s="53" t="n">
        <v>155</v>
      </c>
      <c r="D210" s="53" t="s">
        <v>119</v>
      </c>
      <c r="E210" s="24" t="n">
        <v>147</v>
      </c>
      <c r="F210" s="103" t="e">
        <f aca="false">IF(VLOOKUP(D210;$V$2:$W$299;2;0)&lt;&gt;1;1;0)</f>
        <v>#VALUE!</v>
      </c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8" t="s">
        <v>112</v>
      </c>
      <c r="W210" s="109" t="n">
        <v>1</v>
      </c>
      <c r="AA210" s="106" t="n">
        <v>209</v>
      </c>
      <c r="AB210" s="106" t="n">
        <v>4</v>
      </c>
      <c r="AC210" s="107" t="s">
        <v>26</v>
      </c>
    </row>
    <row collapsed="false" customFormat="false" customHeight="false" hidden="false" ht="15" outlineLevel="0" r="211">
      <c r="A211" s="24" t="n">
        <v>29</v>
      </c>
      <c r="B211" s="53" t="e">
        <f aca="false">CONCATENATE(C211;D211)</f>
        <v>#VALUE!</v>
      </c>
      <c r="C211" s="53" t="n">
        <v>29</v>
      </c>
      <c r="D211" s="53" t="s">
        <v>644</v>
      </c>
      <c r="E211" s="24" t="n">
        <v>29</v>
      </c>
      <c r="F211" s="103" t="n">
        <f aca="false">IF(VLOOKUP(D211,$V$2:$W$299,2,0)&lt;&gt;1,1,0)</f>
        <v>0</v>
      </c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  <c r="V211" s="108" t="s">
        <v>272</v>
      </c>
      <c r="W211" s="109" t="n">
        <v>1</v>
      </c>
      <c r="AA211" s="106" t="n">
        <v>210</v>
      </c>
      <c r="AB211" s="106" t="n">
        <v>4</v>
      </c>
      <c r="AC211" s="107" t="s">
        <v>26</v>
      </c>
    </row>
    <row collapsed="false" customFormat="false" customHeight="false" hidden="false" ht="15" outlineLevel="0" r="212">
      <c r="A212" s="24" t="n">
        <v>33</v>
      </c>
      <c r="B212" s="53" t="e">
        <f aca="false">CONCATENATE(C212;D212)</f>
        <v>#VALUE!</v>
      </c>
      <c r="C212" s="53" t="n">
        <v>33</v>
      </c>
      <c r="D212" s="53" t="s">
        <v>250</v>
      </c>
      <c r="E212" s="24" t="n">
        <v>33</v>
      </c>
      <c r="F212" s="103" t="e">
        <f aca="false">IF(VLOOKUP(D212;$V$2:$W$299;2;0)&lt;&gt;1;1;0)</f>
        <v>#VALUE!</v>
      </c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08" t="s">
        <v>96</v>
      </c>
      <c r="W212" s="109" t="n">
        <v>1</v>
      </c>
      <c r="AA212" s="106" t="n">
        <v>211</v>
      </c>
      <c r="AB212" s="106" t="n">
        <v>4</v>
      </c>
      <c r="AC212" s="107" t="s">
        <v>26</v>
      </c>
    </row>
    <row collapsed="false" customFormat="false" customHeight="false" hidden="false" ht="15" outlineLevel="0" r="213">
      <c r="A213" s="24" t="n">
        <v>169</v>
      </c>
      <c r="B213" s="53" t="e">
        <f aca="false">CONCATENATE(C213;D213)</f>
        <v>#VALUE!</v>
      </c>
      <c r="C213" s="53" t="n">
        <v>177</v>
      </c>
      <c r="D213" s="53" t="s">
        <v>255</v>
      </c>
      <c r="E213" s="24" t="n">
        <v>169</v>
      </c>
      <c r="F213" s="103" t="e">
        <f aca="false">IF(VLOOKUP(D213;$V$2:$W$299;2;0)&lt;&gt;1;1;0)</f>
        <v>#VALUE!</v>
      </c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3"/>
      <c r="U213" s="103"/>
      <c r="V213" s="108" t="s">
        <v>283</v>
      </c>
      <c r="W213" s="109" t="n">
        <v>1</v>
      </c>
      <c r="AA213" s="106" t="n">
        <v>212</v>
      </c>
      <c r="AB213" s="106" t="n">
        <v>4</v>
      </c>
      <c r="AC213" s="107" t="s">
        <v>26</v>
      </c>
    </row>
    <row collapsed="false" customFormat="false" customHeight="false" hidden="false" ht="15" outlineLevel="0" r="214">
      <c r="A214" s="24" t="n">
        <v>185</v>
      </c>
      <c r="B214" s="53" t="e">
        <f aca="false">CONCATENATE(C214;D214)</f>
        <v>#VALUE!</v>
      </c>
      <c r="C214" s="53" t="n">
        <v>193</v>
      </c>
      <c r="D214" s="53" t="s">
        <v>124</v>
      </c>
      <c r="E214" s="24" t="n">
        <v>185</v>
      </c>
      <c r="F214" s="103" t="e">
        <f aca="false">IF(VLOOKUP(D214;$V$2:$W$299;2;0)&lt;&gt;1;1;0)</f>
        <v>#VALUE!</v>
      </c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8" t="s">
        <v>258</v>
      </c>
      <c r="W214" s="109" t="n">
        <v>1</v>
      </c>
      <c r="AA214" s="106" t="n">
        <v>213</v>
      </c>
      <c r="AB214" s="106" t="n">
        <v>4</v>
      </c>
      <c r="AC214" s="107" t="s">
        <v>26</v>
      </c>
    </row>
    <row collapsed="false" customFormat="false" customHeight="false" hidden="false" ht="25.5" outlineLevel="0" r="215">
      <c r="A215" s="24" t="n">
        <v>176</v>
      </c>
      <c r="B215" s="53" t="e">
        <f aca="false">CONCATENATE(C215;D215)</f>
        <v>#VALUE!</v>
      </c>
      <c r="C215" s="53" t="n">
        <v>184</v>
      </c>
      <c r="D215" s="53" t="s">
        <v>190</v>
      </c>
      <c r="E215" s="24" t="n">
        <v>176</v>
      </c>
      <c r="F215" s="103" t="e">
        <f aca="false">IF(VLOOKUP(D215;$V$2:$W$299;2;0)&lt;&gt;1;1;0)</f>
        <v>#VALUE!</v>
      </c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3"/>
      <c r="U215" s="103"/>
      <c r="V215" s="108" t="s">
        <v>279</v>
      </c>
      <c r="W215" s="109" t="n">
        <v>1</v>
      </c>
      <c r="AA215" s="106" t="n">
        <v>214</v>
      </c>
      <c r="AB215" s="106" t="n">
        <v>4</v>
      </c>
      <c r="AC215" s="107" t="s">
        <v>26</v>
      </c>
    </row>
    <row collapsed="false" customFormat="false" customHeight="false" hidden="false" ht="25.5" outlineLevel="0" r="216">
      <c r="A216" s="24" t="n">
        <v>307</v>
      </c>
      <c r="B216" s="53" t="e">
        <f aca="false">CONCATENATE(C216;D216)</f>
        <v>#VALUE!</v>
      </c>
      <c r="C216" s="53" t="n">
        <v>322</v>
      </c>
      <c r="D216" s="53" t="s">
        <v>169</v>
      </c>
      <c r="E216" s="24" t="n">
        <v>307</v>
      </c>
      <c r="F216" s="103" t="e">
        <f aca="false">IF(VLOOKUP(D216;$V$2:$W$299;2;0)&lt;&gt;1;1;0)</f>
        <v>#VALUE!</v>
      </c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8" t="s">
        <v>56</v>
      </c>
      <c r="W216" s="109" t="n">
        <v>1</v>
      </c>
      <c r="AA216" s="106" t="n">
        <v>215</v>
      </c>
      <c r="AB216" s="106" t="n">
        <v>4</v>
      </c>
      <c r="AC216" s="107" t="s">
        <v>26</v>
      </c>
    </row>
    <row collapsed="false" customFormat="false" customHeight="false" hidden="false" ht="25.5" outlineLevel="0" r="217">
      <c r="A217" s="24" t="n">
        <v>177</v>
      </c>
      <c r="B217" s="53" t="e">
        <f aca="false">CONCATENATE(C217;D217)</f>
        <v>#VALUE!</v>
      </c>
      <c r="C217" s="53" t="n">
        <v>185</v>
      </c>
      <c r="D217" s="53" t="s">
        <v>184</v>
      </c>
      <c r="E217" s="24" t="n">
        <v>177</v>
      </c>
      <c r="F217" s="103" t="e">
        <f aca="false">IF(VLOOKUP(D217;$V$2:$W$299;2;0)&lt;&gt;1;1;0)</f>
        <v>#VALUE!</v>
      </c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3"/>
      <c r="U217" s="103"/>
      <c r="V217" s="108" t="s">
        <v>165</v>
      </c>
      <c r="W217" s="109" t="n">
        <v>1</v>
      </c>
      <c r="AA217" s="106" t="n">
        <v>216</v>
      </c>
      <c r="AB217" s="106" t="n">
        <v>4</v>
      </c>
      <c r="AC217" s="107" t="s">
        <v>26</v>
      </c>
    </row>
    <row collapsed="false" customFormat="false" customHeight="false" hidden="false" ht="15" outlineLevel="0" r="218">
      <c r="A218" s="24" t="n">
        <v>160</v>
      </c>
      <c r="B218" s="53" t="e">
        <f aca="false">CONCATENATE(C218;D218)</f>
        <v>#VALUE!</v>
      </c>
      <c r="C218" s="53" t="n">
        <v>168</v>
      </c>
      <c r="D218" s="53" t="s">
        <v>86</v>
      </c>
      <c r="E218" s="24" t="n">
        <v>160</v>
      </c>
      <c r="F218" s="103" t="e">
        <f aca="false">IF(VLOOKUP(D218;$V$2:$W$299;2;0)&lt;&gt;1;1;0)</f>
        <v>#VALUE!</v>
      </c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3"/>
      <c r="U218" s="103"/>
      <c r="V218" s="108" t="s">
        <v>94</v>
      </c>
      <c r="W218" s="109" t="n">
        <v>1</v>
      </c>
      <c r="AA218" s="106" t="n">
        <v>217</v>
      </c>
      <c r="AB218" s="106" t="n">
        <v>4</v>
      </c>
      <c r="AC218" s="107" t="s">
        <v>26</v>
      </c>
    </row>
    <row collapsed="false" customFormat="false" customHeight="false" hidden="false" ht="15" outlineLevel="0" r="219">
      <c r="A219" s="24" t="n">
        <v>53</v>
      </c>
      <c r="B219" s="53" t="e">
        <f aca="false">CONCATENATE(C219;D219)</f>
        <v>#VALUE!</v>
      </c>
      <c r="C219" s="53" t="n">
        <v>55</v>
      </c>
      <c r="D219" s="53" t="s">
        <v>217</v>
      </c>
      <c r="E219" s="24" t="n">
        <v>53</v>
      </c>
      <c r="F219" s="103" t="e">
        <f aca="false">IF(VLOOKUP(D219;$V$2:$W$299;2;0)&lt;&gt;1;1;0)</f>
        <v>#VALUE!</v>
      </c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3"/>
      <c r="U219" s="103"/>
      <c r="V219" s="108" t="s">
        <v>43</v>
      </c>
      <c r="W219" s="109" t="n">
        <v>1</v>
      </c>
      <c r="AA219" s="106" t="n">
        <v>218</v>
      </c>
      <c r="AB219" s="106" t="n">
        <v>4</v>
      </c>
      <c r="AC219" s="107" t="s">
        <v>26</v>
      </c>
    </row>
    <row collapsed="false" customFormat="false" customHeight="false" hidden="false" ht="15" outlineLevel="0" r="220">
      <c r="A220" s="24" t="n">
        <v>102</v>
      </c>
      <c r="B220" s="53" t="e">
        <f aca="false">CONCATENATE(C220;D220)</f>
        <v>#VALUE!</v>
      </c>
      <c r="C220" s="53" t="n">
        <v>107</v>
      </c>
      <c r="D220" s="53" t="s">
        <v>268</v>
      </c>
      <c r="E220" s="24" t="n">
        <v>102</v>
      </c>
      <c r="F220" s="103" t="e">
        <f aca="false">IF(VLOOKUP(D220;$V$2:$W$299;2;0)&lt;&gt;1;1;0)</f>
        <v>#VALUE!</v>
      </c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3"/>
      <c r="U220" s="103"/>
      <c r="V220" s="108" t="s">
        <v>54</v>
      </c>
      <c r="W220" s="109" t="n">
        <v>1</v>
      </c>
      <c r="AA220" s="106" t="n">
        <v>219</v>
      </c>
      <c r="AB220" s="106" t="n">
        <v>4</v>
      </c>
      <c r="AC220" s="107" t="s">
        <v>26</v>
      </c>
    </row>
    <row collapsed="false" customFormat="false" customHeight="false" hidden="false" ht="25.5" outlineLevel="0" r="221">
      <c r="A221" s="24" t="n">
        <v>174</v>
      </c>
      <c r="B221" s="53" t="e">
        <f aca="false">CONCATENATE(C221;D221)</f>
        <v>#VALUE!</v>
      </c>
      <c r="C221" s="53" t="n">
        <v>182</v>
      </c>
      <c r="D221" s="53" t="s">
        <v>264</v>
      </c>
      <c r="E221" s="24" t="n">
        <v>174</v>
      </c>
      <c r="F221" s="103" t="e">
        <f aca="false">IF(VLOOKUP(D221;$V$2:$W$299;2;0)&lt;&gt;1;1;0)</f>
        <v>#VALUE!</v>
      </c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3"/>
      <c r="U221" s="103"/>
      <c r="V221" s="108" t="s">
        <v>134</v>
      </c>
      <c r="W221" s="109" t="n">
        <v>1</v>
      </c>
      <c r="AA221" s="106" t="n">
        <v>220</v>
      </c>
      <c r="AB221" s="106" t="n">
        <v>4</v>
      </c>
      <c r="AC221" s="107" t="s">
        <v>26</v>
      </c>
    </row>
    <row collapsed="false" customFormat="false" customHeight="false" hidden="false" ht="25.5" outlineLevel="0" r="222">
      <c r="A222" s="24" t="n">
        <v>165</v>
      </c>
      <c r="B222" s="53" t="e">
        <f aca="false">CONCATENATE(C222;D222)</f>
        <v>#VALUE!</v>
      </c>
      <c r="C222" s="53" t="n">
        <v>173</v>
      </c>
      <c r="D222" s="53" t="s">
        <v>214</v>
      </c>
      <c r="E222" s="24" t="n">
        <v>165</v>
      </c>
      <c r="F222" s="103" t="e">
        <f aca="false">IF(VLOOKUP(D222;$V$2:$W$299;2;0)&lt;&gt;1;1;0)</f>
        <v>#VALUE!</v>
      </c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3"/>
      <c r="U222" s="103"/>
      <c r="V222" s="108" t="s">
        <v>186</v>
      </c>
      <c r="W222" s="109" t="n">
        <v>1</v>
      </c>
      <c r="AA222" s="106" t="n">
        <v>221</v>
      </c>
      <c r="AB222" s="106" t="n">
        <v>8</v>
      </c>
      <c r="AC222" s="107" t="s">
        <v>38</v>
      </c>
    </row>
    <row collapsed="false" customFormat="false" customHeight="false" hidden="false" ht="25.5" outlineLevel="0" r="223">
      <c r="A223" s="24" t="n">
        <v>251</v>
      </c>
      <c r="B223" s="53" t="e">
        <f aca="false">CONCATENATE(C223;D223)</f>
        <v>#VALUE!</v>
      </c>
      <c r="C223" s="53" t="n">
        <v>262</v>
      </c>
      <c r="D223" s="53" t="s">
        <v>93</v>
      </c>
      <c r="E223" s="24" t="n">
        <v>251</v>
      </c>
      <c r="F223" s="103" t="e">
        <f aca="false">IF(VLOOKUP(D223;$V$2:$W$299;2;0)&lt;&gt;1;1;0)</f>
        <v>#VALUE!</v>
      </c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3"/>
      <c r="U223" s="103"/>
      <c r="V223" s="108" t="s">
        <v>41</v>
      </c>
      <c r="W223" s="109" t="n">
        <v>1</v>
      </c>
      <c r="AA223" s="106" t="n">
        <v>222</v>
      </c>
      <c r="AB223" s="106" t="n">
        <v>8</v>
      </c>
      <c r="AC223" s="107" t="s">
        <v>38</v>
      </c>
    </row>
    <row collapsed="false" customFormat="false" customHeight="false" hidden="false" ht="15" outlineLevel="0" r="224">
      <c r="A224" s="24" t="n">
        <v>315</v>
      </c>
      <c r="B224" s="53" t="e">
        <f aca="false">CONCATENATE(C224;D224)</f>
        <v>#VALUE!</v>
      </c>
      <c r="C224" s="53" t="s">
        <v>584</v>
      </c>
      <c r="D224" s="53" t="s">
        <v>99</v>
      </c>
      <c r="E224" s="24" t="n">
        <v>315</v>
      </c>
      <c r="F224" s="103" t="e">
        <f aca="false">IF(VLOOKUP(D224;$V$2:$W$299;2;0)&lt;&gt;1;1;0)</f>
        <v>#VALUE!</v>
      </c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  <c r="V224" s="108" t="s">
        <v>33</v>
      </c>
      <c r="W224" s="109" t="n">
        <v>1</v>
      </c>
      <c r="AA224" s="106" t="n">
        <v>223</v>
      </c>
      <c r="AB224" s="106" t="n">
        <v>8</v>
      </c>
      <c r="AC224" s="107" t="s">
        <v>38</v>
      </c>
    </row>
    <row collapsed="false" customFormat="false" customHeight="false" hidden="false" ht="25.5" outlineLevel="0" r="225">
      <c r="A225" s="24" t="n">
        <v>312</v>
      </c>
      <c r="B225" s="53" t="e">
        <f aca="false">CONCATENATE(C225;D225)</f>
        <v>#VALUE!</v>
      </c>
      <c r="C225" s="53" t="s">
        <v>718</v>
      </c>
      <c r="D225" s="53" t="s">
        <v>303</v>
      </c>
      <c r="E225" s="24" t="n">
        <v>312</v>
      </c>
      <c r="F225" s="103" t="e">
        <f aca="false">IF(VLOOKUP(D225;$V$2:$W$299;2;0)&lt;&gt;1;1;0)</f>
        <v>#VALUE!</v>
      </c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8" t="s">
        <v>176</v>
      </c>
      <c r="W225" s="109" t="n">
        <v>1</v>
      </c>
      <c r="AA225" s="106" t="n">
        <v>224</v>
      </c>
      <c r="AB225" s="106" t="n">
        <v>8</v>
      </c>
      <c r="AC225" s="107" t="s">
        <v>38</v>
      </c>
    </row>
    <row collapsed="false" customFormat="false" customHeight="false" hidden="false" ht="25.5" outlineLevel="0" r="226">
      <c r="A226" s="24" t="n">
        <v>195</v>
      </c>
      <c r="B226" s="53" t="e">
        <f aca="false">CONCATENATE(C226;D226)</f>
        <v>#VALUE!</v>
      </c>
      <c r="C226" s="53" t="n">
        <v>203</v>
      </c>
      <c r="D226" s="53" t="s">
        <v>97</v>
      </c>
      <c r="E226" s="24" t="n">
        <v>195</v>
      </c>
      <c r="F226" s="103" t="e">
        <f aca="false">IF(VLOOKUP(D226;$V$2:$W$299;2;0)&lt;&gt;1;1;0)</f>
        <v>#VALUE!</v>
      </c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3"/>
      <c r="U226" s="103"/>
      <c r="V226" s="108" t="s">
        <v>261</v>
      </c>
      <c r="W226" s="109" t="n">
        <v>1</v>
      </c>
      <c r="AA226" s="106" t="n">
        <v>225</v>
      </c>
      <c r="AB226" s="106" t="n">
        <v>8</v>
      </c>
      <c r="AC226" s="107" t="s">
        <v>38</v>
      </c>
    </row>
    <row collapsed="false" customFormat="false" customHeight="false" hidden="false" ht="15" outlineLevel="0" r="227">
      <c r="A227" s="24" t="n">
        <v>144</v>
      </c>
      <c r="B227" s="53" t="e">
        <f aca="false">CONCATENATE(C227;D227)</f>
        <v>#VALUE!</v>
      </c>
      <c r="C227" s="53" t="n">
        <v>153</v>
      </c>
      <c r="D227" s="53" t="s">
        <v>23</v>
      </c>
      <c r="E227" s="24" t="n">
        <v>144</v>
      </c>
      <c r="F227" s="103" t="e">
        <f aca="false">IF(VLOOKUP(D227;$V$2:$W$299;2;0)&lt;&gt;1;1;0)</f>
        <v>#VALUE!</v>
      </c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3"/>
      <c r="U227" s="103"/>
      <c r="V227" s="108" t="s">
        <v>208</v>
      </c>
      <c r="W227" s="109" t="n">
        <v>1</v>
      </c>
      <c r="AA227" s="106" t="n">
        <v>226</v>
      </c>
      <c r="AB227" s="106" t="n">
        <v>8</v>
      </c>
      <c r="AC227" s="107" t="s">
        <v>38</v>
      </c>
    </row>
    <row collapsed="false" customFormat="false" customHeight="false" hidden="false" ht="15" outlineLevel="0" r="228">
      <c r="A228" s="24" t="n">
        <v>144</v>
      </c>
      <c r="B228" s="53" t="e">
        <f aca="false">CONCATENATE(C228;D228)</f>
        <v>#VALUE!</v>
      </c>
      <c r="C228" s="53" t="n">
        <v>152</v>
      </c>
      <c r="D228" s="53" t="s">
        <v>23</v>
      </c>
      <c r="E228" s="24" t="n">
        <v>144</v>
      </c>
      <c r="F228" s="103" t="e">
        <f aca="false">IF(VLOOKUP(D228;$V$2:$W$299;2;0)&lt;&gt;1;1;0)</f>
        <v>#VALUE!</v>
      </c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3"/>
      <c r="U228" s="103"/>
      <c r="V228" s="108" t="s">
        <v>172</v>
      </c>
      <c r="W228" s="109" t="n">
        <v>1</v>
      </c>
      <c r="AA228" s="106" t="n">
        <v>227</v>
      </c>
      <c r="AB228" s="106" t="n">
        <v>8</v>
      </c>
      <c r="AC228" s="107" t="s">
        <v>38</v>
      </c>
    </row>
    <row collapsed="false" customFormat="false" customHeight="false" hidden="false" ht="15" outlineLevel="0" r="229">
      <c r="A229" s="24" t="n">
        <v>74</v>
      </c>
      <c r="B229" s="53" t="e">
        <f aca="false">CONCATENATE(C229;D229)</f>
        <v>#VALUE!</v>
      </c>
      <c r="C229" s="53" t="n">
        <v>81</v>
      </c>
      <c r="D229" s="53" t="s">
        <v>245</v>
      </c>
      <c r="E229" s="24" t="n">
        <v>74</v>
      </c>
      <c r="F229" s="103" t="e">
        <f aca="false">IF(VLOOKUP(D229;$V$2:$W$299;2;0)&lt;&gt;1;1;0)</f>
        <v>#VALUE!</v>
      </c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3"/>
      <c r="U229" s="103"/>
      <c r="V229" s="108" t="s">
        <v>177</v>
      </c>
      <c r="W229" s="109" t="n">
        <v>1</v>
      </c>
      <c r="AA229" s="106" t="n">
        <v>228</v>
      </c>
      <c r="AB229" s="106" t="n">
        <v>8</v>
      </c>
      <c r="AC229" s="107" t="s">
        <v>38</v>
      </c>
    </row>
    <row collapsed="false" customFormat="false" customHeight="false" hidden="false" ht="15" outlineLevel="0" r="230">
      <c r="A230" s="24" t="n">
        <v>74</v>
      </c>
      <c r="B230" s="53" t="e">
        <f aca="false">CONCATENATE(C230;D230)</f>
        <v>#VALUE!</v>
      </c>
      <c r="C230" s="53" t="n">
        <v>80</v>
      </c>
      <c r="D230" s="53" t="s">
        <v>245</v>
      </c>
      <c r="E230" s="24" t="n">
        <v>74</v>
      </c>
      <c r="F230" s="103" t="e">
        <f aca="false">IF(VLOOKUP(D230;$V$2:$W$299;2;0)&lt;&gt;1;1;0)</f>
        <v>#VALUE!</v>
      </c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3"/>
      <c r="U230" s="103"/>
      <c r="V230" s="108" t="s">
        <v>276</v>
      </c>
      <c r="W230" s="109" t="n">
        <v>1</v>
      </c>
      <c r="AA230" s="106" t="n">
        <v>229</v>
      </c>
      <c r="AB230" s="106" t="n">
        <v>8</v>
      </c>
      <c r="AC230" s="107" t="s">
        <v>38</v>
      </c>
    </row>
    <row collapsed="false" customFormat="false" customHeight="false" hidden="false" ht="15" outlineLevel="0" r="231">
      <c r="A231" s="24" t="n">
        <v>68</v>
      </c>
      <c r="B231" s="53" t="e">
        <f aca="false">CONCATENATE(C231;D231)</f>
        <v>#VALUE!</v>
      </c>
      <c r="C231" s="53" t="n">
        <v>70</v>
      </c>
      <c r="D231" s="53" t="s">
        <v>272</v>
      </c>
      <c r="E231" s="24" t="n">
        <v>68</v>
      </c>
      <c r="F231" s="103" t="e">
        <f aca="false">IF(VLOOKUP(D231;$V$2:$W$299;2;0)&lt;&gt;1;1;0)</f>
        <v>#VALUE!</v>
      </c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3"/>
      <c r="U231" s="103"/>
      <c r="V231" s="108" t="s">
        <v>91</v>
      </c>
      <c r="W231" s="109" t="n">
        <v>1</v>
      </c>
      <c r="AA231" s="106" t="n">
        <v>230</v>
      </c>
      <c r="AB231" s="106" t="n">
        <v>8</v>
      </c>
      <c r="AC231" s="107" t="s">
        <v>38</v>
      </c>
    </row>
    <row collapsed="false" customFormat="false" customHeight="false" hidden="false" ht="15" outlineLevel="0" r="232">
      <c r="A232" s="24" t="n">
        <v>224</v>
      </c>
      <c r="B232" s="53" t="e">
        <f aca="false">CONCATENATE(C232;D232)</f>
        <v>#VALUE!</v>
      </c>
      <c r="C232" s="53" t="n">
        <v>233</v>
      </c>
      <c r="D232" s="53" t="s">
        <v>96</v>
      </c>
      <c r="E232" s="24" t="n">
        <v>224</v>
      </c>
      <c r="F232" s="103" t="e">
        <f aca="false">IF(VLOOKUP(D232;$V$2:$W$299;2;0)&lt;&gt;1;1;0)</f>
        <v>#VALUE!</v>
      </c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3"/>
      <c r="U232" s="103"/>
      <c r="V232" s="108" t="s">
        <v>136</v>
      </c>
      <c r="W232" s="109" t="n">
        <v>1</v>
      </c>
      <c r="AA232" s="106" t="n">
        <v>231</v>
      </c>
      <c r="AB232" s="106" t="n">
        <v>8</v>
      </c>
      <c r="AC232" s="107" t="s">
        <v>38</v>
      </c>
    </row>
    <row collapsed="false" customFormat="false" customHeight="false" hidden="false" ht="15" outlineLevel="0" r="233">
      <c r="A233" s="24" t="n">
        <v>134</v>
      </c>
      <c r="B233" s="53" t="e">
        <f aca="false">CONCATENATE(C233;D233)</f>
        <v>#VALUE!</v>
      </c>
      <c r="C233" s="53" t="n">
        <v>141</v>
      </c>
      <c r="D233" s="53" t="s">
        <v>283</v>
      </c>
      <c r="E233" s="24" t="n">
        <v>134</v>
      </c>
      <c r="F233" s="103" t="e">
        <f aca="false">IF(VLOOKUP(D233;$V$2:$W$299;2;0)&lt;&gt;1;1;0)</f>
        <v>#VALUE!</v>
      </c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3"/>
      <c r="U233" s="103"/>
      <c r="V233" s="108" t="s">
        <v>267</v>
      </c>
      <c r="W233" s="109" t="n">
        <v>1</v>
      </c>
      <c r="AA233" s="106" t="n">
        <v>232</v>
      </c>
      <c r="AB233" s="106" t="n">
        <v>8</v>
      </c>
      <c r="AC233" s="107" t="s">
        <v>38</v>
      </c>
    </row>
    <row collapsed="false" customFormat="false" customHeight="false" hidden="false" ht="15" outlineLevel="0" r="234">
      <c r="A234" s="24" t="n">
        <v>267</v>
      </c>
      <c r="B234" s="53" t="e">
        <f aca="false">CONCATENATE(C234;D234)</f>
        <v>#VALUE!</v>
      </c>
      <c r="C234" s="53" t="n">
        <v>280</v>
      </c>
      <c r="D234" s="53" t="s">
        <v>258</v>
      </c>
      <c r="E234" s="24" t="n">
        <v>267</v>
      </c>
      <c r="F234" s="103" t="e">
        <f aca="false">IF(VLOOKUP(D234;$V$2:$W$299;2;0)&lt;&gt;1;1;0)</f>
        <v>#VALUE!</v>
      </c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3"/>
      <c r="U234" s="103"/>
      <c r="V234" s="108" t="s">
        <v>65</v>
      </c>
      <c r="W234" s="109" t="n">
        <v>1</v>
      </c>
      <c r="AA234" s="106" t="n">
        <v>233</v>
      </c>
      <c r="AB234" s="106" t="n">
        <v>8</v>
      </c>
      <c r="AC234" s="107" t="s">
        <v>38</v>
      </c>
    </row>
    <row collapsed="false" customFormat="false" customHeight="false" hidden="false" ht="15" outlineLevel="0" r="235">
      <c r="A235" s="24" t="n">
        <v>258</v>
      </c>
      <c r="B235" s="53" t="e">
        <f aca="false">CONCATENATE(C235;D235)</f>
        <v>#VALUE!</v>
      </c>
      <c r="C235" s="53" t="n">
        <v>271</v>
      </c>
      <c r="D235" s="53" t="s">
        <v>279</v>
      </c>
      <c r="E235" s="24" t="n">
        <v>258</v>
      </c>
      <c r="F235" s="103" t="e">
        <f aca="false">IF(VLOOKUP(D235;$V$2:$W$299;2;0)&lt;&gt;1;1;0)</f>
        <v>#VALUE!</v>
      </c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3"/>
      <c r="U235" s="103"/>
      <c r="V235" s="108" t="s">
        <v>235</v>
      </c>
      <c r="W235" s="109" t="n">
        <v>1</v>
      </c>
      <c r="AA235" s="106" t="n">
        <v>234</v>
      </c>
      <c r="AB235" s="106" t="n">
        <v>8</v>
      </c>
      <c r="AC235" s="107" t="s">
        <v>38</v>
      </c>
    </row>
    <row collapsed="false" customFormat="false" customHeight="false" hidden="false" ht="38.25" outlineLevel="0" r="236">
      <c r="A236" s="24" t="n">
        <v>299</v>
      </c>
      <c r="B236" s="53" t="e">
        <f aca="false">CONCATENATE(C236;D236)</f>
        <v>#VALUE!</v>
      </c>
      <c r="C236" s="53" t="n">
        <v>314</v>
      </c>
      <c r="D236" s="53" t="s">
        <v>56</v>
      </c>
      <c r="E236" s="24" t="n">
        <v>299</v>
      </c>
      <c r="F236" s="103" t="e">
        <f aca="false">IF(VLOOKUP(D236;$V$2:$W$299;2;0)&lt;&gt;1;1;0)</f>
        <v>#VALUE!</v>
      </c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3"/>
      <c r="U236" s="103"/>
      <c r="V236" s="108" t="s">
        <v>223</v>
      </c>
      <c r="W236" s="109" t="n">
        <v>1</v>
      </c>
      <c r="AA236" s="106" t="n">
        <v>235</v>
      </c>
      <c r="AB236" s="106" t="n">
        <v>8</v>
      </c>
      <c r="AC236" s="107" t="s">
        <v>38</v>
      </c>
    </row>
    <row collapsed="false" customFormat="false" customHeight="false" hidden="false" ht="25.5" outlineLevel="0" r="237">
      <c r="A237" s="24" t="n">
        <v>210</v>
      </c>
      <c r="B237" s="53" t="e">
        <f aca="false">CONCATENATE(C237;D237)</f>
        <v>#VALUE!</v>
      </c>
      <c r="C237" s="53" t="n">
        <v>219</v>
      </c>
      <c r="D237" s="53" t="s">
        <v>165</v>
      </c>
      <c r="E237" s="24" t="n">
        <v>210</v>
      </c>
      <c r="F237" s="103" t="e">
        <f aca="false">IF(VLOOKUP(D237;$V$2:$W$299;2;0)&lt;&gt;1;1;0)</f>
        <v>#VALUE!</v>
      </c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3"/>
      <c r="U237" s="103"/>
      <c r="V237" s="108" t="s">
        <v>157</v>
      </c>
      <c r="W237" s="109" t="n">
        <v>1</v>
      </c>
      <c r="AA237" s="106" t="n">
        <v>236</v>
      </c>
      <c r="AB237" s="106" t="n">
        <v>8</v>
      </c>
      <c r="AC237" s="107" t="s">
        <v>38</v>
      </c>
    </row>
    <row collapsed="false" customFormat="false" customHeight="false" hidden="false" ht="15" outlineLevel="0" r="238">
      <c r="A238" s="24" t="n">
        <v>239</v>
      </c>
      <c r="B238" s="53" t="e">
        <f aca="false">CONCATENATE(C238;D238)</f>
        <v>#VALUE!</v>
      </c>
      <c r="C238" s="53" t="n">
        <v>250</v>
      </c>
      <c r="D238" s="53" t="s">
        <v>94</v>
      </c>
      <c r="E238" s="24" t="n">
        <v>239</v>
      </c>
      <c r="F238" s="103" t="e">
        <f aca="false">IF(VLOOKUP(D238;$V$2:$W$299;2;0)&lt;&gt;1;1;0)</f>
        <v>#VALUE!</v>
      </c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  <c r="V238" s="108" t="s">
        <v>243</v>
      </c>
      <c r="W238" s="109" t="n">
        <v>1</v>
      </c>
      <c r="AA238" s="106" t="n">
        <v>237</v>
      </c>
      <c r="AB238" s="106" t="n">
        <v>8</v>
      </c>
      <c r="AC238" s="107" t="s">
        <v>38</v>
      </c>
    </row>
    <row collapsed="false" customFormat="false" customHeight="false" hidden="false" ht="25.5" outlineLevel="0" r="239">
      <c r="A239" s="24" t="n">
        <v>238</v>
      </c>
      <c r="B239" s="53" t="e">
        <f aca="false">CONCATENATE(C239;D239)</f>
        <v>#VALUE!</v>
      </c>
      <c r="C239" s="53" t="n">
        <v>249</v>
      </c>
      <c r="D239" s="53" t="s">
        <v>43</v>
      </c>
      <c r="E239" s="24" t="n">
        <v>238</v>
      </c>
      <c r="F239" s="103" t="e">
        <f aca="false">IF(VLOOKUP(D239;$V$2:$W$299;2;0)&lt;&gt;1;1;0)</f>
        <v>#VALUE!</v>
      </c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3"/>
      <c r="U239" s="103"/>
      <c r="V239" s="108" t="s">
        <v>76</v>
      </c>
      <c r="W239" s="109" t="n">
        <v>1</v>
      </c>
      <c r="AA239" s="106" t="n">
        <v>238</v>
      </c>
      <c r="AB239" s="106" t="n">
        <v>8</v>
      </c>
      <c r="AC239" s="107" t="s">
        <v>38</v>
      </c>
    </row>
    <row collapsed="false" customFormat="false" customHeight="false" hidden="false" ht="15" outlineLevel="0" r="240">
      <c r="A240" s="24" t="n">
        <v>77</v>
      </c>
      <c r="B240" s="53" t="e">
        <f aca="false">CONCATENATE(C240;D240)</f>
        <v>#VALUE!</v>
      </c>
      <c r="C240" s="53" t="n">
        <v>83</v>
      </c>
      <c r="D240" s="53" t="s">
        <v>54</v>
      </c>
      <c r="E240" s="24" t="n">
        <v>77</v>
      </c>
      <c r="F240" s="103" t="e">
        <f aca="false">IF(VLOOKUP(D240;$V$2:$W$299;2;0)&lt;&gt;1;1;0)</f>
        <v>#VALUE!</v>
      </c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3"/>
      <c r="U240" s="103"/>
      <c r="V240" s="108" t="s">
        <v>199</v>
      </c>
      <c r="W240" s="109" t="n">
        <v>1</v>
      </c>
      <c r="AA240" s="106" t="n">
        <v>239</v>
      </c>
      <c r="AB240" s="106" t="n">
        <v>8</v>
      </c>
      <c r="AC240" s="107" t="s">
        <v>38</v>
      </c>
    </row>
    <row collapsed="false" customFormat="false" customHeight="false" hidden="false" ht="15" outlineLevel="0" r="241">
      <c r="A241" s="24" t="n">
        <v>297</v>
      </c>
      <c r="B241" s="53" t="e">
        <f aca="false">CONCATENATE(C241;D241)</f>
        <v>#VALUE!</v>
      </c>
      <c r="C241" s="53" t="n">
        <v>312</v>
      </c>
      <c r="D241" s="53" t="s">
        <v>134</v>
      </c>
      <c r="E241" s="24" t="n">
        <v>297</v>
      </c>
      <c r="F241" s="103" t="e">
        <f aca="false">IF(VLOOKUP(D241;$V$2:$W$299;2;0)&lt;&gt;1;1;0)</f>
        <v>#VALUE!</v>
      </c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3"/>
      <c r="U241" s="103"/>
      <c r="V241" s="108" t="s">
        <v>278</v>
      </c>
      <c r="W241" s="109" t="n">
        <v>1</v>
      </c>
      <c r="AA241" s="106" t="n">
        <v>240</v>
      </c>
      <c r="AB241" s="106" t="n">
        <v>8</v>
      </c>
      <c r="AC241" s="107" t="s">
        <v>38</v>
      </c>
    </row>
    <row collapsed="false" customFormat="false" customHeight="false" hidden="false" ht="38.25" outlineLevel="0" r="242">
      <c r="A242" s="24" t="n">
        <v>128</v>
      </c>
      <c r="B242" s="53" t="e">
        <f aca="false">CONCATENATE(C242;D242)</f>
        <v>#VALUE!</v>
      </c>
      <c r="C242" s="53" t="n">
        <v>135</v>
      </c>
      <c r="D242" s="53" t="s">
        <v>186</v>
      </c>
      <c r="E242" s="24" t="n">
        <v>128</v>
      </c>
      <c r="F242" s="103" t="e">
        <f aca="false">IF(VLOOKUP(D242;$V$2:$W$299;2;0)&lt;&gt;1;1;0)</f>
        <v>#VALUE!</v>
      </c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3"/>
      <c r="U242" s="103"/>
      <c r="V242" s="108" t="s">
        <v>58</v>
      </c>
      <c r="W242" s="109" t="n">
        <v>1</v>
      </c>
      <c r="AA242" s="106" t="n">
        <v>241</v>
      </c>
      <c r="AB242" s="106" t="n">
        <v>5</v>
      </c>
      <c r="AC242" s="107" t="s">
        <v>44</v>
      </c>
    </row>
    <row collapsed="false" customFormat="false" customHeight="false" hidden="false" ht="15" outlineLevel="0" r="243">
      <c r="A243" s="24" t="n">
        <v>67</v>
      </c>
      <c r="B243" s="53" t="e">
        <f aca="false">CONCATENATE(C243;D243)</f>
        <v>#VALUE!</v>
      </c>
      <c r="C243" s="53" t="n">
        <v>69</v>
      </c>
      <c r="D243" s="53" t="s">
        <v>41</v>
      </c>
      <c r="E243" s="24" t="n">
        <v>67</v>
      </c>
      <c r="F243" s="103" t="e">
        <f aca="false">IF(VLOOKUP(D243;$V$2:$W$299;2;0)&lt;&gt;1;1;0)</f>
        <v>#VALUE!</v>
      </c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3"/>
      <c r="U243" s="103"/>
      <c r="V243" s="108" t="s">
        <v>205</v>
      </c>
      <c r="W243" s="109" t="n">
        <v>1</v>
      </c>
      <c r="AA243" s="106" t="n">
        <v>242</v>
      </c>
      <c r="AB243" s="106" t="n">
        <v>5</v>
      </c>
      <c r="AC243" s="107" t="s">
        <v>44</v>
      </c>
    </row>
    <row collapsed="false" customFormat="false" customHeight="false" hidden="false" ht="25.5" outlineLevel="0" r="244">
      <c r="A244" s="24" t="n">
        <v>278</v>
      </c>
      <c r="B244" s="53" t="e">
        <f aca="false">CONCATENATE(C244;D244)</f>
        <v>#VALUE!</v>
      </c>
      <c r="C244" s="53" t="n">
        <v>290</v>
      </c>
      <c r="D244" s="53" t="s">
        <v>33</v>
      </c>
      <c r="E244" s="24" t="n">
        <v>278</v>
      </c>
      <c r="F244" s="103" t="e">
        <f aca="false">IF(VLOOKUP(D244;$V$2:$W$299;2;0)&lt;&gt;1;1;0)</f>
        <v>#VALUE!</v>
      </c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  <c r="S244" s="103"/>
      <c r="T244" s="103"/>
      <c r="U244" s="103"/>
      <c r="V244" s="108" t="s">
        <v>205</v>
      </c>
      <c r="W244" s="109" t="n">
        <v>1</v>
      </c>
      <c r="AA244" s="106" t="n">
        <v>243</v>
      </c>
      <c r="AB244" s="106" t="n">
        <v>5</v>
      </c>
      <c r="AC244" s="107" t="s">
        <v>44</v>
      </c>
    </row>
    <row collapsed="false" customFormat="false" customHeight="false" hidden="false" ht="15" outlineLevel="0" r="245">
      <c r="A245" s="24" t="n">
        <v>280</v>
      </c>
      <c r="B245" s="53" t="e">
        <f aca="false">CONCATENATE(C245;D245)</f>
        <v>#VALUE!</v>
      </c>
      <c r="C245" s="53" t="n">
        <v>292</v>
      </c>
      <c r="D245" s="53" t="s">
        <v>176</v>
      </c>
      <c r="E245" s="24" t="n">
        <v>280</v>
      </c>
      <c r="F245" s="103" t="e">
        <f aca="false">IF(VLOOKUP(D245;$V$2:$W$299;2;0)&lt;&gt;1;1;0)</f>
        <v>#VALUE!</v>
      </c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R245" s="103"/>
      <c r="S245" s="103"/>
      <c r="T245" s="103"/>
      <c r="U245" s="103"/>
      <c r="V245" s="108" t="s">
        <v>200</v>
      </c>
      <c r="W245" s="109" t="n">
        <v>1</v>
      </c>
      <c r="AA245" s="106" t="n">
        <v>244</v>
      </c>
      <c r="AB245" s="106" t="n">
        <v>5</v>
      </c>
      <c r="AC245" s="107" t="s">
        <v>44</v>
      </c>
    </row>
    <row collapsed="false" customFormat="false" customHeight="false" hidden="false" ht="15" outlineLevel="0" r="246">
      <c r="A246" s="24" t="n">
        <v>215</v>
      </c>
      <c r="B246" s="53" t="e">
        <f aca="false">CONCATENATE(C246;D246)</f>
        <v>#VALUE!</v>
      </c>
      <c r="C246" s="53" t="n">
        <v>224</v>
      </c>
      <c r="D246" s="53" t="s">
        <v>261</v>
      </c>
      <c r="E246" s="24" t="n">
        <v>215</v>
      </c>
      <c r="F246" s="103" t="e">
        <f aca="false">IF(VLOOKUP(D246;$V$2:$W$299;2;0)&lt;&gt;1;1;0)</f>
        <v>#VALUE!</v>
      </c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R246" s="103"/>
      <c r="S246" s="103"/>
      <c r="T246" s="103"/>
      <c r="U246" s="103"/>
      <c r="V246" s="108" t="s">
        <v>47</v>
      </c>
      <c r="W246" s="109" t="n">
        <v>1</v>
      </c>
      <c r="AA246" s="106" t="n">
        <v>245</v>
      </c>
      <c r="AB246" s="106" t="n">
        <v>5</v>
      </c>
      <c r="AC246" s="107" t="s">
        <v>44</v>
      </c>
    </row>
    <row collapsed="false" customFormat="false" customHeight="false" hidden="false" ht="15" outlineLevel="0" r="247">
      <c r="A247" s="24" t="n">
        <v>241</v>
      </c>
      <c r="B247" s="53" t="e">
        <f aca="false">CONCATENATE(C247;D247)</f>
        <v>#VALUE!</v>
      </c>
      <c r="C247" s="53" t="n">
        <v>252</v>
      </c>
      <c r="D247" s="53" t="s">
        <v>208</v>
      </c>
      <c r="E247" s="24" t="n">
        <v>241</v>
      </c>
      <c r="F247" s="103" t="e">
        <f aca="false">IF(VLOOKUP(D247;$V$2:$W$299;2;0)&lt;&gt;1;1;0)</f>
        <v>#VALUE!</v>
      </c>
      <c r="G247" s="103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  <c r="R247" s="103"/>
      <c r="S247" s="103"/>
      <c r="T247" s="103"/>
      <c r="U247" s="103"/>
      <c r="V247" s="108" t="s">
        <v>237</v>
      </c>
      <c r="W247" s="109" t="n">
        <v>1</v>
      </c>
      <c r="AA247" s="106" t="n">
        <v>246</v>
      </c>
      <c r="AB247" s="106" t="n">
        <v>5</v>
      </c>
      <c r="AC247" s="107" t="s">
        <v>44</v>
      </c>
    </row>
    <row collapsed="false" customFormat="false" customHeight="false" hidden="false" ht="15" outlineLevel="0" r="248">
      <c r="A248" s="24" t="n">
        <v>161</v>
      </c>
      <c r="B248" s="53" t="e">
        <f aca="false">CONCATENATE(C248;D248)</f>
        <v>#VALUE!</v>
      </c>
      <c r="C248" s="53" t="n">
        <v>169</v>
      </c>
      <c r="D248" s="53" t="s">
        <v>172</v>
      </c>
      <c r="E248" s="24" t="n">
        <v>161</v>
      </c>
      <c r="F248" s="103" t="e">
        <f aca="false">IF(VLOOKUP(D248;$V$2:$W$299;2;0)&lt;&gt;1;1;0)</f>
        <v>#VALUE!</v>
      </c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  <c r="R248" s="103"/>
      <c r="S248" s="103"/>
      <c r="T248" s="103"/>
      <c r="U248" s="103"/>
      <c r="V248" s="108" t="s">
        <v>153</v>
      </c>
      <c r="W248" s="109" t="n">
        <v>1</v>
      </c>
      <c r="AA248" s="106" t="n">
        <v>247</v>
      </c>
      <c r="AB248" s="106" t="n">
        <v>5</v>
      </c>
      <c r="AC248" s="107" t="s">
        <v>44</v>
      </c>
    </row>
    <row collapsed="false" customFormat="false" customHeight="false" hidden="false" ht="15" outlineLevel="0" r="249">
      <c r="A249" s="24" t="n">
        <v>272</v>
      </c>
      <c r="B249" s="53" t="e">
        <f aca="false">CONCATENATE(C249;D249)</f>
        <v>#VALUE!</v>
      </c>
      <c r="C249" s="53" t="n">
        <v>285</v>
      </c>
      <c r="D249" s="53" t="s">
        <v>177</v>
      </c>
      <c r="E249" s="24" t="n">
        <v>272</v>
      </c>
      <c r="F249" s="103" t="e">
        <f aca="false">IF(VLOOKUP(D249;$V$2:$W$299;2;0)&lt;&gt;1;1;0)</f>
        <v>#VALUE!</v>
      </c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8" t="s">
        <v>121</v>
      </c>
      <c r="W249" s="109" t="n">
        <v>1</v>
      </c>
      <c r="AA249" s="106" t="n">
        <v>248</v>
      </c>
      <c r="AB249" s="106" t="n">
        <v>5</v>
      </c>
      <c r="AC249" s="107" t="s">
        <v>44</v>
      </c>
    </row>
    <row collapsed="false" customFormat="false" customHeight="false" hidden="false" ht="15" outlineLevel="0" r="250">
      <c r="A250" s="24" t="n">
        <v>19</v>
      </c>
      <c r="B250" s="53" t="e">
        <f aca="false">CONCATENATE(C250;D250)</f>
        <v>#VALUE!</v>
      </c>
      <c r="C250" s="53" t="n">
        <v>19</v>
      </c>
      <c r="D250" s="53" t="s">
        <v>276</v>
      </c>
      <c r="E250" s="24" t="n">
        <v>19</v>
      </c>
      <c r="F250" s="103" t="e">
        <f aca="false">IF(VLOOKUP(D250;$V$2:$W$299;2;0)&lt;&gt;1;1;0)</f>
        <v>#VALUE!</v>
      </c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  <c r="S250" s="103"/>
      <c r="T250" s="103"/>
      <c r="U250" s="103"/>
      <c r="V250" s="108" t="s">
        <v>148</v>
      </c>
      <c r="W250" s="109" t="n">
        <v>1</v>
      </c>
      <c r="AA250" s="106" t="n">
        <v>249</v>
      </c>
      <c r="AB250" s="106" t="n">
        <v>5</v>
      </c>
      <c r="AC250" s="107" t="s">
        <v>44</v>
      </c>
    </row>
    <row collapsed="false" customFormat="false" customHeight="false" hidden="false" ht="15" outlineLevel="0" r="251">
      <c r="A251" s="24" t="n">
        <v>310</v>
      </c>
      <c r="B251" s="53" t="e">
        <f aca="false">CONCATENATE(C251;D251)</f>
        <v>#VALUE!</v>
      </c>
      <c r="C251" s="53" t="s">
        <v>610</v>
      </c>
      <c r="D251" s="53" t="s">
        <v>91</v>
      </c>
      <c r="E251" s="24" t="n">
        <v>310</v>
      </c>
      <c r="F251" s="103" t="e">
        <f aca="false">IF(VLOOKUP(D251;$V$2:$W$299;2;0)&lt;&gt;1;1;0)</f>
        <v>#VALUE!</v>
      </c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  <c r="R251" s="103"/>
      <c r="S251" s="103"/>
      <c r="T251" s="103"/>
      <c r="U251" s="103"/>
      <c r="V251" s="108" t="s">
        <v>306</v>
      </c>
      <c r="W251" s="109" t="n">
        <v>1</v>
      </c>
      <c r="AA251" s="106" t="n">
        <v>250</v>
      </c>
      <c r="AB251" s="106" t="n">
        <v>5</v>
      </c>
      <c r="AC251" s="107" t="s">
        <v>44</v>
      </c>
    </row>
    <row collapsed="false" customFormat="false" customHeight="false" hidden="false" ht="15" outlineLevel="0" r="252">
      <c r="A252" s="24" t="n">
        <v>205</v>
      </c>
      <c r="B252" s="53" t="e">
        <f aca="false">CONCATENATE(C252;D252)</f>
        <v>#VALUE!</v>
      </c>
      <c r="C252" s="53" t="n">
        <v>215</v>
      </c>
      <c r="D252" s="53" t="s">
        <v>136</v>
      </c>
      <c r="E252" s="24" t="n">
        <v>205</v>
      </c>
      <c r="F252" s="103" t="e">
        <f aca="false">IF(VLOOKUP(D252;$V$2:$W$299;2;0)&lt;&gt;1;1;0)</f>
        <v>#VALUE!</v>
      </c>
      <c r="G252" s="103"/>
      <c r="H252" s="103"/>
      <c r="I252" s="103"/>
      <c r="J252" s="103"/>
      <c r="K252" s="103"/>
      <c r="L252" s="103"/>
      <c r="M252" s="103"/>
      <c r="N252" s="103"/>
      <c r="O252" s="103"/>
      <c r="P252" s="103"/>
      <c r="Q252" s="103"/>
      <c r="R252" s="103"/>
      <c r="S252" s="103"/>
      <c r="T252" s="103"/>
      <c r="U252" s="103"/>
      <c r="V252" s="108" t="s">
        <v>232</v>
      </c>
      <c r="W252" s="109" t="n">
        <v>1</v>
      </c>
      <c r="AA252" s="106" t="n">
        <v>251</v>
      </c>
      <c r="AB252" s="106" t="n">
        <v>5</v>
      </c>
      <c r="AC252" s="107" t="s">
        <v>44</v>
      </c>
    </row>
    <row collapsed="false" customFormat="false" customHeight="false" hidden="false" ht="25.5" outlineLevel="0" r="253">
      <c r="A253" s="24" t="n">
        <v>107</v>
      </c>
      <c r="B253" s="53" t="e">
        <f aca="false">CONCATENATE(C253;D253)</f>
        <v>#VALUE!</v>
      </c>
      <c r="C253" s="53" t="n">
        <v>112</v>
      </c>
      <c r="D253" s="53" t="s">
        <v>267</v>
      </c>
      <c r="E253" s="24" t="n">
        <v>107</v>
      </c>
      <c r="F253" s="103" t="e">
        <f aca="false">IF(VLOOKUP(D253;$V$2:$W$299;2;0)&lt;&gt;1;1;0)</f>
        <v>#VALUE!</v>
      </c>
      <c r="G253" s="103"/>
      <c r="H253" s="103"/>
      <c r="I253" s="103"/>
      <c r="J253" s="103"/>
      <c r="K253" s="103"/>
      <c r="L253" s="103"/>
      <c r="M253" s="103"/>
      <c r="N253" s="103"/>
      <c r="O253" s="103"/>
      <c r="P253" s="103"/>
      <c r="Q253" s="103"/>
      <c r="R253" s="103"/>
      <c r="S253" s="103"/>
      <c r="T253" s="103"/>
      <c r="U253" s="103"/>
      <c r="V253" s="108" t="s">
        <v>289</v>
      </c>
      <c r="W253" s="109" t="n">
        <v>1</v>
      </c>
      <c r="AA253" s="106" t="n">
        <v>252</v>
      </c>
      <c r="AB253" s="106" t="n">
        <v>5</v>
      </c>
      <c r="AC253" s="107" t="s">
        <v>44</v>
      </c>
    </row>
    <row collapsed="false" customFormat="false" customHeight="false" hidden="false" ht="15" outlineLevel="0" r="254">
      <c r="A254" s="24" t="n">
        <v>48</v>
      </c>
      <c r="B254" s="53" t="e">
        <f aca="false">CONCATENATE(C254;D254)</f>
        <v>#VALUE!</v>
      </c>
      <c r="C254" s="53" t="n">
        <v>48</v>
      </c>
      <c r="D254" s="53" t="s">
        <v>65</v>
      </c>
      <c r="E254" s="24" t="n">
        <v>48</v>
      </c>
      <c r="F254" s="103" t="e">
        <f aca="false">IF(VLOOKUP(D254;$V$2:$W$299;2;0)&lt;&gt;1;1;0)</f>
        <v>#VALUE!</v>
      </c>
      <c r="G254" s="103"/>
      <c r="H254" s="103"/>
      <c r="I254" s="103"/>
      <c r="J254" s="103"/>
      <c r="K254" s="103"/>
      <c r="L254" s="103"/>
      <c r="M254" s="103"/>
      <c r="N254" s="103"/>
      <c r="O254" s="103"/>
      <c r="P254" s="103"/>
      <c r="Q254" s="103"/>
      <c r="R254" s="103"/>
      <c r="S254" s="103"/>
      <c r="T254" s="103"/>
      <c r="U254" s="103"/>
      <c r="V254" s="108" t="s">
        <v>318</v>
      </c>
      <c r="W254" s="109" t="n">
        <v>1</v>
      </c>
      <c r="AA254" s="106" t="n">
        <v>253</v>
      </c>
      <c r="AB254" s="106" t="n">
        <v>5</v>
      </c>
      <c r="AC254" s="107" t="s">
        <v>44</v>
      </c>
    </row>
    <row collapsed="false" customFormat="false" customHeight="false" hidden="false" ht="25.5" outlineLevel="0" r="255">
      <c r="A255" s="24" t="n">
        <v>237</v>
      </c>
      <c r="B255" s="53" t="e">
        <f aca="false">CONCATENATE(C255;D255)</f>
        <v>#VALUE!</v>
      </c>
      <c r="C255" s="53" t="n">
        <v>248</v>
      </c>
      <c r="D255" s="53" t="s">
        <v>235</v>
      </c>
      <c r="E255" s="24" t="n">
        <v>237</v>
      </c>
      <c r="F255" s="103" t="e">
        <f aca="false">IF(VLOOKUP(D255;$V$2:$W$299;2;0)&lt;&gt;1;1;0)</f>
        <v>#VALUE!</v>
      </c>
      <c r="G255" s="103"/>
      <c r="H255" s="103"/>
      <c r="I255" s="103"/>
      <c r="J255" s="103"/>
      <c r="K255" s="103"/>
      <c r="L255" s="103"/>
      <c r="M255" s="103"/>
      <c r="N255" s="103"/>
      <c r="O255" s="103"/>
      <c r="P255" s="103"/>
      <c r="Q255" s="103"/>
      <c r="R255" s="103"/>
      <c r="S255" s="103"/>
      <c r="T255" s="103"/>
      <c r="U255" s="103"/>
      <c r="V255" s="108" t="s">
        <v>107</v>
      </c>
      <c r="W255" s="109" t="n">
        <v>1</v>
      </c>
      <c r="AA255" s="106" t="n">
        <v>254</v>
      </c>
      <c r="AB255" s="106" t="n">
        <v>5</v>
      </c>
      <c r="AC255" s="107" t="s">
        <v>44</v>
      </c>
    </row>
    <row collapsed="false" customFormat="false" customHeight="false" hidden="false" ht="15" outlineLevel="0" r="256">
      <c r="A256" s="24" t="n">
        <v>263</v>
      </c>
      <c r="B256" s="53" t="e">
        <f aca="false">CONCATENATE(C256;D256)</f>
        <v>#VALUE!</v>
      </c>
      <c r="C256" s="53" t="n">
        <v>276</v>
      </c>
      <c r="D256" s="53" t="s">
        <v>223</v>
      </c>
      <c r="E256" s="24" t="n">
        <v>263</v>
      </c>
      <c r="F256" s="103" t="e">
        <f aca="false">IF(VLOOKUP(D256;$V$2:$W$299;2;0)&lt;&gt;1;1;0)</f>
        <v>#VALUE!</v>
      </c>
      <c r="G256" s="103"/>
      <c r="H256" s="103"/>
      <c r="I256" s="103"/>
      <c r="J256" s="103"/>
      <c r="K256" s="103"/>
      <c r="L256" s="103"/>
      <c r="M256" s="103"/>
      <c r="N256" s="103"/>
      <c r="O256" s="103"/>
      <c r="P256" s="103"/>
      <c r="Q256" s="103"/>
      <c r="R256" s="103"/>
      <c r="S256" s="103"/>
      <c r="T256" s="103"/>
      <c r="U256" s="103"/>
      <c r="V256" s="108" t="s">
        <v>308</v>
      </c>
      <c r="W256" s="109" t="n">
        <v>1</v>
      </c>
      <c r="AA256" s="106" t="n">
        <v>255</v>
      </c>
      <c r="AB256" s="106" t="n">
        <v>5</v>
      </c>
      <c r="AC256" s="107" t="s">
        <v>44</v>
      </c>
    </row>
    <row collapsed="false" customFormat="false" customHeight="false" hidden="false" ht="15" outlineLevel="0" r="257">
      <c r="A257" s="24" t="n">
        <v>100</v>
      </c>
      <c r="B257" s="53" t="e">
        <f aca="false">CONCATENATE(C257;D257)</f>
        <v>#VALUE!</v>
      </c>
      <c r="C257" s="53" t="n">
        <v>105</v>
      </c>
      <c r="D257" s="53" t="s">
        <v>157</v>
      </c>
      <c r="E257" s="24" t="n">
        <v>100</v>
      </c>
      <c r="F257" s="103" t="e">
        <f aca="false">IF(VLOOKUP(D257;$V$2:$W$299;2;0)&lt;&gt;1;1;0)</f>
        <v>#VALUE!</v>
      </c>
      <c r="G257" s="103"/>
      <c r="H257" s="103"/>
      <c r="I257" s="103"/>
      <c r="J257" s="103"/>
      <c r="K257" s="103"/>
      <c r="L257" s="103"/>
      <c r="M257" s="103"/>
      <c r="N257" s="103"/>
      <c r="O257" s="103"/>
      <c r="P257" s="103"/>
      <c r="Q257" s="103"/>
      <c r="R257" s="103"/>
      <c r="S257" s="103"/>
      <c r="T257" s="103"/>
      <c r="U257" s="103"/>
      <c r="V257" s="108" t="s">
        <v>137</v>
      </c>
      <c r="W257" s="109" t="n">
        <v>1</v>
      </c>
      <c r="AA257" s="106" t="n">
        <v>256</v>
      </c>
      <c r="AB257" s="106" t="n">
        <v>5</v>
      </c>
      <c r="AC257" s="107" t="s">
        <v>44</v>
      </c>
    </row>
    <row collapsed="false" customFormat="false" customHeight="false" hidden="false" ht="15" outlineLevel="0" r="258">
      <c r="A258" s="24" t="n">
        <v>131</v>
      </c>
      <c r="B258" s="53" t="e">
        <f aca="false">CONCATENATE(C258;D258)</f>
        <v>#VALUE!</v>
      </c>
      <c r="C258" s="53" t="n">
        <v>138</v>
      </c>
      <c r="D258" s="53" t="s">
        <v>243</v>
      </c>
      <c r="E258" s="24" t="n">
        <v>131</v>
      </c>
      <c r="F258" s="103" t="e">
        <f aca="false">IF(VLOOKUP(D258;$V$2:$W$299;2;0)&lt;&gt;1;1;0)</f>
        <v>#VALUE!</v>
      </c>
      <c r="G258" s="103"/>
      <c r="H258" s="103"/>
      <c r="I258" s="103"/>
      <c r="J258" s="103"/>
      <c r="K258" s="103"/>
      <c r="L258" s="103"/>
      <c r="M258" s="103"/>
      <c r="N258" s="103"/>
      <c r="O258" s="103"/>
      <c r="P258" s="103"/>
      <c r="Q258" s="103"/>
      <c r="R258" s="103"/>
      <c r="S258" s="103"/>
      <c r="T258" s="103"/>
      <c r="U258" s="103"/>
      <c r="V258" s="108" t="s">
        <v>64</v>
      </c>
      <c r="W258" s="109" t="n">
        <v>1</v>
      </c>
      <c r="AA258" s="106" t="n">
        <v>257</v>
      </c>
      <c r="AB258" s="106" t="n">
        <v>5</v>
      </c>
      <c r="AC258" s="107" t="s">
        <v>44</v>
      </c>
    </row>
    <row collapsed="false" customFormat="false" customHeight="false" hidden="false" ht="25.5" outlineLevel="0" r="259">
      <c r="A259" s="24" t="n">
        <v>183</v>
      </c>
      <c r="B259" s="53" t="e">
        <f aca="false">CONCATENATE(C259;D259)</f>
        <v>#VALUE!</v>
      </c>
      <c r="C259" s="53" t="n">
        <v>192</v>
      </c>
      <c r="D259" s="53" t="s">
        <v>32</v>
      </c>
      <c r="E259" s="24" t="n">
        <v>183</v>
      </c>
      <c r="F259" s="103" t="e">
        <f aca="false">IF(VLOOKUP(D259;$V$2:$W$299;2;0)&lt;&gt;1;1;0)</f>
        <v>#VALUE!</v>
      </c>
      <c r="G259" s="103"/>
      <c r="H259" s="103"/>
      <c r="I259" s="103"/>
      <c r="J259" s="103"/>
      <c r="K259" s="103"/>
      <c r="L259" s="103"/>
      <c r="M259" s="103"/>
      <c r="N259" s="103"/>
      <c r="O259" s="103"/>
      <c r="P259" s="103"/>
      <c r="Q259" s="103"/>
      <c r="R259" s="103"/>
      <c r="S259" s="103"/>
      <c r="T259" s="103"/>
      <c r="U259" s="103"/>
      <c r="V259" s="108" t="s">
        <v>265</v>
      </c>
      <c r="W259" s="109" t="n">
        <v>1</v>
      </c>
      <c r="AA259" s="106" t="n">
        <v>258</v>
      </c>
      <c r="AB259" s="106" t="n">
        <v>5</v>
      </c>
      <c r="AC259" s="107" t="s">
        <v>44</v>
      </c>
    </row>
    <row collapsed="false" customFormat="false" customHeight="false" hidden="false" ht="25.5" outlineLevel="0" r="260">
      <c r="A260" s="24" t="n">
        <v>183</v>
      </c>
      <c r="B260" s="53" t="e">
        <f aca="false">CONCATENATE(C260;D260)</f>
        <v>#VALUE!</v>
      </c>
      <c r="C260" s="53" t="n">
        <v>191</v>
      </c>
      <c r="D260" s="53" t="s">
        <v>32</v>
      </c>
      <c r="E260" s="24" t="n">
        <v>183</v>
      </c>
      <c r="F260" s="103" t="e">
        <f aca="false">IF(VLOOKUP(D260;$V$2:$W$299;2;0)&lt;&gt;1;1;0)</f>
        <v>#VALUE!</v>
      </c>
      <c r="G260" s="103"/>
      <c r="H260" s="103"/>
      <c r="I260" s="103"/>
      <c r="J260" s="103"/>
      <c r="K260" s="103"/>
      <c r="L260" s="103"/>
      <c r="M260" s="103"/>
      <c r="N260" s="103"/>
      <c r="O260" s="103"/>
      <c r="P260" s="103"/>
      <c r="Q260" s="103"/>
      <c r="R260" s="103"/>
      <c r="S260" s="103"/>
      <c r="T260" s="103"/>
      <c r="U260" s="103"/>
      <c r="V260" s="108" t="s">
        <v>254</v>
      </c>
      <c r="W260" s="109" t="n">
        <v>1</v>
      </c>
      <c r="AA260" s="106" t="n">
        <v>259</v>
      </c>
      <c r="AB260" s="106" t="n">
        <v>5</v>
      </c>
      <c r="AC260" s="107" t="s">
        <v>44</v>
      </c>
    </row>
    <row collapsed="false" customFormat="false" customHeight="false" hidden="false" ht="15" outlineLevel="0" r="261">
      <c r="A261" s="24" t="n">
        <v>21</v>
      </c>
      <c r="B261" s="53" t="e">
        <f aca="false">CONCATENATE(C261;D261)</f>
        <v>#VALUE!</v>
      </c>
      <c r="C261" s="53" t="n">
        <v>21</v>
      </c>
      <c r="D261" s="53" t="s">
        <v>199</v>
      </c>
      <c r="E261" s="24" t="n">
        <v>21</v>
      </c>
      <c r="F261" s="103" t="e">
        <f aca="false">IF(VLOOKUP(D261;$V$2:$W$299;2;0)&lt;&gt;1;1;0)</f>
        <v>#VALUE!</v>
      </c>
      <c r="G261" s="103"/>
      <c r="H261" s="103"/>
      <c r="I261" s="103"/>
      <c r="J261" s="103"/>
      <c r="K261" s="103"/>
      <c r="L261" s="103"/>
      <c r="M261" s="103"/>
      <c r="N261" s="103"/>
      <c r="O261" s="103"/>
      <c r="P261" s="103"/>
      <c r="Q261" s="103"/>
      <c r="R261" s="103"/>
      <c r="S261" s="103"/>
      <c r="T261" s="103"/>
      <c r="U261" s="103"/>
      <c r="V261" s="108" t="s">
        <v>141</v>
      </c>
      <c r="W261" s="109" t="n">
        <v>1</v>
      </c>
      <c r="AA261" s="106" t="n">
        <v>260</v>
      </c>
      <c r="AB261" s="106" t="n">
        <v>5</v>
      </c>
      <c r="AC261" s="107" t="s">
        <v>44</v>
      </c>
    </row>
    <row collapsed="false" customFormat="false" customHeight="false" hidden="false" ht="25.5" outlineLevel="0" r="262">
      <c r="A262" s="24" t="n">
        <v>298</v>
      </c>
      <c r="B262" s="53" t="e">
        <f aca="false">CONCATENATE(C262;D262)</f>
        <v>#VALUE!</v>
      </c>
      <c r="C262" s="53" t="n">
        <v>313</v>
      </c>
      <c r="D262" s="53" t="s">
        <v>278</v>
      </c>
      <c r="E262" s="24" t="n">
        <v>298</v>
      </c>
      <c r="F262" s="103" t="e">
        <f aca="false">IF(VLOOKUP(D262;$V$2:$W$299;2;0)&lt;&gt;1;1;0)</f>
        <v>#VALUE!</v>
      </c>
      <c r="G262" s="103"/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  <c r="R262" s="103"/>
      <c r="S262" s="103"/>
      <c r="T262" s="103"/>
      <c r="U262" s="103"/>
      <c r="V262" s="108" t="s">
        <v>194</v>
      </c>
      <c r="W262" s="109" t="n">
        <v>1</v>
      </c>
      <c r="AA262" s="106" t="n">
        <v>261</v>
      </c>
      <c r="AB262" s="106" t="n">
        <v>9</v>
      </c>
      <c r="AC262" s="107" t="s">
        <v>70</v>
      </c>
    </row>
    <row collapsed="false" customFormat="false" customHeight="false" hidden="false" ht="25.5" outlineLevel="0" r="263">
      <c r="A263" s="24" t="n">
        <v>91</v>
      </c>
      <c r="B263" s="53" t="e">
        <f aca="false">CONCATENATE(C263;D263)</f>
        <v>#VALUE!</v>
      </c>
      <c r="C263" s="53" t="n">
        <v>96</v>
      </c>
      <c r="D263" s="53" t="s">
        <v>58</v>
      </c>
      <c r="E263" s="24" t="n">
        <v>91</v>
      </c>
      <c r="F263" s="103" t="e">
        <f aca="false">IF(VLOOKUP(D263;$V$2:$W$299;2;0)&lt;&gt;1;1;0)</f>
        <v>#VALUE!</v>
      </c>
      <c r="G263" s="103"/>
      <c r="H263" s="103"/>
      <c r="I263" s="103"/>
      <c r="J263" s="103"/>
      <c r="K263" s="103"/>
      <c r="L263" s="103"/>
      <c r="M263" s="103"/>
      <c r="N263" s="103"/>
      <c r="O263" s="103"/>
      <c r="P263" s="103"/>
      <c r="Q263" s="103"/>
      <c r="R263" s="103"/>
      <c r="S263" s="103"/>
      <c r="T263" s="103"/>
      <c r="U263" s="103"/>
      <c r="V263" s="108" t="s">
        <v>246</v>
      </c>
      <c r="W263" s="109" t="n">
        <v>1</v>
      </c>
      <c r="AA263" s="106" t="n">
        <v>262</v>
      </c>
      <c r="AB263" s="106" t="n">
        <v>9</v>
      </c>
      <c r="AC263" s="107" t="s">
        <v>70</v>
      </c>
    </row>
    <row collapsed="false" customFormat="false" customHeight="false" hidden="false" ht="15" outlineLevel="0" r="264">
      <c r="A264" s="24" t="n">
        <v>54</v>
      </c>
      <c r="B264" s="53" t="e">
        <f aca="false">CONCATENATE(C264;D264)</f>
        <v>#VALUE!</v>
      </c>
      <c r="C264" s="53" t="n">
        <v>56</v>
      </c>
      <c r="D264" s="53" t="s">
        <v>205</v>
      </c>
      <c r="E264" s="24" t="n">
        <v>54</v>
      </c>
      <c r="F264" s="103" t="e">
        <f aca="false">IF(VLOOKUP(D264;$V$2:$W$299;2;0)&lt;&gt;1;1;0)</f>
        <v>#VALUE!</v>
      </c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  <c r="R264" s="103"/>
      <c r="S264" s="103"/>
      <c r="T264" s="103"/>
      <c r="U264" s="103"/>
      <c r="V264" s="108" t="s">
        <v>323</v>
      </c>
      <c r="W264" s="109" t="n">
        <v>1</v>
      </c>
      <c r="AA264" s="106" t="n">
        <v>263</v>
      </c>
      <c r="AB264" s="106" t="n">
        <v>9</v>
      </c>
      <c r="AC264" s="107" t="s">
        <v>70</v>
      </c>
    </row>
    <row collapsed="false" customFormat="false" customHeight="false" hidden="false" ht="15" outlineLevel="0" r="265">
      <c r="A265" s="24" t="n">
        <v>317</v>
      </c>
      <c r="B265" s="53" t="e">
        <f aca="false">CONCATENATE(C265;D265)</f>
        <v>#VALUE!</v>
      </c>
      <c r="C265" s="53" t="s">
        <v>624</v>
      </c>
      <c r="D265" s="53" t="s">
        <v>205</v>
      </c>
      <c r="E265" s="24" t="n">
        <v>317</v>
      </c>
      <c r="F265" s="103" t="e">
        <f aca="false">IF(VLOOKUP(D265;$V$2:$W$299;2;0)&lt;&gt;1;1;0)</f>
        <v>#VALUE!</v>
      </c>
      <c r="G265" s="103"/>
      <c r="H265" s="103"/>
      <c r="I265" s="103"/>
      <c r="J265" s="103"/>
      <c r="K265" s="103"/>
      <c r="L265" s="103"/>
      <c r="M265" s="103"/>
      <c r="N265" s="103"/>
      <c r="O265" s="103"/>
      <c r="P265" s="103"/>
      <c r="Q265" s="103"/>
      <c r="R265" s="103"/>
      <c r="S265" s="103"/>
      <c r="T265" s="103"/>
      <c r="U265" s="103"/>
      <c r="V265" s="108" t="s">
        <v>201</v>
      </c>
      <c r="W265" s="109" t="n">
        <v>1</v>
      </c>
      <c r="AA265" s="106" t="n">
        <v>264</v>
      </c>
      <c r="AB265" s="106" t="n">
        <v>9</v>
      </c>
      <c r="AC265" s="107" t="s">
        <v>70</v>
      </c>
    </row>
    <row collapsed="false" customFormat="false" customHeight="false" hidden="false" ht="15" outlineLevel="0" r="266">
      <c r="A266" s="24" t="n">
        <v>268</v>
      </c>
      <c r="B266" s="53" t="e">
        <f aca="false">CONCATENATE(C266;D266)</f>
        <v>#VALUE!</v>
      </c>
      <c r="C266" s="53" t="n">
        <v>281</v>
      </c>
      <c r="D266" s="53" t="s">
        <v>200</v>
      </c>
      <c r="E266" s="24" t="n">
        <v>268</v>
      </c>
      <c r="F266" s="103" t="e">
        <f aca="false">IF(VLOOKUP(D266;$V$2:$W$299;2;0)&lt;&gt;1;1;0)</f>
        <v>#VALUE!</v>
      </c>
      <c r="G266" s="103"/>
      <c r="H266" s="103"/>
      <c r="I266" s="103"/>
      <c r="J266" s="103"/>
      <c r="K266" s="103"/>
      <c r="L266" s="103"/>
      <c r="M266" s="103"/>
      <c r="N266" s="103"/>
      <c r="O266" s="103"/>
      <c r="P266" s="103"/>
      <c r="Q266" s="103"/>
      <c r="R266" s="103"/>
      <c r="S266" s="103"/>
      <c r="T266" s="103"/>
      <c r="U266" s="103"/>
      <c r="V266" s="108" t="s">
        <v>147</v>
      </c>
      <c r="W266" s="109" t="n">
        <v>1</v>
      </c>
      <c r="AA266" s="106" t="n">
        <v>265</v>
      </c>
      <c r="AB266" s="106" t="n">
        <v>9</v>
      </c>
      <c r="AC266" s="107" t="s">
        <v>70</v>
      </c>
    </row>
    <row collapsed="false" customFormat="false" customHeight="false" hidden="false" ht="15" outlineLevel="0" r="267">
      <c r="A267" s="24" t="n">
        <v>172</v>
      </c>
      <c r="B267" s="53" t="e">
        <f aca="false">CONCATENATE(C267;D267)</f>
        <v>#VALUE!</v>
      </c>
      <c r="C267" s="53" t="n">
        <v>180</v>
      </c>
      <c r="D267" s="53" t="s">
        <v>47</v>
      </c>
      <c r="E267" s="24" t="n">
        <v>172</v>
      </c>
      <c r="F267" s="103" t="e">
        <f aca="false">IF(VLOOKUP(D267;$V$2:$W$299;2;0)&lt;&gt;1;1;0)</f>
        <v>#VALUE!</v>
      </c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  <c r="Q267" s="103"/>
      <c r="R267" s="103"/>
      <c r="S267" s="103"/>
      <c r="T267" s="103"/>
      <c r="U267" s="103"/>
      <c r="V267" s="108" t="s">
        <v>297</v>
      </c>
      <c r="W267" s="109" t="n">
        <v>1</v>
      </c>
      <c r="AA267" s="106" t="n">
        <v>266</v>
      </c>
      <c r="AB267" s="106" t="n">
        <v>9</v>
      </c>
      <c r="AC267" s="107" t="s">
        <v>70</v>
      </c>
    </row>
    <row collapsed="false" customFormat="false" customHeight="false" hidden="false" ht="15" outlineLevel="0" r="268">
      <c r="A268" s="24" t="n">
        <v>116</v>
      </c>
      <c r="B268" s="53" t="e">
        <f aca="false">CONCATENATE(C268;D268)</f>
        <v>#VALUE!</v>
      </c>
      <c r="C268" s="53" t="n">
        <v>121</v>
      </c>
      <c r="D268" s="53" t="s">
        <v>237</v>
      </c>
      <c r="E268" s="24" t="n">
        <v>116</v>
      </c>
      <c r="F268" s="103" t="e">
        <f aca="false">IF(VLOOKUP(D268;$V$2:$W$299;2;0)&lt;&gt;1;1;0)</f>
        <v>#VALUE!</v>
      </c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  <c r="Q268" s="103"/>
      <c r="R268" s="103"/>
      <c r="S268" s="103"/>
      <c r="T268" s="103"/>
      <c r="U268" s="103"/>
      <c r="V268" s="108" t="s">
        <v>256</v>
      </c>
      <c r="W268" s="109" t="n">
        <v>1</v>
      </c>
      <c r="AA268" s="106" t="n">
        <v>267</v>
      </c>
      <c r="AB268" s="106" t="n">
        <v>9</v>
      </c>
      <c r="AC268" s="107" t="s">
        <v>70</v>
      </c>
    </row>
    <row collapsed="false" customFormat="false" customHeight="false" hidden="false" ht="15" outlineLevel="0" r="269">
      <c r="A269" s="24" t="n">
        <v>57</v>
      </c>
      <c r="B269" s="53" t="e">
        <f aca="false">CONCATENATE(C269;D269)</f>
        <v>#VALUE!</v>
      </c>
      <c r="C269" s="53" t="n">
        <v>59</v>
      </c>
      <c r="D269" s="53" t="s">
        <v>153</v>
      </c>
      <c r="E269" s="24" t="n">
        <v>57</v>
      </c>
      <c r="F269" s="103" t="e">
        <f aca="false">IF(VLOOKUP(D269;$V$2:$W$299;2;0)&lt;&gt;1;1;0)</f>
        <v>#VALUE!</v>
      </c>
      <c r="G269" s="103"/>
      <c r="H269" s="103"/>
      <c r="I269" s="103"/>
      <c r="J269" s="103"/>
      <c r="K269" s="103"/>
      <c r="L269" s="103"/>
      <c r="M269" s="103"/>
      <c r="N269" s="103"/>
      <c r="O269" s="103"/>
      <c r="P269" s="103"/>
      <c r="Q269" s="103"/>
      <c r="R269" s="103"/>
      <c r="S269" s="103"/>
      <c r="T269" s="103"/>
      <c r="U269" s="103"/>
      <c r="V269" s="108" t="s">
        <v>198</v>
      </c>
      <c r="W269" s="109" t="n">
        <v>1</v>
      </c>
      <c r="AA269" s="106" t="n">
        <v>268</v>
      </c>
      <c r="AB269" s="106" t="n">
        <v>9</v>
      </c>
      <c r="AC269" s="107" t="s">
        <v>70</v>
      </c>
    </row>
    <row collapsed="false" customFormat="false" customHeight="false" hidden="false" ht="15" outlineLevel="0" r="270">
      <c r="A270" s="24" t="n">
        <v>46</v>
      </c>
      <c r="B270" s="53" t="e">
        <f aca="false">CONCATENATE(C270;D270)</f>
        <v>#VALUE!</v>
      </c>
      <c r="C270" s="53" t="n">
        <v>46</v>
      </c>
      <c r="D270" s="53" t="s">
        <v>121</v>
      </c>
      <c r="E270" s="24" t="n">
        <v>46</v>
      </c>
      <c r="F270" s="103" t="e">
        <f aca="false">IF(VLOOKUP(D270;$V$2:$W$299;2;0)&lt;&gt;1;1;0)</f>
        <v>#VALUE!</v>
      </c>
      <c r="G270" s="103"/>
      <c r="H270" s="103"/>
      <c r="I270" s="103"/>
      <c r="J270" s="103"/>
      <c r="K270" s="103"/>
      <c r="L270" s="103"/>
      <c r="M270" s="103"/>
      <c r="N270" s="103"/>
      <c r="O270" s="103"/>
      <c r="P270" s="103"/>
      <c r="Q270" s="103"/>
      <c r="R270" s="103"/>
      <c r="S270" s="103"/>
      <c r="T270" s="103"/>
      <c r="U270" s="103"/>
      <c r="V270" s="108" t="s">
        <v>111</v>
      </c>
      <c r="W270" s="109" t="n">
        <v>1</v>
      </c>
      <c r="AA270" s="106" t="n">
        <v>269</v>
      </c>
      <c r="AB270" s="106" t="n">
        <v>9</v>
      </c>
      <c r="AC270" s="107" t="s">
        <v>70</v>
      </c>
    </row>
    <row collapsed="false" customFormat="false" customHeight="false" hidden="false" ht="15" outlineLevel="0" r="271">
      <c r="A271" s="24" t="n">
        <v>73</v>
      </c>
      <c r="B271" s="53" t="e">
        <f aca="false">CONCATENATE(C271;D271)</f>
        <v>#VALUE!</v>
      </c>
      <c r="C271" s="53" t="n">
        <v>79</v>
      </c>
      <c r="D271" s="53" t="s">
        <v>148</v>
      </c>
      <c r="E271" s="24" t="n">
        <v>73</v>
      </c>
      <c r="F271" s="103" t="e">
        <f aca="false">IF(VLOOKUP(D271;$V$2:$W$299;2;0)&lt;&gt;1;1;0)</f>
        <v>#VALUE!</v>
      </c>
      <c r="G271" s="103"/>
      <c r="H271" s="103"/>
      <c r="I271" s="103"/>
      <c r="J271" s="103"/>
      <c r="K271" s="103"/>
      <c r="L271" s="103"/>
      <c r="M271" s="103"/>
      <c r="N271" s="103"/>
      <c r="O271" s="103"/>
      <c r="P271" s="103"/>
      <c r="Q271" s="103"/>
      <c r="R271" s="103"/>
      <c r="S271" s="103"/>
      <c r="T271" s="103"/>
      <c r="U271" s="103"/>
      <c r="V271" s="108" t="s">
        <v>260</v>
      </c>
      <c r="W271" s="109" t="n">
        <v>1</v>
      </c>
      <c r="AA271" s="106" t="n">
        <v>270</v>
      </c>
      <c r="AB271" s="106" t="n">
        <v>9</v>
      </c>
      <c r="AC271" s="107" t="s">
        <v>70</v>
      </c>
    </row>
    <row collapsed="false" customFormat="false" customHeight="false" hidden="false" ht="15" outlineLevel="0" r="272">
      <c r="A272" s="24" t="n">
        <v>162</v>
      </c>
      <c r="B272" s="53" t="e">
        <f aca="false">CONCATENATE(C272;D272)</f>
        <v>#VALUE!</v>
      </c>
      <c r="C272" s="53" t="n">
        <v>170</v>
      </c>
      <c r="D272" s="53" t="s">
        <v>306</v>
      </c>
      <c r="E272" s="24" t="n">
        <v>162</v>
      </c>
      <c r="F272" s="103" t="e">
        <f aca="false">IF(VLOOKUP(D272;$V$2:$W$299;2;0)&lt;&gt;1;1;0)</f>
        <v>#VALUE!</v>
      </c>
      <c r="G272" s="103"/>
      <c r="H272" s="103"/>
      <c r="I272" s="103"/>
      <c r="J272" s="103"/>
      <c r="K272" s="103"/>
      <c r="L272" s="103"/>
      <c r="M272" s="103"/>
      <c r="N272" s="103"/>
      <c r="O272" s="103"/>
      <c r="P272" s="103"/>
      <c r="Q272" s="103"/>
      <c r="R272" s="103"/>
      <c r="S272" s="103"/>
      <c r="T272" s="103"/>
      <c r="U272" s="103"/>
      <c r="V272" s="108" t="s">
        <v>234</v>
      </c>
      <c r="W272" s="109" t="n">
        <v>1</v>
      </c>
      <c r="AA272" s="106" t="n">
        <v>271</v>
      </c>
      <c r="AB272" s="106" t="n">
        <v>9</v>
      </c>
      <c r="AC272" s="107" t="s">
        <v>70</v>
      </c>
    </row>
    <row collapsed="false" customFormat="false" customHeight="false" hidden="false" ht="15" outlineLevel="0" r="273">
      <c r="A273" s="24" t="n">
        <v>252</v>
      </c>
      <c r="B273" s="53" t="e">
        <f aca="false">CONCATENATE(C273;D273)</f>
        <v>#VALUE!</v>
      </c>
      <c r="C273" s="53" t="n">
        <v>264</v>
      </c>
      <c r="D273" s="53" t="s">
        <v>171</v>
      </c>
      <c r="E273" s="24" t="n">
        <v>252</v>
      </c>
      <c r="F273" s="103" t="e">
        <f aca="false">IF(VLOOKUP(D273;$V$2:$W$299;2;0)&lt;&gt;1;1;0)</f>
        <v>#VALUE!</v>
      </c>
      <c r="G273" s="103"/>
      <c r="H273" s="103"/>
      <c r="I273" s="103"/>
      <c r="J273" s="103"/>
      <c r="K273" s="103"/>
      <c r="L273" s="103"/>
      <c r="M273" s="103"/>
      <c r="N273" s="103"/>
      <c r="O273" s="103"/>
      <c r="P273" s="103"/>
      <c r="Q273" s="103"/>
      <c r="R273" s="103"/>
      <c r="S273" s="103"/>
      <c r="T273" s="103"/>
      <c r="U273" s="103"/>
      <c r="V273" s="108" t="s">
        <v>178</v>
      </c>
      <c r="W273" s="109" t="n">
        <v>1</v>
      </c>
      <c r="AA273" s="106" t="n">
        <v>272</v>
      </c>
      <c r="AB273" s="106" t="n">
        <v>9</v>
      </c>
      <c r="AC273" s="107" t="s">
        <v>70</v>
      </c>
    </row>
    <row collapsed="false" customFormat="false" customHeight="false" hidden="false" ht="15" outlineLevel="0" r="274">
      <c r="A274" s="24" t="n">
        <v>252</v>
      </c>
      <c r="B274" s="53" t="e">
        <f aca="false">CONCATENATE(C274;D274)</f>
        <v>#VALUE!</v>
      </c>
      <c r="C274" s="53" t="n">
        <v>263</v>
      </c>
      <c r="D274" s="53" t="s">
        <v>171</v>
      </c>
      <c r="E274" s="24" t="n">
        <v>252</v>
      </c>
      <c r="F274" s="103" t="e">
        <f aca="false">IF(VLOOKUP(D274;$V$2:$W$299;2;0)&lt;&gt;1;1;0)</f>
        <v>#VALUE!</v>
      </c>
      <c r="G274" s="103"/>
      <c r="H274" s="103"/>
      <c r="I274" s="103"/>
      <c r="J274" s="103"/>
      <c r="K274" s="103"/>
      <c r="L274" s="103"/>
      <c r="M274" s="103"/>
      <c r="N274" s="103"/>
      <c r="O274" s="103"/>
      <c r="P274" s="103"/>
      <c r="Q274" s="103"/>
      <c r="R274" s="103"/>
      <c r="S274" s="103"/>
      <c r="T274" s="103"/>
      <c r="U274" s="103"/>
      <c r="V274" s="108" t="s">
        <v>282</v>
      </c>
      <c r="W274" s="109" t="n">
        <v>1</v>
      </c>
      <c r="AA274" s="106" t="n">
        <v>273</v>
      </c>
      <c r="AB274" s="106" t="n">
        <v>9</v>
      </c>
      <c r="AC274" s="107" t="s">
        <v>70</v>
      </c>
    </row>
    <row collapsed="false" customFormat="false" customHeight="false" hidden="false" ht="15" outlineLevel="0" r="275">
      <c r="A275" s="24" t="n">
        <v>45</v>
      </c>
      <c r="B275" s="53" t="e">
        <f aca="false">CONCATENATE(C275;D275)</f>
        <v>#VALUE!</v>
      </c>
      <c r="C275" s="53" t="n">
        <v>45</v>
      </c>
      <c r="D275" s="53" t="s">
        <v>289</v>
      </c>
      <c r="E275" s="24" t="n">
        <v>45</v>
      </c>
      <c r="F275" s="103" t="e">
        <f aca="false">IF(VLOOKUP(D275;$V$2:$W$299;2;0)&lt;&gt;1;1;0)</f>
        <v>#VALUE!</v>
      </c>
      <c r="G275" s="103"/>
      <c r="H275" s="103"/>
      <c r="I275" s="103"/>
      <c r="J275" s="103"/>
      <c r="K275" s="103"/>
      <c r="L275" s="103"/>
      <c r="M275" s="103"/>
      <c r="N275" s="103"/>
      <c r="O275" s="103"/>
      <c r="P275" s="103"/>
      <c r="Q275" s="103"/>
      <c r="R275" s="103"/>
      <c r="S275" s="103"/>
      <c r="T275" s="103"/>
      <c r="U275" s="103"/>
      <c r="V275" s="108" t="s">
        <v>161</v>
      </c>
      <c r="W275" s="109" t="n">
        <v>1</v>
      </c>
      <c r="AA275" s="106" t="n">
        <v>274</v>
      </c>
      <c r="AB275" s="106" t="n">
        <v>9</v>
      </c>
      <c r="AC275" s="107" t="s">
        <v>70</v>
      </c>
    </row>
    <row collapsed="false" customFormat="false" customHeight="false" hidden="false" ht="15" outlineLevel="0" r="276">
      <c r="A276" s="24" t="n">
        <v>319</v>
      </c>
      <c r="B276" s="53" t="e">
        <f aca="false">CONCATENATE(C276;D276)</f>
        <v>#VALUE!</v>
      </c>
      <c r="C276" s="53" t="s">
        <v>637</v>
      </c>
      <c r="D276" s="53" t="s">
        <v>318</v>
      </c>
      <c r="E276" s="24" t="n">
        <v>319</v>
      </c>
      <c r="F276" s="103" t="e">
        <f aca="false">IF(VLOOKUP(D276;$V$2:$W$299;2;0)&lt;&gt;1;1;0)</f>
        <v>#VALUE!</v>
      </c>
      <c r="G276" s="103"/>
      <c r="H276" s="103"/>
      <c r="I276" s="103"/>
      <c r="J276" s="103"/>
      <c r="K276" s="103"/>
      <c r="L276" s="103"/>
      <c r="M276" s="103"/>
      <c r="N276" s="103"/>
      <c r="O276" s="103"/>
      <c r="P276" s="103"/>
      <c r="Q276" s="103"/>
      <c r="R276" s="103"/>
      <c r="S276" s="103"/>
      <c r="T276" s="103"/>
      <c r="U276" s="103"/>
      <c r="V276" s="108" t="s">
        <v>319</v>
      </c>
      <c r="W276" s="109" t="n">
        <v>1</v>
      </c>
      <c r="AA276" s="106" t="n">
        <v>275</v>
      </c>
      <c r="AB276" s="106" t="n">
        <v>9</v>
      </c>
      <c r="AC276" s="107" t="s">
        <v>70</v>
      </c>
    </row>
    <row collapsed="false" customFormat="false" customHeight="false" hidden="false" ht="25.5" outlineLevel="0" r="277">
      <c r="A277" s="24" t="n">
        <v>93</v>
      </c>
      <c r="B277" s="53" t="e">
        <f aca="false">CONCATENATE(C277;D277)</f>
        <v>#VALUE!</v>
      </c>
      <c r="C277" s="53" t="n">
        <v>98</v>
      </c>
      <c r="D277" s="53" t="s">
        <v>107</v>
      </c>
      <c r="E277" s="24" t="n">
        <v>93</v>
      </c>
      <c r="F277" s="103" t="e">
        <f aca="false">IF(VLOOKUP(D277;$V$2:$W$299;2;0)&lt;&gt;1;1;0)</f>
        <v>#VALUE!</v>
      </c>
      <c r="G277" s="103"/>
      <c r="H277" s="103"/>
      <c r="I277" s="103"/>
      <c r="J277" s="103"/>
      <c r="K277" s="103"/>
      <c r="L277" s="103"/>
      <c r="M277" s="103"/>
      <c r="N277" s="103"/>
      <c r="O277" s="103"/>
      <c r="P277" s="103"/>
      <c r="Q277" s="103"/>
      <c r="R277" s="103"/>
      <c r="S277" s="103"/>
      <c r="T277" s="103"/>
      <c r="U277" s="103"/>
      <c r="V277" s="108" t="s">
        <v>305</v>
      </c>
      <c r="W277" s="109" t="n">
        <v>1</v>
      </c>
      <c r="AA277" s="106" t="n">
        <v>276</v>
      </c>
      <c r="AB277" s="106" t="n">
        <v>9</v>
      </c>
      <c r="AC277" s="107" t="s">
        <v>70</v>
      </c>
    </row>
    <row collapsed="false" customFormat="false" customHeight="false" hidden="false" ht="25.5" outlineLevel="0" r="278">
      <c r="A278" s="24" t="n">
        <v>255</v>
      </c>
      <c r="B278" s="53" t="e">
        <f aca="false">CONCATENATE(C278;D278)</f>
        <v>#VALUE!</v>
      </c>
      <c r="C278" s="53" t="n">
        <v>268</v>
      </c>
      <c r="D278" s="53" t="s">
        <v>308</v>
      </c>
      <c r="E278" s="24" t="n">
        <v>255</v>
      </c>
      <c r="F278" s="103" t="e">
        <f aca="false">IF(VLOOKUP(D278;$V$2:$W$299;2;0)&lt;&gt;1;1;0)</f>
        <v>#VALUE!</v>
      </c>
      <c r="G278" s="103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  <c r="R278" s="103"/>
      <c r="S278" s="103"/>
      <c r="T278" s="103"/>
      <c r="U278" s="103"/>
      <c r="V278" s="108" t="s">
        <v>288</v>
      </c>
      <c r="W278" s="109" t="n">
        <v>1</v>
      </c>
      <c r="AA278" s="106" t="n">
        <v>277</v>
      </c>
      <c r="AB278" s="106" t="n">
        <v>9</v>
      </c>
      <c r="AC278" s="107" t="s">
        <v>70</v>
      </c>
    </row>
    <row collapsed="false" customFormat="false" customHeight="false" hidden="false" ht="15" outlineLevel="0" r="279">
      <c r="A279" s="24" t="n">
        <v>167</v>
      </c>
      <c r="B279" s="53" t="e">
        <f aca="false">CONCATENATE(C279;D279)</f>
        <v>#VALUE!</v>
      </c>
      <c r="C279" s="53" t="n">
        <v>175</v>
      </c>
      <c r="D279" s="53" t="s">
        <v>137</v>
      </c>
      <c r="E279" s="24" t="n">
        <v>167</v>
      </c>
      <c r="F279" s="103" t="e">
        <f aca="false">IF(VLOOKUP(D279;$V$2:$W$299;2;0)&lt;&gt;1;1;0)</f>
        <v>#VALUE!</v>
      </c>
      <c r="G279" s="103"/>
      <c r="H279" s="103"/>
      <c r="I279" s="103"/>
      <c r="J279" s="103"/>
      <c r="K279" s="103"/>
      <c r="L279" s="103"/>
      <c r="M279" s="103"/>
      <c r="N279" s="103"/>
      <c r="O279" s="103"/>
      <c r="P279" s="103"/>
      <c r="Q279" s="103"/>
      <c r="R279" s="103"/>
      <c r="S279" s="103"/>
      <c r="T279" s="103"/>
      <c r="U279" s="103"/>
      <c r="V279" s="108" t="s">
        <v>102</v>
      </c>
      <c r="W279" s="109" t="n">
        <v>1</v>
      </c>
      <c r="AA279" s="106" t="n">
        <v>278</v>
      </c>
      <c r="AB279" s="106" t="n">
        <v>9</v>
      </c>
      <c r="AC279" s="107" t="s">
        <v>70</v>
      </c>
    </row>
    <row collapsed="false" customFormat="false" customHeight="false" hidden="false" ht="15" outlineLevel="0" r="280">
      <c r="A280" s="24" t="n">
        <v>99</v>
      </c>
      <c r="B280" s="53" t="e">
        <f aca="false">CONCATENATE(C280;D280)</f>
        <v>#VALUE!</v>
      </c>
      <c r="C280" s="53" t="n">
        <v>104</v>
      </c>
      <c r="D280" s="53" t="s">
        <v>64</v>
      </c>
      <c r="E280" s="24" t="n">
        <v>99</v>
      </c>
      <c r="F280" s="103" t="e">
        <f aca="false">IF(VLOOKUP(D280;$V$2:$W$299;2;0)&lt;&gt;1;1;0)</f>
        <v>#VALUE!</v>
      </c>
      <c r="G280" s="103"/>
      <c r="H280" s="103"/>
      <c r="I280" s="103"/>
      <c r="J280" s="103"/>
      <c r="K280" s="103"/>
      <c r="L280" s="103"/>
      <c r="M280" s="103"/>
      <c r="N280" s="103"/>
      <c r="O280" s="103"/>
      <c r="P280" s="103"/>
      <c r="Q280" s="103"/>
      <c r="R280" s="103"/>
      <c r="S280" s="103"/>
      <c r="T280" s="103"/>
      <c r="U280" s="103"/>
      <c r="V280" s="108" t="s">
        <v>61</v>
      </c>
      <c r="W280" s="109" t="n">
        <v>1</v>
      </c>
      <c r="AA280" s="106" t="n">
        <v>279</v>
      </c>
      <c r="AB280" s="106" t="n">
        <v>9</v>
      </c>
      <c r="AC280" s="107" t="s">
        <v>70</v>
      </c>
    </row>
    <row collapsed="false" customFormat="false" customHeight="false" hidden="false" ht="15" outlineLevel="0" r="281">
      <c r="A281" s="24" t="n">
        <v>146</v>
      </c>
      <c r="B281" s="53" t="e">
        <f aca="false">CONCATENATE(C281;D281)</f>
        <v>#VALUE!</v>
      </c>
      <c r="C281" s="53" t="n">
        <v>154</v>
      </c>
      <c r="D281" s="53" t="s">
        <v>265</v>
      </c>
      <c r="E281" s="24" t="n">
        <v>146</v>
      </c>
      <c r="F281" s="103" t="e">
        <f aca="false">IF(VLOOKUP(D281;$V$2:$W$299;2;0)&lt;&gt;1;1;0)</f>
        <v>#VALUE!</v>
      </c>
      <c r="G281" s="103"/>
      <c r="H281" s="103"/>
      <c r="I281" s="103"/>
      <c r="J281" s="103"/>
      <c r="K281" s="103"/>
      <c r="L281" s="103"/>
      <c r="M281" s="103"/>
      <c r="N281" s="103"/>
      <c r="O281" s="103"/>
      <c r="P281" s="103"/>
      <c r="Q281" s="103"/>
      <c r="R281" s="103"/>
      <c r="S281" s="103"/>
      <c r="T281" s="103"/>
      <c r="U281" s="103"/>
      <c r="V281" s="108" t="s">
        <v>57</v>
      </c>
      <c r="W281" s="109" t="n">
        <v>1</v>
      </c>
      <c r="AA281" s="106" t="n">
        <v>280</v>
      </c>
      <c r="AB281" s="106" t="n">
        <v>9</v>
      </c>
      <c r="AC281" s="107" t="s">
        <v>70</v>
      </c>
    </row>
    <row collapsed="false" customFormat="false" customHeight="false" hidden="false" ht="15" outlineLevel="0" r="282">
      <c r="A282" s="24"/>
      <c r="B282" s="53"/>
      <c r="C282" s="53"/>
      <c r="D282" s="29"/>
      <c r="E282" s="24"/>
      <c r="G282" s="103"/>
      <c r="H282" s="103"/>
      <c r="I282" s="103"/>
      <c r="J282" s="103"/>
      <c r="K282" s="103"/>
      <c r="L282" s="103"/>
      <c r="M282" s="103"/>
      <c r="N282" s="103"/>
      <c r="O282" s="103"/>
      <c r="P282" s="103"/>
      <c r="Q282" s="103"/>
      <c r="R282" s="103"/>
      <c r="S282" s="103"/>
      <c r="T282" s="103"/>
      <c r="U282" s="103"/>
      <c r="V282" s="108" t="s">
        <v>251</v>
      </c>
      <c r="W282" s="109" t="n">
        <v>1</v>
      </c>
      <c r="AA282" s="106" t="n">
        <v>281</v>
      </c>
      <c r="AB282" s="106" t="n">
        <v>11</v>
      </c>
      <c r="AC282" s="107" t="s">
        <v>34</v>
      </c>
    </row>
    <row collapsed="false" customFormat="false" customHeight="false" hidden="false" ht="25.5" outlineLevel="0" r="283">
      <c r="A283" s="24" t="n">
        <v>28</v>
      </c>
      <c r="B283" s="53" t="e">
        <f aca="false">CONCATENATE(C283;D283)</f>
        <v>#VALUE!</v>
      </c>
      <c r="C283" s="53" t="n">
        <v>28</v>
      </c>
      <c r="D283" s="53" t="s">
        <v>254</v>
      </c>
      <c r="E283" s="24" t="n">
        <v>28</v>
      </c>
      <c r="F283" s="103" t="e">
        <f aca="false">IF(VLOOKUP(D283;$V$2:$W$299;2;0)&lt;&gt;1;1;0)</f>
        <v>#VALUE!</v>
      </c>
      <c r="V283" s="108" t="s">
        <v>269</v>
      </c>
      <c r="W283" s="109" t="n">
        <v>1</v>
      </c>
      <c r="AA283" s="106" t="n">
        <v>282</v>
      </c>
      <c r="AB283" s="106" t="n">
        <v>11</v>
      </c>
      <c r="AC283" s="107" t="s">
        <v>34</v>
      </c>
    </row>
    <row collapsed="false" customFormat="false" customHeight="false" hidden="false" ht="15" outlineLevel="0" r="284">
      <c r="A284" s="24" t="n">
        <v>27</v>
      </c>
      <c r="B284" s="53" t="e">
        <f aca="false">CONCATENATE(C284;D284)</f>
        <v>#VALUE!</v>
      </c>
      <c r="C284" s="53" t="n">
        <v>27</v>
      </c>
      <c r="D284" s="53" t="s">
        <v>141</v>
      </c>
      <c r="E284" s="24" t="n">
        <v>27</v>
      </c>
      <c r="F284" s="103" t="e">
        <f aca="false">IF(VLOOKUP(D284;$V$2:$W$299;2;0)&lt;&gt;1;1;0)</f>
        <v>#VALUE!</v>
      </c>
      <c r="V284" s="108" t="s">
        <v>285</v>
      </c>
      <c r="W284" s="109" t="n">
        <v>1</v>
      </c>
      <c r="AA284" s="106" t="n">
        <v>283</v>
      </c>
      <c r="AB284" s="106" t="n">
        <v>11</v>
      </c>
      <c r="AC284" s="107" t="s">
        <v>34</v>
      </c>
    </row>
    <row collapsed="false" customFormat="false" customHeight="false" hidden="false" ht="15" outlineLevel="0" r="285">
      <c r="A285" s="24" t="n">
        <v>135</v>
      </c>
      <c r="B285" s="53" t="e">
        <f aca="false">CONCATENATE(C285;D285)</f>
        <v>#VALUE!</v>
      </c>
      <c r="C285" s="53" t="s">
        <v>647</v>
      </c>
      <c r="D285" s="53" t="s">
        <v>60</v>
      </c>
      <c r="E285" s="24" t="n">
        <v>135</v>
      </c>
      <c r="F285" s="103" t="e">
        <f aca="false">IF(VLOOKUP(D285;$V$2:$W$299;2;0)&lt;&gt;1;1;0)</f>
        <v>#VALUE!</v>
      </c>
      <c r="V285" s="108" t="s">
        <v>122</v>
      </c>
      <c r="W285" s="109" t="n">
        <v>1</v>
      </c>
      <c r="AA285" s="106" t="n">
        <v>284</v>
      </c>
      <c r="AB285" s="106" t="n">
        <v>11</v>
      </c>
      <c r="AC285" s="107" t="s">
        <v>34</v>
      </c>
    </row>
    <row collapsed="false" customFormat="false" customHeight="false" hidden="false" ht="15" outlineLevel="0" r="286">
      <c r="A286" s="24" t="n">
        <v>135</v>
      </c>
      <c r="B286" s="53" t="e">
        <f aca="false">CONCATENATE(C286;D286)</f>
        <v>#VALUE!</v>
      </c>
      <c r="C286" s="53" t="n">
        <v>143</v>
      </c>
      <c r="D286" s="53" t="s">
        <v>60</v>
      </c>
      <c r="E286" s="24" t="n">
        <v>135</v>
      </c>
      <c r="F286" s="103" t="e">
        <f aca="false">IF(VLOOKUP(D286;$V$2:$W$299;2;0)&lt;&gt;1;1;0)</f>
        <v>#VALUE!</v>
      </c>
      <c r="V286" s="108" t="s">
        <v>185</v>
      </c>
      <c r="W286" s="109" t="n">
        <v>1</v>
      </c>
      <c r="AA286" s="106" t="n">
        <v>285</v>
      </c>
      <c r="AB286" s="106" t="n">
        <v>11</v>
      </c>
      <c r="AC286" s="107" t="s">
        <v>34</v>
      </c>
    </row>
    <row collapsed="false" customFormat="false" customHeight="false" hidden="false" ht="15" outlineLevel="0" r="287">
      <c r="A287" s="24" t="n">
        <v>135</v>
      </c>
      <c r="B287" s="53" t="e">
        <f aca="false">CONCATENATE(C287;D287)</f>
        <v>#VALUE!</v>
      </c>
      <c r="C287" s="53" t="n">
        <v>142</v>
      </c>
      <c r="D287" s="53" t="s">
        <v>60</v>
      </c>
      <c r="E287" s="24" t="n">
        <v>135</v>
      </c>
      <c r="F287" s="103" t="e">
        <f aca="false">IF(VLOOKUP(D287;$V$2:$W$299;2;0)&lt;&gt;1;1;0)</f>
        <v>#VALUE!</v>
      </c>
      <c r="V287" s="108" t="s">
        <v>191</v>
      </c>
      <c r="W287" s="109" t="n">
        <v>1</v>
      </c>
      <c r="AA287" s="106" t="n">
        <v>286</v>
      </c>
      <c r="AB287" s="106" t="n">
        <v>11</v>
      </c>
      <c r="AC287" s="107" t="s">
        <v>34</v>
      </c>
    </row>
    <row collapsed="false" customFormat="false" customHeight="false" hidden="false" ht="15" outlineLevel="0" r="288">
      <c r="A288" s="24" t="n">
        <v>59</v>
      </c>
      <c r="B288" s="53" t="e">
        <f aca="false">CONCATENATE(C288;D288)</f>
        <v>#VALUE!</v>
      </c>
      <c r="C288" s="53" t="n">
        <v>61</v>
      </c>
      <c r="D288" s="53" t="s">
        <v>246</v>
      </c>
      <c r="E288" s="24" t="n">
        <v>59</v>
      </c>
      <c r="F288" s="103" t="e">
        <f aca="false">IF(VLOOKUP(D288;$V$2:$W$299;2;0)&lt;&gt;1;1;0)</f>
        <v>#VALUE!</v>
      </c>
      <c r="V288" s="108" t="s">
        <v>292</v>
      </c>
      <c r="W288" s="109" t="n">
        <v>1</v>
      </c>
      <c r="AA288" s="106" t="n">
        <v>287</v>
      </c>
      <c r="AB288" s="106" t="n">
        <v>11</v>
      </c>
      <c r="AC288" s="107" t="s">
        <v>34</v>
      </c>
    </row>
    <row collapsed="false" customFormat="false" customHeight="false" hidden="false" ht="15" outlineLevel="0" r="289">
      <c r="A289" s="24" t="n">
        <v>60</v>
      </c>
      <c r="B289" s="53" t="e">
        <f aca="false">CONCATENATE(C289;D289)</f>
        <v>#VALUE!</v>
      </c>
      <c r="C289" s="53" t="n">
        <v>62</v>
      </c>
      <c r="D289" s="53" t="s">
        <v>323</v>
      </c>
      <c r="E289" s="24" t="n">
        <v>60</v>
      </c>
      <c r="F289" s="103" t="e">
        <f aca="false">IF(VLOOKUP(D289;$V$2:$W$299;2;0)&lt;&gt;1;1;0)</f>
        <v>#VALUE!</v>
      </c>
      <c r="V289" s="108" t="s">
        <v>225</v>
      </c>
      <c r="W289" s="109" t="n">
        <v>1</v>
      </c>
      <c r="AA289" s="106" t="n">
        <v>288</v>
      </c>
      <c r="AB289" s="106" t="n">
        <v>11</v>
      </c>
      <c r="AC289" s="107" t="s">
        <v>34</v>
      </c>
    </row>
    <row collapsed="false" customFormat="false" customHeight="false" hidden="false" ht="15" outlineLevel="0" r="290">
      <c r="A290" s="24" t="n">
        <v>248</v>
      </c>
      <c r="B290" s="53" t="e">
        <f aca="false">CONCATENATE(C290;D290)</f>
        <v>#VALUE!</v>
      </c>
      <c r="C290" s="53" t="n">
        <v>259</v>
      </c>
      <c r="D290" s="53" t="s">
        <v>201</v>
      </c>
      <c r="E290" s="24" t="n">
        <v>248</v>
      </c>
      <c r="F290" s="103" t="e">
        <f aca="false">IF(VLOOKUP(D290;$V$2:$W$299;2;0)&lt;&gt;1;1;0)</f>
        <v>#VALUE!</v>
      </c>
      <c r="V290" s="108" t="s">
        <v>221</v>
      </c>
      <c r="W290" s="109" t="n">
        <v>1</v>
      </c>
      <c r="AA290" s="106" t="n">
        <v>289</v>
      </c>
      <c r="AB290" s="106" t="n">
        <v>11</v>
      </c>
      <c r="AC290" s="107" t="s">
        <v>34</v>
      </c>
    </row>
    <row collapsed="false" customFormat="false" customHeight="false" hidden="false" ht="15" outlineLevel="0" r="291">
      <c r="A291" s="24" t="n">
        <v>247</v>
      </c>
      <c r="B291" s="53" t="e">
        <f aca="false">CONCATENATE(C291;D291)</f>
        <v>#VALUE!</v>
      </c>
      <c r="C291" s="53" t="n">
        <v>258</v>
      </c>
      <c r="D291" s="53" t="s">
        <v>147</v>
      </c>
      <c r="E291" s="24" t="n">
        <v>247</v>
      </c>
      <c r="F291" s="103" t="e">
        <f aca="false">IF(VLOOKUP(D291;$V$2:$W$299;2;0)&lt;&gt;1;1;0)</f>
        <v>#VALUE!</v>
      </c>
      <c r="V291" s="108" t="s">
        <v>313</v>
      </c>
      <c r="W291" s="109" t="n">
        <v>1</v>
      </c>
      <c r="AA291" s="106" t="n">
        <v>290</v>
      </c>
      <c r="AB291" s="106" t="n">
        <v>11</v>
      </c>
      <c r="AC291" s="107" t="s">
        <v>34</v>
      </c>
    </row>
    <row collapsed="false" customFormat="false" customHeight="false" hidden="false" ht="15" outlineLevel="0" r="292">
      <c r="A292" s="24" t="n">
        <v>103</v>
      </c>
      <c r="B292" s="53" t="e">
        <f aca="false">CONCATENATE(C292;D292)</f>
        <v>#VALUE!</v>
      </c>
      <c r="C292" s="53" t="n">
        <v>108</v>
      </c>
      <c r="D292" s="53" t="s">
        <v>297</v>
      </c>
      <c r="E292" s="24" t="n">
        <v>103</v>
      </c>
      <c r="F292" s="103" t="e">
        <f aca="false">IF(VLOOKUP(D292;$V$2:$W$299;2;0)&lt;&gt;1;1;0)</f>
        <v>#VALUE!</v>
      </c>
      <c r="V292" s="108" t="s">
        <v>82</v>
      </c>
      <c r="W292" s="109" t="n">
        <v>1</v>
      </c>
      <c r="AA292" s="106" t="n">
        <v>291</v>
      </c>
      <c r="AB292" s="106" t="n">
        <v>11</v>
      </c>
      <c r="AC292" s="107" t="s">
        <v>34</v>
      </c>
    </row>
    <row collapsed="false" customFormat="false" customHeight="false" hidden="false" ht="15" outlineLevel="0" r="293">
      <c r="A293" s="24" t="n">
        <v>275</v>
      </c>
      <c r="B293" s="53" t="e">
        <f aca="false">CONCATENATE(C293;D293)</f>
        <v>#VALUE!</v>
      </c>
      <c r="C293" s="53" t="n">
        <v>288</v>
      </c>
      <c r="D293" s="53" t="s">
        <v>256</v>
      </c>
      <c r="E293" s="24" t="n">
        <v>275</v>
      </c>
      <c r="F293" s="103" t="e">
        <f aca="false">IF(VLOOKUP(D293;$V$2:$W$299;2;0)&lt;&gt;1;1;0)</f>
        <v>#VALUE!</v>
      </c>
      <c r="V293" s="108" t="s">
        <v>239</v>
      </c>
      <c r="W293" s="109" t="n">
        <v>1</v>
      </c>
      <c r="AA293" s="106" t="n">
        <v>292</v>
      </c>
      <c r="AB293" s="106" t="n">
        <v>11</v>
      </c>
      <c r="AC293" s="107" t="s">
        <v>34</v>
      </c>
    </row>
    <row collapsed="false" customFormat="false" customHeight="false" hidden="false" ht="15" outlineLevel="0" r="294">
      <c r="A294" s="24" t="n">
        <v>22</v>
      </c>
      <c r="B294" s="53" t="e">
        <f aca="false">CONCATENATE(C294;D294)</f>
        <v>#VALUE!</v>
      </c>
      <c r="C294" s="53" t="n">
        <v>22</v>
      </c>
      <c r="D294" s="53" t="s">
        <v>198</v>
      </c>
      <c r="E294" s="24" t="n">
        <v>22</v>
      </c>
      <c r="F294" s="103" t="e">
        <f aca="false">IF(VLOOKUP(D294;$V$2:$W$299;2;0)&lt;&gt;1;1;0)</f>
        <v>#VALUE!</v>
      </c>
      <c r="V294" s="108" t="s">
        <v>123</v>
      </c>
      <c r="W294" s="109" t="n">
        <v>1</v>
      </c>
      <c r="AA294" s="106" t="n">
        <v>293</v>
      </c>
      <c r="AB294" s="106" t="n">
        <v>11</v>
      </c>
      <c r="AC294" s="107" t="s">
        <v>34</v>
      </c>
    </row>
    <row collapsed="false" customFormat="false" customHeight="false" hidden="false" ht="25.5" outlineLevel="0" r="295">
      <c r="A295" s="24" t="n">
        <v>20</v>
      </c>
      <c r="B295" s="53" t="e">
        <f aca="false">CONCATENATE(C295;D295)</f>
        <v>#VALUE!</v>
      </c>
      <c r="C295" s="53" t="n">
        <v>20</v>
      </c>
      <c r="D295" s="53" t="s">
        <v>111</v>
      </c>
      <c r="E295" s="24" t="n">
        <v>20</v>
      </c>
      <c r="F295" s="103" t="e">
        <f aca="false">IF(VLOOKUP(D295;$V$2:$W$299;2;0)&lt;&gt;1;1;0)</f>
        <v>#VALUE!</v>
      </c>
      <c r="V295" s="108" t="s">
        <v>324</v>
      </c>
      <c r="W295" s="109"/>
      <c r="AA295" s="106" t="n">
        <v>294</v>
      </c>
      <c r="AB295" s="106" t="n">
        <v>11</v>
      </c>
      <c r="AC295" s="107" t="s">
        <v>34</v>
      </c>
    </row>
    <row collapsed="false" customFormat="false" customHeight="false" hidden="false" ht="15" outlineLevel="0" r="296">
      <c r="A296" s="24" t="n">
        <v>233</v>
      </c>
      <c r="B296" s="53" t="e">
        <f aca="false">CONCATENATE(C296;D296)</f>
        <v>#VALUE!</v>
      </c>
      <c r="C296" s="53" t="n">
        <v>242</v>
      </c>
      <c r="D296" s="53" t="s">
        <v>260</v>
      </c>
      <c r="E296" s="24" t="n">
        <v>233</v>
      </c>
      <c r="F296" s="103" t="e">
        <f aca="false">IF(VLOOKUP(D296;$V$2:$W$299;2;0)&lt;&gt;1;1;0)</f>
        <v>#VALUE!</v>
      </c>
      <c r="V296" s="108" t="s">
        <v>719</v>
      </c>
      <c r="W296" s="114"/>
      <c r="AA296" s="106" t="n">
        <v>295</v>
      </c>
      <c r="AB296" s="106" t="n">
        <v>11</v>
      </c>
      <c r="AC296" s="107" t="s">
        <v>34</v>
      </c>
    </row>
    <row collapsed="false" customFormat="false" customHeight="false" hidden="false" ht="15" outlineLevel="0" r="297">
      <c r="A297" s="24" t="n">
        <v>256</v>
      </c>
      <c r="B297" s="53" t="e">
        <f aca="false">CONCATENATE(C297;D297)</f>
        <v>#VALUE!</v>
      </c>
      <c r="C297" s="53" t="n">
        <v>269</v>
      </c>
      <c r="D297" s="53" t="s">
        <v>234</v>
      </c>
      <c r="E297" s="24" t="n">
        <v>256</v>
      </c>
      <c r="F297" s="103" t="e">
        <f aca="false">IF(VLOOKUP(D297;$V$2:$W$299;2;0)&lt;&gt;1;1;0)</f>
        <v>#VALUE!</v>
      </c>
      <c r="V297" s="115" t="s">
        <v>720</v>
      </c>
      <c r="W297" s="116" t="n">
        <v>319</v>
      </c>
      <c r="AA297" s="106" t="n">
        <v>296</v>
      </c>
      <c r="AB297" s="106" t="n">
        <v>11</v>
      </c>
      <c r="AC297" s="107" t="s">
        <v>34</v>
      </c>
    </row>
    <row collapsed="false" customFormat="false" customHeight="false" hidden="false" ht="15" outlineLevel="0" r="298">
      <c r="A298" s="24" t="n">
        <v>113</v>
      </c>
      <c r="B298" s="53" t="e">
        <f aca="false">CONCATENATE(C298;D298)</f>
        <v>#VALUE!</v>
      </c>
      <c r="C298" s="24" t="s">
        <v>659</v>
      </c>
      <c r="D298" s="53" t="s">
        <v>120</v>
      </c>
      <c r="E298" s="24" t="n">
        <v>113</v>
      </c>
      <c r="F298" s="103" t="e">
        <f aca="false">IF(VLOOKUP(D298;$V$2:$W$299;2;0)&lt;&gt;1;1;0)</f>
        <v>#VALUE!</v>
      </c>
      <c r="AA298" s="106" t="n">
        <v>297</v>
      </c>
      <c r="AB298" s="106" t="n">
        <v>11</v>
      </c>
      <c r="AC298" s="107" t="s">
        <v>34</v>
      </c>
    </row>
    <row collapsed="false" customFormat="false" customHeight="false" hidden="false" ht="15" outlineLevel="0" r="299">
      <c r="A299" s="24" t="n">
        <v>113</v>
      </c>
      <c r="B299" s="53" t="e">
        <f aca="false">CONCATENATE(C299;D299)</f>
        <v>#VALUE!</v>
      </c>
      <c r="C299" s="24" t="s">
        <v>659</v>
      </c>
      <c r="D299" s="53" t="s">
        <v>120</v>
      </c>
      <c r="E299" s="24" t="n">
        <v>113</v>
      </c>
      <c r="F299" s="103" t="e">
        <f aca="false">IF(VLOOKUP(D299;$V$2:$W$299;2;0)&lt;&gt;1;1;0)</f>
        <v>#VALUE!</v>
      </c>
      <c r="AA299" s="106" t="n">
        <v>298</v>
      </c>
      <c r="AB299" s="106" t="n">
        <v>11</v>
      </c>
      <c r="AC299" s="107" t="s">
        <v>34</v>
      </c>
    </row>
    <row collapsed="false" customFormat="false" customHeight="false" hidden="false" ht="15" outlineLevel="0" r="300">
      <c r="A300" s="24" t="n">
        <v>113</v>
      </c>
      <c r="B300" s="53" t="e">
        <f aca="false">CONCATENATE(C300;D300)</f>
        <v>#VALUE!</v>
      </c>
      <c r="C300" s="24" t="s">
        <v>659</v>
      </c>
      <c r="D300" s="53" t="s">
        <v>120</v>
      </c>
      <c r="E300" s="24" t="n">
        <v>113</v>
      </c>
      <c r="F300" s="103" t="e">
        <f aca="false">IF(VLOOKUP(D300;$V$2:$W$299;2;0)&lt;&gt;1;1;0)</f>
        <v>#VALUE!</v>
      </c>
      <c r="AA300" s="106" t="n">
        <v>299</v>
      </c>
      <c r="AB300" s="106" t="n">
        <v>11</v>
      </c>
      <c r="AC300" s="107" t="s">
        <v>34</v>
      </c>
    </row>
    <row collapsed="false" customFormat="false" customHeight="false" hidden="false" ht="25.5" outlineLevel="0" r="301">
      <c r="A301" s="24" t="n">
        <v>180</v>
      </c>
      <c r="B301" s="53" t="e">
        <f aca="false">CONCATENATE(C301;D301)</f>
        <v>#VALUE!</v>
      </c>
      <c r="C301" s="53" t="n">
        <v>188</v>
      </c>
      <c r="D301" s="53" t="s">
        <v>282</v>
      </c>
      <c r="E301" s="24" t="n">
        <v>180</v>
      </c>
      <c r="F301" s="103" t="e">
        <f aca="false">IF(VLOOKUP(D301;$V$2:$W$299;2;0)&lt;&gt;1;1;0)</f>
        <v>#VALUE!</v>
      </c>
      <c r="AA301" s="106" t="n">
        <v>300</v>
      </c>
      <c r="AB301" s="106" t="n">
        <v>11</v>
      </c>
      <c r="AC301" s="107" t="s">
        <v>34</v>
      </c>
    </row>
    <row collapsed="false" customFormat="false" customHeight="false" hidden="false" ht="15" outlineLevel="0" r="302">
      <c r="A302" s="24" t="n">
        <v>2</v>
      </c>
      <c r="B302" s="53" t="e">
        <f aca="false">CONCATENATE(C302;D302)</f>
        <v>#VALUE!</v>
      </c>
      <c r="C302" s="53" t="n">
        <v>2</v>
      </c>
      <c r="D302" s="53" t="s">
        <v>161</v>
      </c>
      <c r="E302" s="24" t="n">
        <v>2</v>
      </c>
      <c r="F302" s="103" t="e">
        <f aca="false">IF(VLOOKUP(D302;$V$2:$W$299;2;0)&lt;&gt;1;1;0)</f>
        <v>#VALUE!</v>
      </c>
      <c r="AA302" s="106" t="n">
        <v>301</v>
      </c>
      <c r="AB302" s="106" t="n">
        <v>7</v>
      </c>
      <c r="AC302" s="107" t="s">
        <v>40</v>
      </c>
    </row>
    <row collapsed="false" customFormat="false" customHeight="false" hidden="false" ht="25.5" outlineLevel="0" r="303">
      <c r="A303" s="24" t="n">
        <v>23</v>
      </c>
      <c r="B303" s="53" t="e">
        <f aca="false">CONCATENATE(C303;D303)</f>
        <v>#VALUE!</v>
      </c>
      <c r="C303" s="53" t="n">
        <v>23</v>
      </c>
      <c r="D303" s="53" t="s">
        <v>319</v>
      </c>
      <c r="E303" s="24" t="n">
        <v>23</v>
      </c>
      <c r="F303" s="103" t="e">
        <f aca="false">IF(VLOOKUP(D303;$V$2:$W$299;2;0)&lt;&gt;1;1;0)</f>
        <v>#VALUE!</v>
      </c>
      <c r="AA303" s="106" t="n">
        <v>302</v>
      </c>
      <c r="AB303" s="106" t="n">
        <v>7</v>
      </c>
      <c r="AC303" s="107" t="s">
        <v>40</v>
      </c>
    </row>
    <row collapsed="false" customFormat="false" customHeight="false" hidden="false" ht="15" outlineLevel="0" r="304">
      <c r="A304" s="24" t="n">
        <v>168</v>
      </c>
      <c r="B304" s="53" t="e">
        <f aca="false">CONCATENATE(C304;D304)</f>
        <v>#VALUE!</v>
      </c>
      <c r="C304" s="53" t="n">
        <v>176</v>
      </c>
      <c r="D304" s="53" t="s">
        <v>305</v>
      </c>
      <c r="E304" s="24" t="n">
        <v>168</v>
      </c>
      <c r="F304" s="103" t="e">
        <f aca="false">IF(VLOOKUP(D304;$V$2:$W$299;2;0)&lt;&gt;1;1;0)</f>
        <v>#VALUE!</v>
      </c>
      <c r="AA304" s="106" t="n">
        <v>303</v>
      </c>
      <c r="AB304" s="106" t="n">
        <v>7</v>
      </c>
      <c r="AC304" s="107" t="s">
        <v>40</v>
      </c>
    </row>
    <row collapsed="false" customFormat="false" customHeight="false" hidden="false" ht="15" outlineLevel="0" r="305">
      <c r="A305" s="24" t="n">
        <v>84</v>
      </c>
      <c r="B305" s="53" t="e">
        <f aca="false">CONCATENATE(C305;D305)</f>
        <v>#VALUE!</v>
      </c>
      <c r="C305" s="53" t="n">
        <v>89</v>
      </c>
      <c r="D305" s="53" t="s">
        <v>288</v>
      </c>
      <c r="E305" s="24" t="n">
        <v>84</v>
      </c>
      <c r="F305" s="103" t="e">
        <f aca="false">IF(VLOOKUP(D305;$V$2:$W$299;2;0)&lt;&gt;1;1;0)</f>
        <v>#VALUE!</v>
      </c>
      <c r="AA305" s="106" t="n">
        <v>304</v>
      </c>
      <c r="AB305" s="106" t="n">
        <v>7</v>
      </c>
      <c r="AC305" s="107" t="s">
        <v>40</v>
      </c>
    </row>
    <row collapsed="false" customFormat="false" customHeight="false" hidden="false" ht="15" outlineLevel="0" r="306">
      <c r="A306" s="24" t="n">
        <v>88</v>
      </c>
      <c r="B306" s="53" t="e">
        <f aca="false">CONCATENATE(C306;D306)</f>
        <v>#VALUE!</v>
      </c>
      <c r="C306" s="24" t="s">
        <v>666</v>
      </c>
      <c r="D306" s="53" t="s">
        <v>270</v>
      </c>
      <c r="E306" s="24" t="n">
        <v>88</v>
      </c>
      <c r="F306" s="103" t="e">
        <f aca="false">IF(VLOOKUP(D306;$V$2:$W$299;2;0)&lt;&gt;1;1;0)</f>
        <v>#VALUE!</v>
      </c>
      <c r="AA306" s="106" t="n">
        <v>305</v>
      </c>
      <c r="AB306" s="106" t="n">
        <v>7</v>
      </c>
      <c r="AC306" s="107" t="s">
        <v>40</v>
      </c>
    </row>
    <row collapsed="false" customFormat="false" customHeight="false" hidden="false" ht="15" outlineLevel="0" r="307">
      <c r="A307" s="24" t="n">
        <v>88</v>
      </c>
      <c r="B307" s="53" t="e">
        <f aca="false">CONCATENATE(C307;D307)</f>
        <v>#VALUE!</v>
      </c>
      <c r="C307" s="24" t="s">
        <v>666</v>
      </c>
      <c r="D307" s="53" t="s">
        <v>270</v>
      </c>
      <c r="E307" s="24" t="n">
        <v>88</v>
      </c>
      <c r="F307" s="103" t="e">
        <f aca="false">IF(VLOOKUP(D307;$V$2:$W$299;2;0)&lt;&gt;1;1;0)</f>
        <v>#VALUE!</v>
      </c>
      <c r="AA307" s="106" t="n">
        <v>306</v>
      </c>
      <c r="AB307" s="106" t="n">
        <v>7</v>
      </c>
      <c r="AC307" s="107" t="s">
        <v>40</v>
      </c>
    </row>
    <row collapsed="false" customFormat="false" customHeight="false" hidden="false" ht="15" outlineLevel="0" r="308">
      <c r="A308" s="24" t="n">
        <v>78</v>
      </c>
      <c r="B308" s="53" t="e">
        <f aca="false">CONCATENATE(C308;D308)</f>
        <v>#VALUE!</v>
      </c>
      <c r="C308" s="53" t="n">
        <v>83</v>
      </c>
      <c r="D308" s="53" t="s">
        <v>61</v>
      </c>
      <c r="E308" s="24" t="n">
        <v>78</v>
      </c>
      <c r="F308" s="103" t="e">
        <f aca="false">IF(VLOOKUP(D308;$V$2:$W$299;2;0)&lt;&gt;1;1;0)</f>
        <v>#VALUE!</v>
      </c>
      <c r="AA308" s="106" t="n">
        <v>307</v>
      </c>
      <c r="AB308" s="106" t="n">
        <v>7</v>
      </c>
      <c r="AC308" s="107" t="s">
        <v>40</v>
      </c>
    </row>
    <row collapsed="false" customFormat="false" customHeight="false" hidden="false" ht="25.5" outlineLevel="0" r="309">
      <c r="A309" s="24" t="n">
        <v>306</v>
      </c>
      <c r="B309" s="53" t="e">
        <f aca="false">CONCATENATE(C309;D309)</f>
        <v>#VALUE!</v>
      </c>
      <c r="C309" s="53" t="n">
        <v>321</v>
      </c>
      <c r="D309" s="53" t="s">
        <v>57</v>
      </c>
      <c r="E309" s="24" t="n">
        <v>306</v>
      </c>
      <c r="F309" s="103" t="e">
        <f aca="false">IF(VLOOKUP(D309;$V$2:$W$299;2;0)&lt;&gt;1;1;0)</f>
        <v>#VALUE!</v>
      </c>
      <c r="AA309" s="106" t="n">
        <v>308</v>
      </c>
      <c r="AB309" s="106" t="n">
        <v>7</v>
      </c>
      <c r="AC309" s="107" t="s">
        <v>40</v>
      </c>
    </row>
    <row collapsed="false" customFormat="false" customHeight="false" hidden="false" ht="25.5" outlineLevel="0" r="310">
      <c r="A310" s="24" t="n">
        <v>182</v>
      </c>
      <c r="B310" s="53" t="e">
        <f aca="false">CONCATENATE(C310;D310)</f>
        <v>#VALUE!</v>
      </c>
      <c r="C310" s="53" t="n">
        <v>190</v>
      </c>
      <c r="D310" s="53" t="s">
        <v>251</v>
      </c>
      <c r="E310" s="24" t="n">
        <v>182</v>
      </c>
      <c r="F310" s="103" t="e">
        <f aca="false">IF(VLOOKUP(D310;$V$2:$W$299;2;0)&lt;&gt;1;1;0)</f>
        <v>#VALUE!</v>
      </c>
      <c r="AA310" s="106" t="n">
        <v>309</v>
      </c>
      <c r="AB310" s="106" t="n">
        <v>7</v>
      </c>
      <c r="AC310" s="107" t="s">
        <v>40</v>
      </c>
    </row>
    <row collapsed="false" customFormat="false" customHeight="false" hidden="false" ht="25.5" outlineLevel="0" r="311">
      <c r="A311" s="24" t="n">
        <v>95</v>
      </c>
      <c r="B311" s="53" t="e">
        <f aca="false">CONCATENATE(C311;D311)</f>
        <v>#VALUE!</v>
      </c>
      <c r="C311" s="53" t="n">
        <v>100</v>
      </c>
      <c r="D311" s="53" t="s">
        <v>269</v>
      </c>
      <c r="E311" s="24" t="n">
        <v>95</v>
      </c>
      <c r="F311" s="103" t="e">
        <f aca="false">IF(VLOOKUP(D311;$V$2:$W$299;2;0)&lt;&gt;1;1;0)</f>
        <v>#VALUE!</v>
      </c>
      <c r="AA311" s="106" t="n">
        <v>310</v>
      </c>
      <c r="AB311" s="106" t="n">
        <v>7</v>
      </c>
      <c r="AC311" s="107" t="s">
        <v>40</v>
      </c>
    </row>
    <row collapsed="false" customFormat="false" customHeight="false" hidden="false" ht="25.5" outlineLevel="0" r="312">
      <c r="A312" s="24" t="n">
        <v>108</v>
      </c>
      <c r="B312" s="53" t="e">
        <f aca="false">CONCATENATE(C312;D312)</f>
        <v>#VALUE!</v>
      </c>
      <c r="C312" s="53" t="n">
        <v>113</v>
      </c>
      <c r="D312" s="53" t="s">
        <v>285</v>
      </c>
      <c r="E312" s="24" t="n">
        <v>108</v>
      </c>
      <c r="F312" s="103" t="e">
        <f aca="false">IF(VLOOKUP(D312;$V$2:$W$299;2;0)&lt;&gt;1;1;0)</f>
        <v>#VALUE!</v>
      </c>
      <c r="AA312" s="106" t="n">
        <v>311</v>
      </c>
      <c r="AB312" s="106" t="n">
        <v>7</v>
      </c>
      <c r="AC312" s="107" t="s">
        <v>40</v>
      </c>
    </row>
    <row collapsed="false" customFormat="false" customHeight="false" hidden="false" ht="15" outlineLevel="0" r="313">
      <c r="A313" s="24" t="n">
        <v>41</v>
      </c>
      <c r="B313" s="53" t="e">
        <f aca="false">CONCATENATE(C313;D313)</f>
        <v>#VALUE!</v>
      </c>
      <c r="C313" s="53" t="n">
        <v>41</v>
      </c>
      <c r="D313" s="53" t="s">
        <v>122</v>
      </c>
      <c r="E313" s="24" t="n">
        <v>41</v>
      </c>
      <c r="F313" s="103" t="e">
        <f aca="false">IF(VLOOKUP(D313;$V$2:$W$299;2;0)&lt;&gt;1;1;0)</f>
        <v>#VALUE!</v>
      </c>
      <c r="AA313" s="106" t="n">
        <v>312</v>
      </c>
      <c r="AB313" s="106" t="n">
        <v>7</v>
      </c>
      <c r="AC313" s="107" t="s">
        <v>40</v>
      </c>
    </row>
    <row collapsed="false" customFormat="false" customHeight="false" hidden="false" ht="15" outlineLevel="0" r="314">
      <c r="A314" s="24" t="n">
        <v>152</v>
      </c>
      <c r="B314" s="53" t="e">
        <f aca="false">CONCATENATE(C314;D314)</f>
        <v>#VALUE!</v>
      </c>
      <c r="C314" s="53" t="n">
        <v>160</v>
      </c>
      <c r="D314" s="53" t="s">
        <v>185</v>
      </c>
      <c r="E314" s="24" t="n">
        <v>152</v>
      </c>
      <c r="F314" s="103" t="e">
        <f aca="false">IF(VLOOKUP(D314;$V$2:$W$299;2;0)&lt;&gt;1;1;0)</f>
        <v>#VALUE!</v>
      </c>
      <c r="AA314" s="106" t="n">
        <v>313</v>
      </c>
      <c r="AB314" s="106" t="n">
        <v>7</v>
      </c>
      <c r="AC314" s="107" t="s">
        <v>40</v>
      </c>
    </row>
    <row collapsed="false" customFormat="false" customHeight="false" hidden="false" ht="15" outlineLevel="0" r="315">
      <c r="A315" s="24" t="n">
        <v>227</v>
      </c>
      <c r="B315" s="53" t="e">
        <f aca="false">CONCATENATE(C315;D315)</f>
        <v>#VALUE!</v>
      </c>
      <c r="C315" s="53" t="n">
        <v>236</v>
      </c>
      <c r="D315" s="53" t="s">
        <v>191</v>
      </c>
      <c r="E315" s="24" t="n">
        <v>227</v>
      </c>
      <c r="F315" s="103" t="e">
        <f aca="false">IF(VLOOKUP(D315;$V$2:$W$299;2;0)&lt;&gt;1;1;0)</f>
        <v>#VALUE!</v>
      </c>
      <c r="AA315" s="106" t="n">
        <v>314</v>
      </c>
      <c r="AB315" s="106" t="n">
        <v>7</v>
      </c>
      <c r="AC315" s="107" t="s">
        <v>40</v>
      </c>
    </row>
    <row collapsed="false" customFormat="false" customHeight="false" hidden="false" ht="25.5" outlineLevel="0" r="316">
      <c r="A316" s="24" t="n">
        <v>15</v>
      </c>
      <c r="B316" s="53" t="e">
        <f aca="false">CONCATENATE(C316;D316)</f>
        <v>#VALUE!</v>
      </c>
      <c r="C316" s="53" t="n">
        <v>15</v>
      </c>
      <c r="D316" s="53" t="s">
        <v>292</v>
      </c>
      <c r="E316" s="24" t="n">
        <v>15</v>
      </c>
      <c r="F316" s="103" t="e">
        <f aca="false">IF(VLOOKUP(D316;$V$2:$W$299;2;0)&lt;&gt;1;1;0)</f>
        <v>#VALUE!</v>
      </c>
      <c r="AA316" s="106" t="n">
        <v>315</v>
      </c>
      <c r="AB316" s="106" t="n">
        <v>7</v>
      </c>
      <c r="AC316" s="107" t="s">
        <v>40</v>
      </c>
    </row>
    <row collapsed="false" customFormat="false" customHeight="false" hidden="false" ht="15" outlineLevel="0" r="317">
      <c r="A317" s="24" t="n">
        <v>240</v>
      </c>
      <c r="B317" s="53" t="e">
        <f aca="false">CONCATENATE(C317;D317)</f>
        <v>#VALUE!</v>
      </c>
      <c r="C317" s="53" t="n">
        <v>251</v>
      </c>
      <c r="D317" s="112" t="s">
        <v>225</v>
      </c>
      <c r="E317" s="24" t="n">
        <v>240</v>
      </c>
      <c r="F317" s="103" t="e">
        <f aca="false">IF(VLOOKUP(D317;$V$2:$W$299;2;0)&lt;&gt;1;1;0)</f>
        <v>#VALUE!</v>
      </c>
      <c r="AA317" s="106" t="n">
        <v>316</v>
      </c>
      <c r="AB317" s="106" t="n">
        <v>7</v>
      </c>
      <c r="AC317" s="107" t="s">
        <v>40</v>
      </c>
    </row>
    <row collapsed="false" customFormat="false" customHeight="false" hidden="false" ht="15" outlineLevel="0" r="318">
      <c r="A318" s="24" t="n">
        <v>10</v>
      </c>
      <c r="B318" s="53" t="e">
        <f aca="false">CONCATENATE(C318;D318)</f>
        <v>#VALUE!</v>
      </c>
      <c r="C318" s="53" t="n">
        <v>10</v>
      </c>
      <c r="D318" s="53" t="s">
        <v>221</v>
      </c>
      <c r="E318" s="24" t="n">
        <v>10</v>
      </c>
      <c r="F318" s="103" t="e">
        <f aca="false">IF(VLOOKUP(D318;$V$2:$W$299;2;0)&lt;&gt;1;1;0)</f>
        <v>#VALUE!</v>
      </c>
      <c r="AA318" s="106" t="n">
        <v>317</v>
      </c>
      <c r="AB318" s="106" t="n">
        <v>7</v>
      </c>
      <c r="AC318" s="107" t="s">
        <v>40</v>
      </c>
    </row>
    <row collapsed="false" customFormat="false" customHeight="false" hidden="false" ht="15" outlineLevel="0" r="319">
      <c r="A319" s="24" t="n">
        <v>55</v>
      </c>
      <c r="B319" s="53" t="e">
        <f aca="false">CONCATENATE(C319;D319)</f>
        <v>#VALUE!</v>
      </c>
      <c r="C319" s="53" t="n">
        <v>57</v>
      </c>
      <c r="D319" s="53" t="s">
        <v>313</v>
      </c>
      <c r="E319" s="24" t="n">
        <v>55</v>
      </c>
      <c r="F319" s="103" t="e">
        <f aca="false">IF(VLOOKUP(D319;$V$2:$W$299;2;0)&lt;&gt;1;1;0)</f>
        <v>#VALUE!</v>
      </c>
      <c r="AA319" s="106" t="n">
        <v>318</v>
      </c>
      <c r="AB319" s="106" t="n">
        <v>7</v>
      </c>
      <c r="AC319" s="107" t="s">
        <v>40</v>
      </c>
    </row>
    <row collapsed="false" customFormat="false" customHeight="false" hidden="false" ht="15" outlineLevel="0" r="320">
      <c r="A320" s="24" t="n">
        <v>309</v>
      </c>
      <c r="B320" s="53" t="e">
        <f aca="false">CONCATENATE(C320;D320)</f>
        <v>#VALUE!</v>
      </c>
      <c r="C320" s="53" t="n">
        <v>324</v>
      </c>
      <c r="D320" s="53" t="s">
        <v>82</v>
      </c>
      <c r="E320" s="24" t="n">
        <v>309</v>
      </c>
      <c r="F320" s="103" t="e">
        <f aca="false">IF(VLOOKUP(D320;$V$2:$W$299;2;0)&lt;&gt;1;1;0)</f>
        <v>#VALUE!</v>
      </c>
      <c r="AA320" s="106" t="n">
        <v>319</v>
      </c>
      <c r="AB320" s="106" t="n">
        <v>7</v>
      </c>
      <c r="AC320" s="107" t="s">
        <v>40</v>
      </c>
    </row>
    <row collapsed="false" customFormat="false" customHeight="false" hidden="false" ht="15" outlineLevel="0" r="321">
      <c r="A321" s="24" t="n">
        <v>17</v>
      </c>
      <c r="B321" s="53" t="e">
        <f aca="false">CONCATENATE(C321;D321)</f>
        <v>#VALUE!</v>
      </c>
      <c r="C321" s="53" t="n">
        <v>17</v>
      </c>
      <c r="D321" s="53" t="s">
        <v>239</v>
      </c>
      <c r="E321" s="24" t="n">
        <v>17</v>
      </c>
      <c r="F321" s="103" t="e">
        <f aca="false">IF(VLOOKUP(D321;$V$2:$W$299;2;0)&lt;&gt;1;1;0)</f>
        <v>#VALUE!</v>
      </c>
      <c r="AA321" s="106" t="n">
        <v>320</v>
      </c>
      <c r="AB321" s="106" t="n">
        <v>7</v>
      </c>
      <c r="AC321" s="107" t="s">
        <v>40</v>
      </c>
    </row>
    <row collapsed="false" customFormat="false" customHeight="false" hidden="false" ht="15" outlineLevel="0" r="322">
      <c r="A322" s="24" t="n">
        <v>40</v>
      </c>
      <c r="B322" s="53" t="e">
        <f aca="false">CONCATENATE(C322;D322)</f>
        <v>#VALUE!</v>
      </c>
      <c r="C322" s="53" t="n">
        <v>40</v>
      </c>
      <c r="D322" s="53" t="s">
        <v>123</v>
      </c>
      <c r="E322" s="24" t="n">
        <v>40</v>
      </c>
      <c r="F322" s="103" t="e">
        <f aca="false">IF(VLOOKUP(D322;$V$2:$W$299;2;0)&lt;&gt;1;1;0)</f>
        <v>#VALUE!</v>
      </c>
      <c r="AA322" s="106" t="n">
        <v>321</v>
      </c>
      <c r="AB322" s="106" t="n">
        <v>7</v>
      </c>
      <c r="AC322" s="107" t="s">
        <v>40</v>
      </c>
    </row>
    <row collapsed="false" customFormat="false" customHeight="false" hidden="false" ht="25.5" outlineLevel="0" r="323">
      <c r="A323" s="19" t="n">
        <v>321</v>
      </c>
      <c r="B323" s="53" t="e">
        <f aca="false">CONCATENATE(C323;D323)</f>
        <v>#VALUE!</v>
      </c>
      <c r="D323" s="117" t="s">
        <v>721</v>
      </c>
      <c r="E323" s="19" t="n">
        <v>321</v>
      </c>
      <c r="AA323" s="106" t="n">
        <v>322</v>
      </c>
      <c r="AB323" s="106" t="n">
        <v>7</v>
      </c>
      <c r="AC323" s="107" t="s">
        <v>40</v>
      </c>
    </row>
    <row collapsed="false" customFormat="false" customHeight="false" hidden="false" ht="25.5" outlineLevel="0" r="324">
      <c r="A324" s="19" t="n">
        <v>322</v>
      </c>
      <c r="B324" s="53" t="e">
        <f aca="false">CONCATENATE(C324;D324)</f>
        <v>#VALUE!</v>
      </c>
      <c r="D324" s="118" t="s">
        <v>722</v>
      </c>
      <c r="E324" s="19" t="n">
        <v>322</v>
      </c>
      <c r="AA324" s="106" t="n">
        <v>323</v>
      </c>
      <c r="AB324" s="106" t="n">
        <v>7</v>
      </c>
      <c r="AC324" s="107" t="s">
        <v>40</v>
      </c>
    </row>
    <row collapsed="false" customFormat="false" customHeight="false" hidden="false" ht="15" outlineLevel="0" r="325">
      <c r="A325" s="19" t="n">
        <v>323</v>
      </c>
      <c r="B325" s="53" t="e">
        <f aca="false">CONCATENATE(C325;D325)</f>
        <v>#VALUE!</v>
      </c>
      <c r="D325" s="119" t="s">
        <v>723</v>
      </c>
      <c r="E325" s="19" t="n">
        <v>323</v>
      </c>
      <c r="AA325" s="106" t="n">
        <v>324</v>
      </c>
      <c r="AB325" s="106" t="n">
        <v>7</v>
      </c>
      <c r="AC325" s="107" t="s">
        <v>40</v>
      </c>
    </row>
    <row collapsed="false" customFormat="false" customHeight="false" hidden="false" ht="15" outlineLevel="0" r="326">
      <c r="A326" s="19" t="n">
        <v>324</v>
      </c>
      <c r="B326" s="53" t="e">
        <f aca="false">CONCATENATE(C326;D326)</f>
        <v>#VALUE!</v>
      </c>
      <c r="D326" s="120" t="s">
        <v>724</v>
      </c>
      <c r="E326" s="19" t="n">
        <v>324</v>
      </c>
    </row>
    <row collapsed="false" customFormat="false" customHeight="false" hidden="false" ht="15" outlineLevel="0" r="327">
      <c r="A327" s="19" t="n">
        <v>325</v>
      </c>
      <c r="B327" s="53" t="e">
        <f aca="false">CONCATENATE(C327;D327)</f>
        <v>#VALUE!</v>
      </c>
    </row>
    <row collapsed="false" customFormat="false" customHeight="false" hidden="false" ht="15" outlineLevel="0" r="328">
      <c r="A328" s="19" t="n">
        <v>326</v>
      </c>
      <c r="B328" s="53" t="e">
        <f aca="false">CONCATENATE(C328;D328)</f>
        <v>#VALUE!</v>
      </c>
    </row>
    <row collapsed="false" customFormat="false" customHeight="false" hidden="false" ht="15" outlineLevel="0" r="329">
      <c r="A329" s="19" t="n">
        <v>327</v>
      </c>
      <c r="B329" s="53" t="e">
        <f aca="false">CONCATENATE(C329;D329)</f>
        <v>#VALUE!</v>
      </c>
    </row>
    <row collapsed="false" customFormat="false" customHeight="false" hidden="false" ht="15" outlineLevel="0" r="330">
      <c r="A330" s="19" t="n">
        <v>328</v>
      </c>
      <c r="B330" s="53" t="e">
        <f aca="false">CONCATENATE(C330;D330)</f>
        <v>#VALUE!</v>
      </c>
    </row>
    <row collapsed="false" customFormat="false" customHeight="false" hidden="false" ht="15" outlineLevel="0" r="331">
      <c r="A331" s="19" t="n">
        <v>329</v>
      </c>
      <c r="B331" s="53" t="e">
        <f aca="false">CONCATENATE(C331;D331)</f>
        <v>#VALUE!</v>
      </c>
    </row>
    <row collapsed="false" customFormat="false" customHeight="false" hidden="false" ht="15" outlineLevel="0" r="332">
      <c r="A332" s="19" t="n">
        <v>330</v>
      </c>
      <c r="B332" s="53" t="e">
        <f aca="false">CONCATENATE(C332;D332)</f>
        <v>#VALUE!</v>
      </c>
    </row>
    <row collapsed="false" customFormat="false" customHeight="false" hidden="false" ht="15" outlineLevel="0" r="333">
      <c r="A333" s="19" t="n">
        <v>331</v>
      </c>
      <c r="B333" s="53" t="e">
        <f aca="false">CONCATENATE(C333;D333)</f>
        <v>#VALUE!</v>
      </c>
    </row>
    <row collapsed="false" customFormat="false" customHeight="false" hidden="false" ht="15" outlineLevel="0" r="334">
      <c r="A334" s="19" t="n">
        <v>332</v>
      </c>
      <c r="B334" s="53" t="e">
        <f aca="false">CONCATENATE(C334;D334)</f>
        <v>#VALUE!</v>
      </c>
    </row>
    <row collapsed="false" customFormat="false" customHeight="false" hidden="false" ht="15" outlineLevel="0" r="335">
      <c r="A335" s="19" t="n">
        <v>333</v>
      </c>
      <c r="B335" s="53" t="e">
        <f aca="false">CONCATENATE(C335;D335)</f>
        <v>#VALUE!</v>
      </c>
    </row>
    <row collapsed="false" customFormat="false" customHeight="false" hidden="false" ht="15" outlineLevel="0" r="336">
      <c r="A336" s="19" t="n">
        <v>334</v>
      </c>
      <c r="B336" s="53" t="e">
        <f aca="false">CONCATENATE(C336;D336)</f>
        <v>#VALUE!</v>
      </c>
    </row>
  </sheetData>
  <autoFilter ref="A1:AI281"/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C1:V625"/>
  <sheetViews>
    <sheetView colorId="64" defaultGridColor="true" rightToLeft="false" showFormulas="false" showGridLines="true" showOutlineSymbols="true" showRowColHeaders="true" showZeros="true" tabSelected="false" topLeftCell="A315" view="normal" windowProtection="false" workbookViewId="0" zoomScale="100" zoomScaleNormal="100" zoomScalePageLayoutView="100">
      <selection activeCell="C331" activeCellId="0" pane="topLeft" sqref="C331"/>
    </sheetView>
  </sheetViews>
  <sheetFormatPr defaultRowHeight="15"/>
  <cols>
    <col collapsed="false" hidden="false" max="2" min="1" style="0" width="8.72959183673469"/>
    <col collapsed="false" hidden="false" max="3" min="3" style="0" width="14.280612244898"/>
    <col collapsed="false" hidden="false" max="5" min="4" style="0" width="25"/>
    <col collapsed="false" hidden="false" max="11" min="6" style="0" width="10.4234693877551"/>
    <col collapsed="false" hidden="false" max="14" min="12" style="0" width="8.72959183673469"/>
    <col collapsed="false" hidden="false" max="15" min="15" style="0" width="17.2857142857143"/>
    <col collapsed="false" hidden="false" max="21" min="16" style="0" width="30.0051020408163"/>
    <col collapsed="false" hidden="false" max="1025" min="22" style="0" width="8.72959183673469"/>
  </cols>
  <sheetData>
    <row collapsed="false" customFormat="false" customHeight="false" hidden="false" ht="15" outlineLevel="0" r="1">
      <c r="C1" s="19" t="s">
        <v>4</v>
      </c>
      <c r="D1" s="19" t="s">
        <v>6</v>
      </c>
      <c r="E1" s="19" t="s">
        <v>725</v>
      </c>
      <c r="F1" s="28" t="n">
        <v>42370</v>
      </c>
      <c r="G1" s="28" t="n">
        <v>42401</v>
      </c>
      <c r="H1" s="28" t="n">
        <v>42430</v>
      </c>
      <c r="I1" s="28" t="n">
        <v>42461</v>
      </c>
      <c r="J1" s="28" t="n">
        <v>42491</v>
      </c>
      <c r="K1" s="28" t="n">
        <v>42522</v>
      </c>
    </row>
    <row collapsed="false" customFormat="false" customHeight="false" hidden="false" ht="15" outlineLevel="0" r="2">
      <c r="C2" s="19" t="n">
        <v>79</v>
      </c>
      <c r="D2" s="24" t="n">
        <v>84</v>
      </c>
      <c r="E2" s="24" t="n">
        <v>800</v>
      </c>
      <c r="F2" s="60"/>
      <c r="G2" s="60" t="n">
        <v>4000</v>
      </c>
      <c r="H2" s="60"/>
      <c r="I2" s="60" t="n">
        <v>2400</v>
      </c>
      <c r="J2" s="60"/>
      <c r="K2" s="60"/>
      <c r="O2" s="121"/>
      <c r="P2" s="122" t="s">
        <v>726</v>
      </c>
      <c r="Q2" s="123"/>
      <c r="R2" s="123"/>
      <c r="S2" s="123"/>
      <c r="T2" s="123"/>
      <c r="U2" s="124"/>
    </row>
    <row collapsed="false" customFormat="false" customHeight="false" hidden="false" ht="15" outlineLevel="0" r="3">
      <c r="C3" s="19" t="n">
        <v>35</v>
      </c>
      <c r="D3" s="24" t="n">
        <v>35</v>
      </c>
      <c r="E3" s="24" t="n">
        <v>800</v>
      </c>
      <c r="F3" s="60"/>
      <c r="G3" s="60"/>
      <c r="H3" s="60"/>
      <c r="I3" s="60"/>
      <c r="J3" s="60"/>
      <c r="K3" s="60"/>
      <c r="O3" s="125" t="s">
        <v>4</v>
      </c>
      <c r="P3" s="126" t="s">
        <v>727</v>
      </c>
      <c r="Q3" s="127" t="s">
        <v>728</v>
      </c>
      <c r="R3" s="127" t="s">
        <v>729</v>
      </c>
      <c r="S3" s="127" t="s">
        <v>730</v>
      </c>
      <c r="T3" s="127" t="s">
        <v>731</v>
      </c>
      <c r="U3" s="128" t="s">
        <v>732</v>
      </c>
      <c r="V3" s="8" t="n">
        <f aca="false">COUNTA(P3:U3)</f>
        <v>6</v>
      </c>
    </row>
    <row collapsed="false" customFormat="false" customHeight="false" hidden="false" ht="15" outlineLevel="0" r="4">
      <c r="C4" s="19" t="n">
        <v>260</v>
      </c>
      <c r="D4" s="24" t="n">
        <v>273</v>
      </c>
      <c r="E4" s="24" t="n">
        <v>800</v>
      </c>
      <c r="F4" s="60"/>
      <c r="G4" s="60" t="n">
        <v>2000</v>
      </c>
      <c r="H4" s="60"/>
      <c r="I4" s="60"/>
      <c r="J4" s="60" t="n">
        <v>1000</v>
      </c>
      <c r="K4" s="60" t="n">
        <v>2000</v>
      </c>
      <c r="O4" s="129" t="n">
        <v>1</v>
      </c>
      <c r="P4" s="130"/>
      <c r="Q4" s="131" t="n">
        <v>1</v>
      </c>
      <c r="R4" s="132"/>
      <c r="S4" s="132"/>
      <c r="T4" s="132"/>
      <c r="U4" s="133"/>
      <c r="V4" s="8" t="n">
        <f aca="false">COUNTA(P4:U4)</f>
        <v>1</v>
      </c>
    </row>
    <row collapsed="false" customFormat="false" customHeight="false" hidden="false" ht="15" outlineLevel="0" r="5">
      <c r="C5" s="19" t="n">
        <v>203</v>
      </c>
      <c r="D5" s="24" t="n">
        <v>213</v>
      </c>
      <c r="E5" s="24" t="n">
        <v>800</v>
      </c>
      <c r="F5" s="60" t="n">
        <v>2600</v>
      </c>
      <c r="G5" s="60"/>
      <c r="H5" s="60"/>
      <c r="I5" s="60"/>
      <c r="J5" s="60" t="n">
        <v>4200</v>
      </c>
      <c r="K5" s="60"/>
      <c r="O5" s="134" t="n">
        <v>2</v>
      </c>
      <c r="P5" s="135"/>
      <c r="Q5" s="136"/>
      <c r="R5" s="136"/>
      <c r="S5" s="136"/>
      <c r="T5" s="136"/>
      <c r="U5" s="137"/>
      <c r="V5" s="8" t="n">
        <f aca="false">COUNTA(P5:U5)</f>
        <v>0</v>
      </c>
    </row>
    <row collapsed="false" customFormat="false" customHeight="false" hidden="false" ht="15" outlineLevel="0" r="6">
      <c r="C6" s="19" t="n">
        <v>316</v>
      </c>
      <c r="D6" s="24" t="s">
        <v>379</v>
      </c>
      <c r="E6" s="24" t="n">
        <v>800</v>
      </c>
      <c r="F6" s="60" t="n">
        <v>800</v>
      </c>
      <c r="G6" s="60"/>
      <c r="H6" s="60"/>
      <c r="I6" s="60"/>
      <c r="J6" s="60"/>
      <c r="K6" s="60"/>
      <c r="O6" s="134" t="n">
        <v>3</v>
      </c>
      <c r="P6" s="135"/>
      <c r="Q6" s="136"/>
      <c r="R6" s="136"/>
      <c r="S6" s="136"/>
      <c r="T6" s="136"/>
      <c r="U6" s="137"/>
      <c r="V6" s="8" t="n">
        <f aca="false">COUNTA(P6:U6)</f>
        <v>0</v>
      </c>
    </row>
    <row collapsed="false" customFormat="false" customHeight="false" hidden="false" ht="15" outlineLevel="0" r="7">
      <c r="C7" s="19" t="n">
        <v>232</v>
      </c>
      <c r="D7" s="24" t="n">
        <v>241</v>
      </c>
      <c r="E7" s="24" t="n">
        <v>800</v>
      </c>
      <c r="F7" s="60"/>
      <c r="G7" s="60"/>
      <c r="H7" s="60"/>
      <c r="I7" s="60"/>
      <c r="J7" s="60"/>
      <c r="K7" s="60"/>
      <c r="O7" s="134" t="n">
        <v>4</v>
      </c>
      <c r="P7" s="135"/>
      <c r="Q7" s="136"/>
      <c r="R7" s="136"/>
      <c r="S7" s="136"/>
      <c r="T7" s="138" t="n">
        <v>1</v>
      </c>
      <c r="U7" s="137"/>
      <c r="V7" s="8" t="n">
        <f aca="false">COUNTA(P7:U7)</f>
        <v>1</v>
      </c>
    </row>
    <row collapsed="false" customFormat="false" customHeight="false" hidden="false" ht="15" outlineLevel="0" r="8">
      <c r="C8" s="19" t="n">
        <v>277</v>
      </c>
      <c r="D8" s="24" t="n">
        <v>290</v>
      </c>
      <c r="E8" s="24" t="n">
        <v>800</v>
      </c>
      <c r="F8" s="60"/>
      <c r="G8" s="60"/>
      <c r="H8" s="60"/>
      <c r="I8" s="60"/>
      <c r="J8" s="60"/>
      <c r="K8" s="60"/>
      <c r="O8" s="134" t="n">
        <v>5</v>
      </c>
      <c r="P8" s="135"/>
      <c r="Q8" s="136"/>
      <c r="R8" s="136"/>
      <c r="S8" s="136"/>
      <c r="T8" s="136"/>
      <c r="U8" s="137"/>
      <c r="V8" s="8" t="n">
        <f aca="false">COUNTA(P8:U8)</f>
        <v>0</v>
      </c>
    </row>
    <row collapsed="false" customFormat="false" customHeight="false" hidden="false" ht="15" outlineLevel="0" r="9">
      <c r="C9" s="19" t="n">
        <v>221</v>
      </c>
      <c r="D9" s="24" t="n">
        <v>230</v>
      </c>
      <c r="E9" s="24" t="n">
        <v>800</v>
      </c>
      <c r="F9" s="60" t="n">
        <v>12000</v>
      </c>
      <c r="G9" s="60"/>
      <c r="H9" s="60"/>
      <c r="I9" s="60"/>
      <c r="J9" s="60"/>
      <c r="K9" s="60"/>
      <c r="O9" s="134" t="n">
        <v>6</v>
      </c>
      <c r="P9" s="135"/>
      <c r="Q9" s="136"/>
      <c r="R9" s="136"/>
      <c r="S9" s="136"/>
      <c r="T9" s="138" t="n">
        <v>1</v>
      </c>
      <c r="U9" s="137"/>
      <c r="V9" s="8" t="n">
        <f aca="false">COUNTA(P9:U9)</f>
        <v>1</v>
      </c>
    </row>
    <row collapsed="false" customFormat="false" customHeight="false" hidden="false" ht="15" outlineLevel="0" r="10">
      <c r="C10" s="19" t="n">
        <v>259</v>
      </c>
      <c r="D10" s="24" t="n">
        <v>272</v>
      </c>
      <c r="E10" s="24" t="n">
        <v>800</v>
      </c>
      <c r="F10" s="60"/>
      <c r="G10" s="60"/>
      <c r="H10" s="60"/>
      <c r="I10" s="60"/>
      <c r="J10" s="60"/>
      <c r="K10" s="60"/>
      <c r="O10" s="134" t="n">
        <v>7</v>
      </c>
      <c r="P10" s="135"/>
      <c r="Q10" s="136"/>
      <c r="R10" s="136"/>
      <c r="S10" s="136"/>
      <c r="T10" s="136"/>
      <c r="U10" s="137"/>
      <c r="V10" s="8" t="n">
        <f aca="false">COUNTA(P10:U10)</f>
        <v>0</v>
      </c>
    </row>
    <row collapsed="false" customFormat="false" customHeight="false" hidden="false" ht="15" outlineLevel="0" r="11">
      <c r="C11" s="19" t="n">
        <v>109</v>
      </c>
      <c r="D11" s="24" t="n">
        <v>114</v>
      </c>
      <c r="E11" s="24" t="n">
        <v>800</v>
      </c>
      <c r="F11" s="60"/>
      <c r="G11" s="60" t="n">
        <v>1000</v>
      </c>
      <c r="H11" s="60" t="n">
        <v>1000</v>
      </c>
      <c r="I11" s="60"/>
      <c r="J11" s="60"/>
      <c r="K11" s="60"/>
      <c r="O11" s="134" t="n">
        <v>8</v>
      </c>
      <c r="P11" s="135"/>
      <c r="Q11" s="136"/>
      <c r="R11" s="136"/>
      <c r="S11" s="136"/>
      <c r="T11" s="136"/>
      <c r="U11" s="139" t="n">
        <v>1</v>
      </c>
      <c r="V11" s="8" t="n">
        <f aca="false">COUNTA(P11:U11)</f>
        <v>1</v>
      </c>
    </row>
    <row collapsed="false" customFormat="false" customHeight="false" hidden="false" ht="15" outlineLevel="0" r="12">
      <c r="C12" s="19" t="n">
        <v>130</v>
      </c>
      <c r="D12" s="24" t="n">
        <v>137</v>
      </c>
      <c r="E12" s="24" t="n">
        <v>800</v>
      </c>
      <c r="F12" s="60"/>
      <c r="G12" s="60" t="n">
        <v>800</v>
      </c>
      <c r="H12" s="60"/>
      <c r="I12" s="60"/>
      <c r="J12" s="60"/>
      <c r="K12" s="60" t="n">
        <v>2400</v>
      </c>
      <c r="O12" s="134" t="n">
        <v>9</v>
      </c>
      <c r="P12" s="135"/>
      <c r="Q12" s="136"/>
      <c r="R12" s="136"/>
      <c r="S12" s="136"/>
      <c r="T12" s="138" t="n">
        <v>1</v>
      </c>
      <c r="U12" s="139" t="n">
        <v>1</v>
      </c>
      <c r="V12" s="8" t="n">
        <f aca="false">COUNTA(P12:U12)</f>
        <v>2</v>
      </c>
    </row>
    <row collapsed="false" customFormat="false" customHeight="false" hidden="false" ht="15" outlineLevel="0" r="13">
      <c r="C13" s="19" t="n">
        <v>7</v>
      </c>
      <c r="D13" s="24" t="n">
        <v>7</v>
      </c>
      <c r="E13" s="24" t="n">
        <v>800</v>
      </c>
      <c r="F13" s="60"/>
      <c r="G13" s="60"/>
      <c r="H13" s="60"/>
      <c r="I13" s="60"/>
      <c r="J13" s="60"/>
      <c r="K13" s="60"/>
      <c r="O13" s="134" t="n">
        <v>10</v>
      </c>
      <c r="P13" s="135"/>
      <c r="Q13" s="136"/>
      <c r="R13" s="136"/>
      <c r="S13" s="136"/>
      <c r="T13" s="136"/>
      <c r="U13" s="137"/>
      <c r="V13" s="8" t="n">
        <f aca="false">COUNTA(P13:U13)</f>
        <v>0</v>
      </c>
    </row>
    <row collapsed="false" customFormat="false" customHeight="false" hidden="false" ht="15" outlineLevel="0" r="14">
      <c r="C14" s="19" t="n">
        <v>7</v>
      </c>
      <c r="D14" s="24" t="n">
        <v>14</v>
      </c>
      <c r="E14" s="24"/>
      <c r="F14" s="60"/>
      <c r="G14" s="60"/>
      <c r="H14" s="60"/>
      <c r="I14" s="60"/>
      <c r="J14" s="60"/>
      <c r="K14" s="60"/>
      <c r="O14" s="134" t="n">
        <v>11</v>
      </c>
      <c r="P14" s="135"/>
      <c r="Q14" s="136"/>
      <c r="R14" s="136"/>
      <c r="S14" s="136"/>
      <c r="T14" s="136"/>
      <c r="U14" s="137"/>
      <c r="V14" s="8" t="n">
        <f aca="false">COUNTA(P14:U14)</f>
        <v>0</v>
      </c>
    </row>
    <row collapsed="false" customFormat="false" customHeight="false" hidden="false" ht="15" outlineLevel="0" r="15">
      <c r="C15" s="19" t="n">
        <v>193</v>
      </c>
      <c r="D15" s="24" t="n">
        <v>201</v>
      </c>
      <c r="E15" s="24" t="n">
        <v>800</v>
      </c>
      <c r="F15" s="60"/>
      <c r="G15" s="60"/>
      <c r="H15" s="60"/>
      <c r="I15" s="60"/>
      <c r="J15" s="60"/>
      <c r="K15" s="60"/>
      <c r="O15" s="134" t="n">
        <v>12</v>
      </c>
      <c r="P15" s="135"/>
      <c r="Q15" s="136"/>
      <c r="R15" s="136"/>
      <c r="S15" s="136"/>
      <c r="T15" s="136"/>
      <c r="U15" s="137"/>
      <c r="V15" s="8" t="n">
        <f aca="false">COUNTA(P15:U15)</f>
        <v>0</v>
      </c>
    </row>
    <row collapsed="false" customFormat="false" customHeight="false" hidden="false" ht="15" outlineLevel="0" r="16">
      <c r="C16" s="19" t="n">
        <v>178</v>
      </c>
      <c r="D16" s="24" t="n">
        <v>186</v>
      </c>
      <c r="E16" s="24" t="n">
        <v>800</v>
      </c>
      <c r="F16" s="60"/>
      <c r="G16" s="60"/>
      <c r="H16" s="60"/>
      <c r="I16" s="60"/>
      <c r="J16" s="60"/>
      <c r="K16" s="60"/>
      <c r="O16" s="134" t="n">
        <v>13</v>
      </c>
      <c r="P16" s="135"/>
      <c r="Q16" s="136"/>
      <c r="R16" s="136"/>
      <c r="S16" s="136"/>
      <c r="T16" s="136"/>
      <c r="U16" s="137"/>
      <c r="V16" s="8" t="n">
        <f aca="false">COUNTA(P16:U16)</f>
        <v>0</v>
      </c>
    </row>
    <row collapsed="false" customFormat="false" customHeight="false" hidden="false" ht="15" outlineLevel="0" r="17">
      <c r="C17" s="19" t="n">
        <v>119</v>
      </c>
      <c r="D17" s="24" t="n">
        <v>124</v>
      </c>
      <c r="E17" s="24" t="n">
        <v>800</v>
      </c>
      <c r="F17" s="60"/>
      <c r="G17" s="60"/>
      <c r="H17" s="60" t="n">
        <v>3000</v>
      </c>
      <c r="I17" s="60"/>
      <c r="J17" s="60"/>
      <c r="K17" s="60"/>
      <c r="O17" s="134" t="n">
        <v>15</v>
      </c>
      <c r="P17" s="135"/>
      <c r="Q17" s="138" t="n">
        <v>1</v>
      </c>
      <c r="R17" s="136"/>
      <c r="S17" s="136"/>
      <c r="T17" s="136"/>
      <c r="U17" s="139" t="n">
        <v>1</v>
      </c>
      <c r="V17" s="8" t="n">
        <f aca="false">COUNTA(P17:U17)</f>
        <v>2</v>
      </c>
    </row>
    <row collapsed="false" customFormat="false" customHeight="false" hidden="false" ht="15" outlineLevel="0" r="18">
      <c r="C18" s="19" t="n">
        <v>293</v>
      </c>
      <c r="D18" s="24" t="n">
        <v>308</v>
      </c>
      <c r="E18" s="24" t="n">
        <v>800</v>
      </c>
      <c r="F18" s="60"/>
      <c r="G18" s="60"/>
      <c r="H18" s="60"/>
      <c r="I18" s="60"/>
      <c r="J18" s="60"/>
      <c r="K18" s="60"/>
      <c r="O18" s="134" t="n">
        <v>16</v>
      </c>
      <c r="P18" s="135"/>
      <c r="Q18" s="136"/>
      <c r="R18" s="136"/>
      <c r="S18" s="136"/>
      <c r="T18" s="136"/>
      <c r="U18" s="139" t="n">
        <v>1</v>
      </c>
      <c r="V18" s="8" t="n">
        <f aca="false">COUNTA(P18:U18)</f>
        <v>1</v>
      </c>
    </row>
    <row collapsed="false" customFormat="false" customHeight="false" hidden="false" ht="15" outlineLevel="0" r="19">
      <c r="C19" s="19" t="n">
        <v>191</v>
      </c>
      <c r="D19" s="24" t="n">
        <v>199</v>
      </c>
      <c r="E19" s="24" t="n">
        <v>800</v>
      </c>
      <c r="F19" s="60"/>
      <c r="G19" s="60"/>
      <c r="H19" s="60"/>
      <c r="I19" s="60"/>
      <c r="J19" s="60"/>
      <c r="K19" s="60"/>
      <c r="O19" s="134" t="n">
        <v>17</v>
      </c>
      <c r="P19" s="140" t="n">
        <v>1</v>
      </c>
      <c r="Q19" s="136"/>
      <c r="R19" s="138" t="n">
        <v>1</v>
      </c>
      <c r="S19" s="136"/>
      <c r="T19" s="136"/>
      <c r="U19" s="139" t="n">
        <v>1</v>
      </c>
      <c r="V19" s="8" t="n">
        <f aca="false">COUNTA(P19:U19)</f>
        <v>3</v>
      </c>
    </row>
    <row collapsed="false" customFormat="false" customHeight="false" hidden="false" ht="15" outlineLevel="0" r="20">
      <c r="C20" s="19" t="n">
        <v>249</v>
      </c>
      <c r="D20" s="24" t="n">
        <v>260</v>
      </c>
      <c r="E20" s="24" t="n">
        <v>800</v>
      </c>
      <c r="F20" s="60"/>
      <c r="G20" s="60"/>
      <c r="H20" s="60"/>
      <c r="I20" s="60"/>
      <c r="J20" s="60"/>
      <c r="K20" s="60"/>
      <c r="O20" s="134" t="n">
        <v>18</v>
      </c>
      <c r="P20" s="135"/>
      <c r="Q20" s="136"/>
      <c r="R20" s="136"/>
      <c r="S20" s="136"/>
      <c r="T20" s="136"/>
      <c r="U20" s="137"/>
      <c r="V20" s="8" t="n">
        <f aca="false">COUNTA(P20:U20)</f>
        <v>0</v>
      </c>
    </row>
    <row collapsed="false" customFormat="false" customHeight="false" hidden="false" ht="15" outlineLevel="0" r="21">
      <c r="C21" s="19" t="n">
        <v>72</v>
      </c>
      <c r="D21" s="24" t="n">
        <v>78</v>
      </c>
      <c r="E21" s="24" t="n">
        <v>800</v>
      </c>
      <c r="F21" s="60"/>
      <c r="G21" s="60"/>
      <c r="H21" s="60"/>
      <c r="I21" s="60"/>
      <c r="J21" s="60"/>
      <c r="K21" s="60"/>
      <c r="O21" s="134" t="n">
        <v>19</v>
      </c>
      <c r="P21" s="135"/>
      <c r="Q21" s="136"/>
      <c r="R21" s="136"/>
      <c r="S21" s="136"/>
      <c r="T21" s="136"/>
      <c r="U21" s="139" t="n">
        <v>1</v>
      </c>
      <c r="V21" s="8" t="n">
        <f aca="false">COUNTA(P21:U21)</f>
        <v>1</v>
      </c>
    </row>
    <row collapsed="false" customFormat="false" customHeight="false" hidden="false" ht="15" outlineLevel="0" r="22">
      <c r="C22" s="19" t="n">
        <v>125</v>
      </c>
      <c r="D22" s="24" t="n">
        <v>130</v>
      </c>
      <c r="E22" s="24" t="n">
        <v>800</v>
      </c>
      <c r="F22" s="60"/>
      <c r="G22" s="60"/>
      <c r="H22" s="60"/>
      <c r="I22" s="60"/>
      <c r="J22" s="60"/>
      <c r="K22" s="60" t="n">
        <v>3000</v>
      </c>
      <c r="O22" s="134" t="n">
        <v>20</v>
      </c>
      <c r="P22" s="135"/>
      <c r="Q22" s="136"/>
      <c r="R22" s="136"/>
      <c r="S22" s="136"/>
      <c r="T22" s="136"/>
      <c r="U22" s="137"/>
      <c r="V22" s="8" t="n">
        <f aca="false">COUNTA(P22:U22)</f>
        <v>0</v>
      </c>
    </row>
    <row collapsed="false" customFormat="false" customHeight="false" hidden="false" ht="15" outlineLevel="0" r="23">
      <c r="C23" s="19" t="n">
        <v>229</v>
      </c>
      <c r="D23" s="24" t="n">
        <v>238</v>
      </c>
      <c r="E23" s="24" t="n">
        <v>800</v>
      </c>
      <c r="F23" s="60"/>
      <c r="G23" s="60"/>
      <c r="H23" s="60"/>
      <c r="I23" s="60"/>
      <c r="J23" s="60"/>
      <c r="K23" s="60"/>
      <c r="O23" s="134" t="n">
        <v>21</v>
      </c>
      <c r="P23" s="135"/>
      <c r="Q23" s="136"/>
      <c r="R23" s="136"/>
      <c r="S23" s="136"/>
      <c r="T23" s="136"/>
      <c r="U23" s="137"/>
      <c r="V23" s="8" t="n">
        <f aca="false">COUNTA(P23:U23)</f>
        <v>0</v>
      </c>
    </row>
    <row collapsed="false" customFormat="false" customHeight="false" hidden="false" ht="15" outlineLevel="0" r="24">
      <c r="C24" s="19" t="n">
        <v>296</v>
      </c>
      <c r="D24" s="24" t="n">
        <v>311</v>
      </c>
      <c r="E24" s="24" t="n">
        <v>800</v>
      </c>
      <c r="F24" s="60"/>
      <c r="G24" s="60"/>
      <c r="H24" s="60"/>
      <c r="I24" s="60"/>
      <c r="J24" s="60"/>
      <c r="K24" s="60"/>
      <c r="O24" s="134" t="n">
        <v>22</v>
      </c>
      <c r="P24" s="135"/>
      <c r="Q24" s="136"/>
      <c r="R24" s="136"/>
      <c r="S24" s="136"/>
      <c r="T24" s="136"/>
      <c r="U24" s="137"/>
      <c r="V24" s="8" t="n">
        <f aca="false">COUNTA(P24:U24)</f>
        <v>0</v>
      </c>
    </row>
    <row collapsed="false" customFormat="false" customHeight="false" hidden="false" ht="15" outlineLevel="0" r="25">
      <c r="C25" s="19" t="n">
        <v>281</v>
      </c>
      <c r="D25" s="24" t="n">
        <v>293</v>
      </c>
      <c r="E25" s="24" t="n">
        <v>800</v>
      </c>
      <c r="F25" s="60"/>
      <c r="G25" s="60"/>
      <c r="H25" s="60"/>
      <c r="I25" s="60"/>
      <c r="J25" s="60"/>
      <c r="K25" s="60"/>
      <c r="O25" s="134" t="n">
        <v>23</v>
      </c>
      <c r="P25" s="140" t="n">
        <v>1</v>
      </c>
      <c r="Q25" s="136"/>
      <c r="R25" s="136"/>
      <c r="S25" s="136"/>
      <c r="T25" s="136"/>
      <c r="U25" s="137"/>
      <c r="V25" s="8" t="n">
        <f aca="false">COUNTA(P25:U25)</f>
        <v>1</v>
      </c>
    </row>
    <row collapsed="false" customFormat="false" customHeight="false" hidden="false" ht="15" outlineLevel="0" r="26">
      <c r="C26" s="19" t="n">
        <v>198</v>
      </c>
      <c r="D26" s="24" t="n">
        <v>206</v>
      </c>
      <c r="E26" s="24" t="n">
        <v>800</v>
      </c>
      <c r="F26" s="60"/>
      <c r="G26" s="60"/>
      <c r="H26" s="60" t="n">
        <v>3200</v>
      </c>
      <c r="I26" s="60"/>
      <c r="J26" s="60" t="n">
        <v>800</v>
      </c>
      <c r="K26" s="60"/>
      <c r="O26" s="134" t="n">
        <v>24</v>
      </c>
      <c r="P26" s="135"/>
      <c r="Q26" s="136"/>
      <c r="R26" s="136"/>
      <c r="S26" s="136"/>
      <c r="T26" s="136"/>
      <c r="U26" s="137"/>
      <c r="V26" s="8" t="n">
        <f aca="false">COUNTA(P26:U26)</f>
        <v>0</v>
      </c>
    </row>
    <row collapsed="false" customFormat="false" customHeight="false" hidden="false" ht="15" outlineLevel="0" r="27">
      <c r="C27" s="19" t="n">
        <v>52</v>
      </c>
      <c r="D27" s="24" t="n">
        <v>54</v>
      </c>
      <c r="E27" s="24" t="n">
        <v>800</v>
      </c>
      <c r="F27" s="60" t="n">
        <v>3000</v>
      </c>
      <c r="G27" s="60" t="n">
        <v>2000</v>
      </c>
      <c r="H27" s="60" t="n">
        <v>800</v>
      </c>
      <c r="I27" s="60"/>
      <c r="J27" s="60" t="n">
        <v>1600</v>
      </c>
      <c r="K27" s="60"/>
      <c r="O27" s="134" t="n">
        <v>25</v>
      </c>
      <c r="P27" s="135"/>
      <c r="Q27" s="136"/>
      <c r="R27" s="138" t="n">
        <v>1</v>
      </c>
      <c r="S27" s="136"/>
      <c r="T27" s="138" t="n">
        <v>1</v>
      </c>
      <c r="U27" s="139" t="n">
        <v>1</v>
      </c>
      <c r="V27" s="8" t="n">
        <f aca="false">COUNTA(P27:U27)</f>
        <v>3</v>
      </c>
    </row>
    <row collapsed="false" customFormat="false" customHeight="false" hidden="false" ht="15" outlineLevel="0" r="28">
      <c r="C28" s="19" t="n">
        <v>51</v>
      </c>
      <c r="D28" s="24" t="n">
        <v>53</v>
      </c>
      <c r="E28" s="24" t="n">
        <v>800</v>
      </c>
      <c r="F28" s="60" t="n">
        <v>3000</v>
      </c>
      <c r="G28" s="60" t="n">
        <v>2000</v>
      </c>
      <c r="H28" s="60" t="n">
        <v>800</v>
      </c>
      <c r="I28" s="60"/>
      <c r="J28" s="60" t="n">
        <v>1600</v>
      </c>
      <c r="K28" s="60"/>
      <c r="O28" s="134" t="n">
        <v>26</v>
      </c>
      <c r="P28" s="135"/>
      <c r="Q28" s="136"/>
      <c r="R28" s="136"/>
      <c r="S28" s="136"/>
      <c r="T28" s="136"/>
      <c r="U28" s="137"/>
      <c r="V28" s="8" t="n">
        <f aca="false">COUNTA(P28:U28)</f>
        <v>0</v>
      </c>
    </row>
    <row collapsed="false" customFormat="false" customHeight="false" hidden="false" ht="15" outlineLevel="0" r="29">
      <c r="C29" s="19" t="n">
        <v>136</v>
      </c>
      <c r="D29" s="24" t="n">
        <v>144</v>
      </c>
      <c r="E29" s="24" t="n">
        <v>800</v>
      </c>
      <c r="F29" s="60"/>
      <c r="G29" s="60"/>
      <c r="H29" s="60"/>
      <c r="I29" s="60"/>
      <c r="J29" s="60"/>
      <c r="K29" s="60"/>
      <c r="O29" s="134" t="n">
        <v>27</v>
      </c>
      <c r="P29" s="135"/>
      <c r="Q29" s="136"/>
      <c r="R29" s="136"/>
      <c r="S29" s="136"/>
      <c r="T29" s="136"/>
      <c r="U29" s="137"/>
      <c r="V29" s="8" t="n">
        <f aca="false">COUNTA(P29:U29)</f>
        <v>0</v>
      </c>
    </row>
    <row collapsed="false" customFormat="false" customHeight="false" hidden="false" ht="15" outlineLevel="0" r="30">
      <c r="C30" s="19" t="n">
        <v>11</v>
      </c>
      <c r="D30" s="24" t="n">
        <v>11</v>
      </c>
      <c r="E30" s="24" t="n">
        <v>800</v>
      </c>
      <c r="F30" s="60"/>
      <c r="G30" s="60"/>
      <c r="H30" s="60"/>
      <c r="I30" s="60"/>
      <c r="J30" s="60"/>
      <c r="K30" s="60"/>
      <c r="O30" s="134" t="n">
        <v>28</v>
      </c>
      <c r="P30" s="135"/>
      <c r="Q30" s="138" t="n">
        <v>1</v>
      </c>
      <c r="R30" s="136"/>
      <c r="S30" s="138" t="n">
        <v>1</v>
      </c>
      <c r="T30" s="136"/>
      <c r="U30" s="137"/>
      <c r="V30" s="8" t="n">
        <f aca="false">COUNTA(P30:U30)</f>
        <v>2</v>
      </c>
    </row>
    <row collapsed="false" customFormat="false" customHeight="false" hidden="false" ht="15" outlineLevel="0" r="31">
      <c r="C31" s="19" t="n">
        <v>114</v>
      </c>
      <c r="D31" s="24" t="n">
        <v>119</v>
      </c>
      <c r="E31" s="24" t="n">
        <v>800</v>
      </c>
      <c r="F31" s="60"/>
      <c r="G31" s="60"/>
      <c r="H31" s="60"/>
      <c r="I31" s="60"/>
      <c r="J31" s="60"/>
      <c r="K31" s="60"/>
      <c r="O31" s="134" t="n">
        <v>29</v>
      </c>
      <c r="P31" s="140" t="n">
        <v>1</v>
      </c>
      <c r="Q31" s="138" t="n">
        <v>1</v>
      </c>
      <c r="R31" s="138" t="n">
        <v>1</v>
      </c>
      <c r="S31" s="138" t="n">
        <v>1</v>
      </c>
      <c r="T31" s="136"/>
      <c r="U31" s="137"/>
      <c r="V31" s="8" t="n">
        <f aca="false">COUNTA(P31:U31)</f>
        <v>4</v>
      </c>
    </row>
    <row collapsed="false" customFormat="false" customHeight="false" hidden="false" ht="15" outlineLevel="0" r="32">
      <c r="C32" s="19" t="n">
        <v>151</v>
      </c>
      <c r="D32" s="24" t="n">
        <v>159</v>
      </c>
      <c r="E32" s="24" t="n">
        <v>800</v>
      </c>
      <c r="F32" s="60"/>
      <c r="G32" s="60"/>
      <c r="H32" s="60"/>
      <c r="I32" s="60"/>
      <c r="J32" s="60"/>
      <c r="K32" s="60"/>
      <c r="O32" s="134" t="n">
        <v>30</v>
      </c>
      <c r="P32" s="135"/>
      <c r="Q32" s="136"/>
      <c r="R32" s="136"/>
      <c r="S32" s="136"/>
      <c r="T32" s="136"/>
      <c r="U32" s="137"/>
      <c r="V32" s="8" t="n">
        <f aca="false">COUNTA(P32:U32)</f>
        <v>0</v>
      </c>
    </row>
    <row collapsed="false" customFormat="false" customHeight="false" hidden="false" ht="15" outlineLevel="0" r="33">
      <c r="C33" s="19" t="n">
        <v>142</v>
      </c>
      <c r="D33" s="24" t="n">
        <v>150</v>
      </c>
      <c r="E33" s="24" t="n">
        <v>800</v>
      </c>
      <c r="F33" s="60"/>
      <c r="G33" s="60"/>
      <c r="H33" s="60"/>
      <c r="I33" s="60"/>
      <c r="J33" s="60"/>
      <c r="K33" s="60"/>
      <c r="O33" s="134" t="n">
        <v>31</v>
      </c>
      <c r="P33" s="135"/>
      <c r="Q33" s="136"/>
      <c r="R33" s="136"/>
      <c r="S33" s="138" t="n">
        <v>1</v>
      </c>
      <c r="T33" s="138" t="n">
        <v>1</v>
      </c>
      <c r="U33" s="137"/>
      <c r="V33" s="8" t="n">
        <f aca="false">COUNTA(P33:U33)</f>
        <v>2</v>
      </c>
    </row>
    <row collapsed="false" customFormat="false" customHeight="false" hidden="false" ht="15" outlineLevel="0" r="34">
      <c r="C34" s="19" t="n">
        <v>245</v>
      </c>
      <c r="D34" s="24" t="n">
        <v>256</v>
      </c>
      <c r="E34" s="24" t="n">
        <v>800</v>
      </c>
      <c r="F34" s="60"/>
      <c r="G34" s="60"/>
      <c r="H34" s="60"/>
      <c r="I34" s="60"/>
      <c r="J34" s="60"/>
      <c r="K34" s="60" t="n">
        <v>9000</v>
      </c>
      <c r="O34" s="134" t="n">
        <v>32</v>
      </c>
      <c r="P34" s="140" t="n">
        <v>1</v>
      </c>
      <c r="Q34" s="136"/>
      <c r="R34" s="136"/>
      <c r="S34" s="136"/>
      <c r="T34" s="136"/>
      <c r="U34" s="139" t="n">
        <v>1</v>
      </c>
      <c r="V34" s="8" t="n">
        <f aca="false">COUNTA(P34:U34)</f>
        <v>2</v>
      </c>
    </row>
    <row collapsed="false" customFormat="false" customHeight="false" hidden="false" ht="15" outlineLevel="0" r="35">
      <c r="C35" s="19" t="n">
        <v>188</v>
      </c>
      <c r="D35" s="24" t="n">
        <v>196</v>
      </c>
      <c r="E35" s="24" t="n">
        <v>800</v>
      </c>
      <c r="F35" s="60"/>
      <c r="G35" s="60"/>
      <c r="H35" s="60"/>
      <c r="I35" s="60"/>
      <c r="J35" s="60"/>
      <c r="K35" s="60"/>
      <c r="O35" s="134" t="n">
        <v>33</v>
      </c>
      <c r="P35" s="135"/>
      <c r="Q35" s="136"/>
      <c r="R35" s="136"/>
      <c r="S35" s="136"/>
      <c r="T35" s="138" t="n">
        <v>1</v>
      </c>
      <c r="U35" s="137"/>
      <c r="V35" s="8" t="n">
        <f aca="false">COUNTA(P35:U35)</f>
        <v>1</v>
      </c>
    </row>
    <row collapsed="false" customFormat="false" customHeight="false" hidden="false" ht="15" outlineLevel="0" r="36">
      <c r="C36" s="19" t="n">
        <v>188</v>
      </c>
      <c r="D36" s="24" t="n">
        <v>197</v>
      </c>
      <c r="E36" s="24"/>
      <c r="F36" s="60"/>
      <c r="G36" s="60"/>
      <c r="H36" s="60"/>
      <c r="I36" s="60"/>
      <c r="J36" s="60"/>
      <c r="K36" s="60"/>
      <c r="O36" s="134" t="n">
        <v>34</v>
      </c>
      <c r="P36" s="135"/>
      <c r="Q36" s="136"/>
      <c r="R36" s="136"/>
      <c r="S36" s="136"/>
      <c r="T36" s="136"/>
      <c r="U36" s="137"/>
      <c r="V36" s="8" t="n">
        <f aca="false">COUNTA(P36:U36)</f>
        <v>0</v>
      </c>
    </row>
    <row collapsed="false" customFormat="false" customHeight="false" hidden="false" ht="15" outlineLevel="0" r="37">
      <c r="C37" s="19" t="n">
        <v>219</v>
      </c>
      <c r="D37" s="24" t="n">
        <v>228</v>
      </c>
      <c r="E37" s="24" t="n">
        <v>800</v>
      </c>
      <c r="F37" s="60"/>
      <c r="G37" s="60"/>
      <c r="H37" s="60" t="n">
        <v>3000</v>
      </c>
      <c r="I37" s="60"/>
      <c r="J37" s="60"/>
      <c r="K37" s="60" t="n">
        <v>3000</v>
      </c>
      <c r="O37" s="134" t="n">
        <v>35</v>
      </c>
      <c r="P37" s="135"/>
      <c r="Q37" s="136"/>
      <c r="R37" s="136"/>
      <c r="S37" s="136"/>
      <c r="T37" s="136"/>
      <c r="U37" s="137"/>
      <c r="V37" s="8" t="n">
        <f aca="false">COUNTA(P37:U37)</f>
        <v>0</v>
      </c>
    </row>
    <row collapsed="false" customFormat="false" customHeight="false" hidden="false" ht="15" outlineLevel="0" r="38">
      <c r="C38" s="19" t="n">
        <v>223</v>
      </c>
      <c r="D38" s="24" t="n">
        <v>232</v>
      </c>
      <c r="E38" s="24" t="n">
        <v>800</v>
      </c>
      <c r="F38" s="60"/>
      <c r="G38" s="60"/>
      <c r="H38" s="60"/>
      <c r="I38" s="60"/>
      <c r="J38" s="60"/>
      <c r="K38" s="60"/>
      <c r="O38" s="134" t="n">
        <v>36</v>
      </c>
      <c r="P38" s="135"/>
      <c r="Q38" s="136"/>
      <c r="R38" s="136"/>
      <c r="S38" s="136"/>
      <c r="T38" s="136"/>
      <c r="U38" s="137"/>
      <c r="V38" s="8" t="n">
        <f aca="false">COUNTA(P38:U38)</f>
        <v>0</v>
      </c>
    </row>
    <row collapsed="false" customFormat="false" customHeight="false" hidden="false" ht="15" outlineLevel="0" r="39">
      <c r="C39" s="19" t="n">
        <v>137</v>
      </c>
      <c r="D39" s="24" t="n">
        <v>145</v>
      </c>
      <c r="E39" s="24" t="n">
        <v>800</v>
      </c>
      <c r="F39" s="60"/>
      <c r="G39" s="60" t="n">
        <v>1600</v>
      </c>
      <c r="H39" s="60"/>
      <c r="I39" s="60"/>
      <c r="J39" s="60"/>
      <c r="K39" s="60" t="n">
        <v>800</v>
      </c>
      <c r="O39" s="134" t="n">
        <v>37</v>
      </c>
      <c r="P39" s="135"/>
      <c r="Q39" s="136"/>
      <c r="R39" s="136"/>
      <c r="S39" s="136"/>
      <c r="T39" s="136"/>
      <c r="U39" s="137"/>
      <c r="V39" s="8" t="n">
        <f aca="false">COUNTA(P39:U39)</f>
        <v>0</v>
      </c>
    </row>
    <row collapsed="false" customFormat="false" customHeight="false" hidden="false" ht="15" outlineLevel="0" r="40">
      <c r="C40" s="19" t="n">
        <v>105</v>
      </c>
      <c r="D40" s="24" t="n">
        <v>110</v>
      </c>
      <c r="E40" s="24" t="n">
        <v>800</v>
      </c>
      <c r="F40" s="60" t="n">
        <v>3000</v>
      </c>
      <c r="G40" s="60"/>
      <c r="H40" s="60"/>
      <c r="I40" s="60"/>
      <c r="J40" s="60"/>
      <c r="K40" s="60" t="n">
        <v>800</v>
      </c>
      <c r="O40" s="134" t="n">
        <v>38</v>
      </c>
      <c r="P40" s="135"/>
      <c r="Q40" s="136"/>
      <c r="R40" s="136"/>
      <c r="S40" s="136"/>
      <c r="T40" s="136"/>
      <c r="U40" s="139" t="n">
        <v>1</v>
      </c>
      <c r="V40" s="8" t="n">
        <f aca="false">COUNTA(P40:U40)</f>
        <v>1</v>
      </c>
    </row>
    <row collapsed="false" customFormat="false" customHeight="false" hidden="false" ht="15" outlineLevel="0" r="41">
      <c r="C41" s="19" t="n">
        <v>98</v>
      </c>
      <c r="D41" s="24" t="n">
        <v>103</v>
      </c>
      <c r="E41" s="24" t="n">
        <v>800</v>
      </c>
      <c r="F41" s="60"/>
      <c r="G41" s="60"/>
      <c r="H41" s="60"/>
      <c r="I41" s="60"/>
      <c r="J41" s="60"/>
      <c r="K41" s="60"/>
      <c r="O41" s="134" t="n">
        <v>39</v>
      </c>
      <c r="P41" s="135"/>
      <c r="Q41" s="136"/>
      <c r="R41" s="136"/>
      <c r="S41" s="136"/>
      <c r="T41" s="136"/>
      <c r="U41" s="137"/>
      <c r="V41" s="8" t="n">
        <f aca="false">COUNTA(P41:U41)</f>
        <v>0</v>
      </c>
    </row>
    <row collapsed="false" customFormat="false" customHeight="false" hidden="false" ht="15" outlineLevel="0" r="42">
      <c r="C42" s="19" t="n">
        <v>274</v>
      </c>
      <c r="D42" s="24" t="n">
        <v>287</v>
      </c>
      <c r="E42" s="24" t="n">
        <v>800</v>
      </c>
      <c r="F42" s="60"/>
      <c r="G42" s="60"/>
      <c r="H42" s="60" t="n">
        <v>1600</v>
      </c>
      <c r="I42" s="60"/>
      <c r="J42" s="60"/>
      <c r="K42" s="60" t="n">
        <v>26800</v>
      </c>
      <c r="O42" s="134" t="n">
        <v>40</v>
      </c>
      <c r="P42" s="135"/>
      <c r="Q42" s="136"/>
      <c r="R42" s="136"/>
      <c r="S42" s="136"/>
      <c r="T42" s="136"/>
      <c r="U42" s="137"/>
      <c r="V42" s="8" t="n">
        <f aca="false">COUNTA(P42:U42)</f>
        <v>0</v>
      </c>
    </row>
    <row collapsed="false" customFormat="false" customHeight="false" hidden="false" ht="15" outlineLevel="0" r="43">
      <c r="C43" s="19" t="n">
        <v>274</v>
      </c>
      <c r="D43" s="24" t="n">
        <v>295</v>
      </c>
      <c r="E43" s="24"/>
      <c r="F43" s="60"/>
      <c r="G43" s="60"/>
      <c r="H43" s="60"/>
      <c r="I43" s="60"/>
      <c r="J43" s="60"/>
      <c r="K43" s="60"/>
      <c r="O43" s="134" t="n">
        <v>41</v>
      </c>
      <c r="P43" s="135"/>
      <c r="Q43" s="136"/>
      <c r="R43" s="136"/>
      <c r="S43" s="136"/>
      <c r="T43" s="136"/>
      <c r="U43" s="137"/>
      <c r="V43" s="8" t="n">
        <f aca="false">COUNTA(P43:U43)</f>
        <v>0</v>
      </c>
    </row>
    <row collapsed="false" customFormat="false" customHeight="false" hidden="false" ht="15" outlineLevel="0" r="44">
      <c r="C44" s="19" t="n">
        <v>175</v>
      </c>
      <c r="D44" s="24" t="n">
        <v>183</v>
      </c>
      <c r="E44" s="24" t="n">
        <v>800</v>
      </c>
      <c r="F44" s="60"/>
      <c r="G44" s="60"/>
      <c r="H44" s="60"/>
      <c r="I44" s="60"/>
      <c r="J44" s="60" t="n">
        <v>21600</v>
      </c>
      <c r="K44" s="60"/>
      <c r="O44" s="134" t="n">
        <v>42</v>
      </c>
      <c r="P44" s="140" t="n">
        <v>1</v>
      </c>
      <c r="Q44" s="138" t="n">
        <v>1</v>
      </c>
      <c r="R44" s="136"/>
      <c r="S44" s="138" t="n">
        <v>1</v>
      </c>
      <c r="T44" s="136"/>
      <c r="U44" s="139" t="n">
        <v>1</v>
      </c>
      <c r="V44" s="8" t="n">
        <f aca="false">COUNTA(P44:U44)</f>
        <v>4</v>
      </c>
    </row>
    <row collapsed="false" customFormat="false" customHeight="false" hidden="false" ht="15" outlineLevel="0" r="45">
      <c r="C45" s="19" t="n">
        <v>175</v>
      </c>
      <c r="D45" s="24" t="n">
        <v>187</v>
      </c>
      <c r="E45" s="24"/>
      <c r="F45" s="60"/>
      <c r="G45" s="60"/>
      <c r="H45" s="60"/>
      <c r="I45" s="60"/>
      <c r="J45" s="60"/>
      <c r="K45" s="60"/>
      <c r="O45" s="134" t="n">
        <v>43</v>
      </c>
      <c r="P45" s="135"/>
      <c r="Q45" s="136"/>
      <c r="R45" s="136"/>
      <c r="S45" s="136"/>
      <c r="T45" s="136"/>
      <c r="U45" s="139" t="n">
        <v>1</v>
      </c>
      <c r="V45" s="8" t="n">
        <f aca="false">COUNTA(P45:U45)</f>
        <v>1</v>
      </c>
    </row>
    <row collapsed="false" customFormat="false" customHeight="false" hidden="false" ht="15" outlineLevel="0" r="46">
      <c r="C46" s="19" t="n">
        <v>303</v>
      </c>
      <c r="D46" s="24" t="n">
        <v>318</v>
      </c>
      <c r="E46" s="24" t="n">
        <v>800</v>
      </c>
      <c r="F46" s="60"/>
      <c r="G46" s="60"/>
      <c r="H46" s="60"/>
      <c r="I46" s="60"/>
      <c r="J46" s="60"/>
      <c r="K46" s="60"/>
      <c r="O46" s="134" t="n">
        <v>44</v>
      </c>
      <c r="P46" s="135"/>
      <c r="Q46" s="136"/>
      <c r="R46" s="136"/>
      <c r="S46" s="136"/>
      <c r="T46" s="136"/>
      <c r="U46" s="137"/>
      <c r="V46" s="8" t="n">
        <f aca="false">COUNTA(P46:U46)</f>
        <v>0</v>
      </c>
    </row>
    <row collapsed="false" customFormat="false" customHeight="false" hidden="false" ht="15" outlineLevel="0" r="47">
      <c r="C47" s="19" t="n">
        <v>303</v>
      </c>
      <c r="D47" s="24" t="n">
        <v>319</v>
      </c>
      <c r="E47" s="24"/>
      <c r="F47" s="60"/>
      <c r="G47" s="60"/>
      <c r="H47" s="60"/>
      <c r="I47" s="60"/>
      <c r="J47" s="60"/>
      <c r="K47" s="60"/>
      <c r="O47" s="134" t="n">
        <v>45</v>
      </c>
      <c r="P47" s="140" t="n">
        <v>1</v>
      </c>
      <c r="Q47" s="138" t="n">
        <v>1</v>
      </c>
      <c r="R47" s="138" t="n">
        <v>1</v>
      </c>
      <c r="S47" s="138" t="n">
        <v>1</v>
      </c>
      <c r="T47" s="138" t="n">
        <v>1</v>
      </c>
      <c r="U47" s="139" t="n">
        <v>1</v>
      </c>
      <c r="V47" s="8" t="n">
        <f aca="false">COUNTA(P47:U47)</f>
        <v>6</v>
      </c>
    </row>
    <row collapsed="false" customFormat="false" customHeight="false" hidden="false" ht="15" outlineLevel="0" r="48">
      <c r="C48" s="19" t="n">
        <v>90</v>
      </c>
      <c r="D48" s="24" t="n">
        <v>95</v>
      </c>
      <c r="E48" s="24" t="n">
        <v>800</v>
      </c>
      <c r="F48" s="60"/>
      <c r="G48" s="60"/>
      <c r="H48" s="60"/>
      <c r="I48" s="60" t="n">
        <v>4800</v>
      </c>
      <c r="J48" s="60"/>
      <c r="K48" s="60"/>
      <c r="O48" s="134" t="n">
        <v>46</v>
      </c>
      <c r="P48" s="135"/>
      <c r="Q48" s="136"/>
      <c r="R48" s="136"/>
      <c r="S48" s="136"/>
      <c r="T48" s="136"/>
      <c r="U48" s="137"/>
      <c r="V48" s="8" t="n">
        <f aca="false">COUNTA(P48:U48)</f>
        <v>0</v>
      </c>
    </row>
    <row collapsed="false" customFormat="false" customHeight="false" hidden="false" ht="15" outlineLevel="0" r="49">
      <c r="C49" s="19" t="n">
        <v>206</v>
      </c>
      <c r="D49" s="24" t="n">
        <v>216</v>
      </c>
      <c r="E49" s="24" t="n">
        <v>800</v>
      </c>
      <c r="F49" s="60"/>
      <c r="G49" s="60"/>
      <c r="H49" s="60"/>
      <c r="I49" s="60"/>
      <c r="J49" s="60"/>
      <c r="K49" s="60"/>
      <c r="O49" s="134" t="n">
        <v>47</v>
      </c>
      <c r="P49" s="135"/>
      <c r="Q49" s="136"/>
      <c r="R49" s="136"/>
      <c r="S49" s="136"/>
      <c r="T49" s="136"/>
      <c r="U49" s="137"/>
      <c r="V49" s="8" t="n">
        <f aca="false">COUNTA(P49:U49)</f>
        <v>0</v>
      </c>
    </row>
    <row collapsed="false" customFormat="false" customHeight="false" hidden="false" ht="15" outlineLevel="0" r="50">
      <c r="C50" s="19" t="n">
        <v>101</v>
      </c>
      <c r="D50" s="24" t="n">
        <v>106</v>
      </c>
      <c r="E50" s="24" t="n">
        <v>800</v>
      </c>
      <c r="F50" s="60" t="n">
        <v>7000</v>
      </c>
      <c r="G50" s="60"/>
      <c r="H50" s="60"/>
      <c r="I50" s="60"/>
      <c r="J50" s="60"/>
      <c r="K50" s="60"/>
      <c r="O50" s="134" t="n">
        <v>48</v>
      </c>
      <c r="P50" s="135"/>
      <c r="Q50" s="136"/>
      <c r="R50" s="136"/>
      <c r="S50" s="136"/>
      <c r="T50" s="136"/>
      <c r="U50" s="137"/>
      <c r="V50" s="8" t="n">
        <f aca="false">COUNTA(P50:U50)</f>
        <v>0</v>
      </c>
    </row>
    <row collapsed="false" customFormat="false" customHeight="false" hidden="false" ht="15" outlineLevel="0" r="51">
      <c r="C51" s="19" t="n">
        <v>86</v>
      </c>
      <c r="D51" s="24" t="n">
        <v>91</v>
      </c>
      <c r="E51" s="24" t="n">
        <v>800</v>
      </c>
      <c r="F51" s="60"/>
      <c r="G51" s="60" t="n">
        <v>2000</v>
      </c>
      <c r="H51" s="60"/>
      <c r="I51" s="60" t="n">
        <v>1000</v>
      </c>
      <c r="J51" s="60"/>
      <c r="K51" s="60" t="n">
        <v>1600</v>
      </c>
      <c r="O51" s="134" t="n">
        <v>49</v>
      </c>
      <c r="P51" s="135"/>
      <c r="Q51" s="136"/>
      <c r="R51" s="136"/>
      <c r="S51" s="136"/>
      <c r="T51" s="138" t="n">
        <v>1</v>
      </c>
      <c r="U51" s="139" t="n">
        <v>1</v>
      </c>
      <c r="V51" s="8" t="n">
        <f aca="false">COUNTA(P51:U51)</f>
        <v>2</v>
      </c>
    </row>
    <row collapsed="false" customFormat="false" customHeight="false" hidden="false" ht="15" outlineLevel="0" r="52">
      <c r="C52" s="19" t="n">
        <v>43</v>
      </c>
      <c r="D52" s="24" t="n">
        <v>43</v>
      </c>
      <c r="E52" s="24" t="n">
        <v>800</v>
      </c>
      <c r="F52" s="60"/>
      <c r="G52" s="60"/>
      <c r="H52" s="60"/>
      <c r="I52" s="60"/>
      <c r="J52" s="60"/>
      <c r="K52" s="60" t="n">
        <v>2000</v>
      </c>
      <c r="O52" s="134" t="n">
        <v>50</v>
      </c>
      <c r="P52" s="135"/>
      <c r="Q52" s="136"/>
      <c r="R52" s="138" t="n">
        <v>1</v>
      </c>
      <c r="S52" s="136"/>
      <c r="T52" s="136"/>
      <c r="U52" s="137"/>
      <c r="V52" s="8" t="n">
        <f aca="false">COUNTA(P52:U52)</f>
        <v>1</v>
      </c>
    </row>
    <row collapsed="false" customFormat="false" customHeight="false" hidden="false" ht="15" outlineLevel="0" r="53">
      <c r="C53" s="19" t="n">
        <v>25</v>
      </c>
      <c r="D53" s="24" t="n">
        <v>25</v>
      </c>
      <c r="E53" s="24" t="n">
        <v>800</v>
      </c>
      <c r="F53" s="60"/>
      <c r="G53" s="60"/>
      <c r="H53" s="60" t="n">
        <v>3000</v>
      </c>
      <c r="I53" s="60"/>
      <c r="J53" s="60" t="n">
        <v>3000</v>
      </c>
      <c r="K53" s="60" t="n">
        <v>800</v>
      </c>
      <c r="O53" s="134" t="n">
        <v>51</v>
      </c>
      <c r="P53" s="140" t="n">
        <v>1</v>
      </c>
      <c r="Q53" s="138" t="n">
        <v>1</v>
      </c>
      <c r="R53" s="138" t="n">
        <v>1</v>
      </c>
      <c r="S53" s="136"/>
      <c r="T53" s="138" t="n">
        <v>1</v>
      </c>
      <c r="U53" s="137"/>
      <c r="V53" s="8" t="n">
        <f aca="false">COUNTA(P53:U53)</f>
        <v>4</v>
      </c>
    </row>
    <row collapsed="false" customFormat="false" customHeight="false" hidden="false" ht="15" outlineLevel="0" r="54">
      <c r="C54" s="19" t="n">
        <v>138</v>
      </c>
      <c r="D54" s="24" t="n">
        <v>146</v>
      </c>
      <c r="E54" s="24" t="n">
        <v>800</v>
      </c>
      <c r="F54" s="60"/>
      <c r="G54" s="60" t="n">
        <v>3000</v>
      </c>
      <c r="H54" s="60"/>
      <c r="I54" s="60"/>
      <c r="J54" s="60"/>
      <c r="K54" s="60" t="n">
        <v>2900</v>
      </c>
      <c r="O54" s="134" t="n">
        <v>52</v>
      </c>
      <c r="P54" s="140" t="n">
        <v>1</v>
      </c>
      <c r="Q54" s="138" t="n">
        <v>1</v>
      </c>
      <c r="R54" s="138" t="n">
        <v>1</v>
      </c>
      <c r="S54" s="136"/>
      <c r="T54" s="138" t="n">
        <v>1</v>
      </c>
      <c r="U54" s="137"/>
      <c r="V54" s="8" t="n">
        <f aca="false">COUNTA(P54:U54)</f>
        <v>4</v>
      </c>
    </row>
    <row collapsed="false" customFormat="false" customHeight="false" hidden="false" ht="15" outlineLevel="0" r="55">
      <c r="C55" s="19" t="n">
        <v>228</v>
      </c>
      <c r="D55" s="24" t="n">
        <v>237</v>
      </c>
      <c r="E55" s="24" t="n">
        <v>800</v>
      </c>
      <c r="F55" s="60"/>
      <c r="G55" s="60"/>
      <c r="H55" s="60"/>
      <c r="I55" s="60"/>
      <c r="J55" s="60"/>
      <c r="K55" s="60"/>
      <c r="O55" s="134" t="n">
        <v>53</v>
      </c>
      <c r="P55" s="135"/>
      <c r="Q55" s="136"/>
      <c r="R55" s="136"/>
      <c r="S55" s="136"/>
      <c r="T55" s="136"/>
      <c r="U55" s="137"/>
      <c r="V55" s="8" t="n">
        <f aca="false">COUNTA(P55:U55)</f>
        <v>0</v>
      </c>
    </row>
    <row collapsed="false" customFormat="false" customHeight="false" hidden="false" ht="15" outlineLevel="0" r="56">
      <c r="C56" s="19" t="n">
        <v>37</v>
      </c>
      <c r="D56" s="24" t="n">
        <v>37</v>
      </c>
      <c r="E56" s="24" t="n">
        <v>800</v>
      </c>
      <c r="F56" s="60"/>
      <c r="G56" s="60"/>
      <c r="H56" s="60"/>
      <c r="I56" s="60"/>
      <c r="J56" s="60"/>
      <c r="K56" s="60"/>
      <c r="O56" s="134" t="n">
        <v>54</v>
      </c>
      <c r="P56" s="135"/>
      <c r="Q56" s="136"/>
      <c r="R56" s="136"/>
      <c r="S56" s="136"/>
      <c r="T56" s="136"/>
      <c r="U56" s="137"/>
      <c r="V56" s="8" t="n">
        <f aca="false">COUNTA(P56:U56)</f>
        <v>0</v>
      </c>
    </row>
    <row collapsed="false" customFormat="false" customHeight="false" hidden="false" ht="15" outlineLevel="0" r="57">
      <c r="C57" s="19" t="n">
        <v>126</v>
      </c>
      <c r="D57" s="24" t="n">
        <v>131</v>
      </c>
      <c r="E57" s="24" t="n">
        <v>800</v>
      </c>
      <c r="F57" s="60"/>
      <c r="G57" s="60"/>
      <c r="H57" s="60" t="n">
        <v>2400</v>
      </c>
      <c r="I57" s="60"/>
      <c r="J57" s="60"/>
      <c r="K57" s="60"/>
      <c r="O57" s="134" t="n">
        <v>55</v>
      </c>
      <c r="P57" s="135"/>
      <c r="Q57" s="136"/>
      <c r="R57" s="138" t="n">
        <v>1</v>
      </c>
      <c r="S57" s="136"/>
      <c r="T57" s="136"/>
      <c r="U57" s="137"/>
      <c r="V57" s="8" t="n">
        <f aca="false">COUNTA(P57:U57)</f>
        <v>1</v>
      </c>
    </row>
    <row collapsed="false" customFormat="false" customHeight="false" hidden="false" ht="15" outlineLevel="0" r="58">
      <c r="C58" s="19" t="n">
        <v>58</v>
      </c>
      <c r="D58" s="24" t="n">
        <v>60</v>
      </c>
      <c r="E58" s="24" t="n">
        <v>800</v>
      </c>
      <c r="F58" s="60"/>
      <c r="G58" s="60"/>
      <c r="H58" s="60" t="n">
        <v>2400</v>
      </c>
      <c r="I58" s="60"/>
      <c r="J58" s="60"/>
      <c r="K58" s="60" t="n">
        <v>5600</v>
      </c>
      <c r="O58" s="134" t="n">
        <v>56</v>
      </c>
      <c r="P58" s="135"/>
      <c r="Q58" s="136"/>
      <c r="R58" s="136"/>
      <c r="S58" s="136"/>
      <c r="T58" s="136"/>
      <c r="U58" s="137"/>
      <c r="V58" s="8" t="n">
        <f aca="false">COUNTA(P58:U58)</f>
        <v>0</v>
      </c>
    </row>
    <row collapsed="false" customFormat="false" customHeight="false" hidden="false" ht="15" outlineLevel="0" r="59">
      <c r="C59" s="19" t="n">
        <v>117</v>
      </c>
      <c r="D59" s="24" t="n">
        <v>122</v>
      </c>
      <c r="E59" s="24" t="n">
        <v>800</v>
      </c>
      <c r="F59" s="60"/>
      <c r="G59" s="60"/>
      <c r="H59" s="60"/>
      <c r="I59" s="60"/>
      <c r="J59" s="60"/>
      <c r="K59" s="60"/>
      <c r="O59" s="134" t="n">
        <v>57</v>
      </c>
      <c r="P59" s="135"/>
      <c r="Q59" s="136"/>
      <c r="R59" s="136"/>
      <c r="S59" s="136"/>
      <c r="T59" s="136"/>
      <c r="U59" s="137"/>
      <c r="V59" s="8" t="n">
        <f aca="false">COUNTA(P59:U59)</f>
        <v>0</v>
      </c>
    </row>
    <row collapsed="false" customFormat="false" customHeight="false" hidden="false" ht="15" outlineLevel="0" r="60">
      <c r="C60" s="19" t="n">
        <v>61</v>
      </c>
      <c r="D60" s="24" t="n">
        <v>63</v>
      </c>
      <c r="E60" s="24" t="n">
        <v>800</v>
      </c>
      <c r="F60" s="60"/>
      <c r="G60" s="60"/>
      <c r="H60" s="60"/>
      <c r="I60" s="60"/>
      <c r="J60" s="60"/>
      <c r="K60" s="60"/>
      <c r="O60" s="134" t="n">
        <v>58</v>
      </c>
      <c r="P60" s="135"/>
      <c r="Q60" s="136"/>
      <c r="R60" s="138" t="n">
        <v>1</v>
      </c>
      <c r="S60" s="136"/>
      <c r="T60" s="136"/>
      <c r="U60" s="139" t="n">
        <v>1</v>
      </c>
      <c r="V60" s="8" t="n">
        <f aca="false">COUNTA(P60:U60)</f>
        <v>2</v>
      </c>
    </row>
    <row collapsed="false" customFormat="false" customHeight="false" hidden="false" ht="15" outlineLevel="0" r="61">
      <c r="C61" s="19" t="n">
        <v>294</v>
      </c>
      <c r="D61" s="24" t="n">
        <v>309</v>
      </c>
      <c r="E61" s="24" t="n">
        <v>800</v>
      </c>
      <c r="F61" s="60" t="n">
        <v>9600</v>
      </c>
      <c r="G61" s="60"/>
      <c r="H61" s="60"/>
      <c r="I61" s="60"/>
      <c r="J61" s="60"/>
      <c r="K61" s="60"/>
      <c r="O61" s="134" t="n">
        <v>59</v>
      </c>
      <c r="P61" s="140" t="n">
        <v>1</v>
      </c>
      <c r="Q61" s="136"/>
      <c r="R61" s="136"/>
      <c r="S61" s="136"/>
      <c r="T61" s="136"/>
      <c r="U61" s="137"/>
      <c r="V61" s="8" t="n">
        <f aca="false">COUNTA(P61:U61)</f>
        <v>1</v>
      </c>
    </row>
    <row collapsed="false" customFormat="false" customHeight="false" hidden="false" ht="15" outlineLevel="0" r="62">
      <c r="C62" s="19" t="n">
        <v>286</v>
      </c>
      <c r="D62" s="24" t="n">
        <v>298</v>
      </c>
      <c r="E62" s="24" t="n">
        <v>800</v>
      </c>
      <c r="F62" s="60"/>
      <c r="G62" s="60" t="n">
        <v>8000</v>
      </c>
      <c r="H62" s="60"/>
      <c r="I62" s="60"/>
      <c r="J62" s="60"/>
      <c r="K62" s="60" t="n">
        <v>4000</v>
      </c>
      <c r="O62" s="134" t="n">
        <v>60</v>
      </c>
      <c r="P62" s="135"/>
      <c r="Q62" s="136"/>
      <c r="R62" s="136"/>
      <c r="S62" s="136"/>
      <c r="T62" s="136"/>
      <c r="U62" s="137"/>
      <c r="V62" s="8" t="n">
        <f aca="false">COUNTA(P62:U62)</f>
        <v>0</v>
      </c>
    </row>
    <row collapsed="false" customFormat="false" customHeight="false" hidden="false" ht="15" outlineLevel="0" r="63">
      <c r="C63" s="19" t="n">
        <v>64</v>
      </c>
      <c r="D63" s="24" t="n">
        <v>66</v>
      </c>
      <c r="E63" s="24" t="n">
        <v>800</v>
      </c>
      <c r="F63" s="60" t="n">
        <v>3000</v>
      </c>
      <c r="G63" s="60"/>
      <c r="H63" s="60" t="n">
        <v>1600</v>
      </c>
      <c r="I63" s="60"/>
      <c r="J63" s="60"/>
      <c r="K63" s="60" t="n">
        <v>1600</v>
      </c>
      <c r="O63" s="134" t="n">
        <v>61</v>
      </c>
      <c r="P63" s="135"/>
      <c r="Q63" s="136"/>
      <c r="R63" s="136"/>
      <c r="S63" s="136"/>
      <c r="T63" s="136"/>
      <c r="U63" s="137"/>
      <c r="V63" s="8" t="n">
        <f aca="false">COUNTA(P63:U63)</f>
        <v>0</v>
      </c>
    </row>
    <row collapsed="false" customFormat="false" customHeight="false" hidden="false" ht="15" outlineLevel="0" r="64">
      <c r="C64" s="19" t="n">
        <v>94</v>
      </c>
      <c r="D64" s="24" t="n">
        <v>99</v>
      </c>
      <c r="E64" s="24" t="n">
        <v>800</v>
      </c>
      <c r="F64" s="60"/>
      <c r="G64" s="60"/>
      <c r="H64" s="60"/>
      <c r="I64" s="60"/>
      <c r="J64" s="60"/>
      <c r="K64" s="60"/>
      <c r="O64" s="134" t="n">
        <v>62</v>
      </c>
      <c r="P64" s="135"/>
      <c r="Q64" s="136"/>
      <c r="R64" s="138" t="n">
        <v>1</v>
      </c>
      <c r="S64" s="136"/>
      <c r="T64" s="136"/>
      <c r="U64" s="137"/>
      <c r="V64" s="8" t="n">
        <f aca="false">COUNTA(P64:U64)</f>
        <v>1</v>
      </c>
    </row>
    <row collapsed="false" customFormat="false" customHeight="false" hidden="false" ht="15" outlineLevel="0" r="65">
      <c r="C65" s="19" t="n">
        <v>39</v>
      </c>
      <c r="D65" s="24" t="n">
        <v>39</v>
      </c>
      <c r="E65" s="24" t="n">
        <v>800</v>
      </c>
      <c r="F65" s="60"/>
      <c r="G65" s="60"/>
      <c r="H65" s="60"/>
      <c r="I65" s="60"/>
      <c r="J65" s="60"/>
      <c r="K65" s="60"/>
      <c r="O65" s="134" t="n">
        <v>63</v>
      </c>
      <c r="P65" s="135"/>
      <c r="Q65" s="136"/>
      <c r="R65" s="136"/>
      <c r="S65" s="136"/>
      <c r="T65" s="136"/>
      <c r="U65" s="139" t="n">
        <v>1</v>
      </c>
      <c r="V65" s="8" t="n">
        <f aca="false">COUNTA(P65:U65)</f>
        <v>1</v>
      </c>
    </row>
    <row collapsed="false" customFormat="false" customHeight="false" hidden="false" ht="15" outlineLevel="0" r="66">
      <c r="C66" s="19" t="n">
        <v>276</v>
      </c>
      <c r="D66" s="24" t="n">
        <v>289</v>
      </c>
      <c r="E66" s="24" t="n">
        <v>800</v>
      </c>
      <c r="F66" s="60"/>
      <c r="G66" s="60"/>
      <c r="H66" s="60"/>
      <c r="I66" s="60"/>
      <c r="J66" s="60"/>
      <c r="K66" s="60" t="n">
        <v>21600</v>
      </c>
      <c r="O66" s="134" t="n">
        <v>64</v>
      </c>
      <c r="P66" s="140" t="n">
        <v>1</v>
      </c>
      <c r="Q66" s="136"/>
      <c r="R66" s="138" t="n">
        <v>1</v>
      </c>
      <c r="S66" s="136"/>
      <c r="T66" s="136"/>
      <c r="U66" s="139" t="n">
        <v>1</v>
      </c>
      <c r="V66" s="8" t="n">
        <f aca="false">COUNTA(P66:U66)</f>
        <v>3</v>
      </c>
    </row>
    <row collapsed="false" customFormat="false" customHeight="false" hidden="false" ht="15" outlineLevel="0" r="67">
      <c r="C67" s="19" t="n">
        <v>148</v>
      </c>
      <c r="D67" s="24" t="n">
        <v>156</v>
      </c>
      <c r="E67" s="24" t="n">
        <v>800</v>
      </c>
      <c r="F67" s="60"/>
      <c r="G67" s="60" t="n">
        <v>1800</v>
      </c>
      <c r="H67" s="60" t="n">
        <v>1800</v>
      </c>
      <c r="I67" s="60" t="n">
        <v>1800</v>
      </c>
      <c r="J67" s="60"/>
      <c r="K67" s="60"/>
      <c r="O67" s="134" t="n">
        <v>65</v>
      </c>
      <c r="P67" s="135"/>
      <c r="Q67" s="136"/>
      <c r="R67" s="136"/>
      <c r="S67" s="136"/>
      <c r="T67" s="136"/>
      <c r="U67" s="137"/>
      <c r="V67" s="8" t="n">
        <f aca="false">COUNTA(P67:U67)</f>
        <v>0</v>
      </c>
    </row>
    <row collapsed="false" customFormat="false" customHeight="false" hidden="false" ht="15" outlineLevel="0" r="68">
      <c r="C68" s="19" t="n">
        <v>308</v>
      </c>
      <c r="D68" s="24" t="n">
        <v>323</v>
      </c>
      <c r="E68" s="24" t="n">
        <v>800</v>
      </c>
      <c r="F68" s="60"/>
      <c r="G68" s="60"/>
      <c r="H68" s="60"/>
      <c r="I68" s="60"/>
      <c r="J68" s="60"/>
      <c r="K68" s="60"/>
      <c r="O68" s="134" t="n">
        <v>66</v>
      </c>
      <c r="P68" s="135"/>
      <c r="Q68" s="136"/>
      <c r="R68" s="136"/>
      <c r="S68" s="136"/>
      <c r="T68" s="136"/>
      <c r="U68" s="137"/>
      <c r="V68" s="8" t="n">
        <f aca="false">COUNTA(P68:U68)</f>
        <v>0</v>
      </c>
    </row>
    <row collapsed="false" customFormat="false" customHeight="false" hidden="false" ht="15" outlineLevel="0" r="69">
      <c r="C69" s="19" t="n">
        <v>318</v>
      </c>
      <c r="D69" s="24" t="s">
        <v>438</v>
      </c>
      <c r="E69" s="24" t="n">
        <v>800</v>
      </c>
      <c r="F69" s="60"/>
      <c r="G69" s="60" t="n">
        <v>4800</v>
      </c>
      <c r="H69" s="60"/>
      <c r="I69" s="60" t="n">
        <v>4800</v>
      </c>
      <c r="J69" s="60"/>
      <c r="K69" s="60"/>
      <c r="O69" s="134" t="n">
        <v>67</v>
      </c>
      <c r="P69" s="135"/>
      <c r="Q69" s="136"/>
      <c r="R69" s="136"/>
      <c r="S69" s="136"/>
      <c r="T69" s="136"/>
      <c r="U69" s="137"/>
      <c r="V69" s="8" t="n">
        <f aca="false">COUNTA(P69:U69)</f>
        <v>0</v>
      </c>
    </row>
    <row collapsed="false" customFormat="false" customHeight="false" hidden="false" ht="15" outlineLevel="0" r="70">
      <c r="C70" s="19" t="n">
        <v>236</v>
      </c>
      <c r="D70" s="24" t="n">
        <v>245</v>
      </c>
      <c r="E70" s="24" t="n">
        <v>800</v>
      </c>
      <c r="F70" s="60"/>
      <c r="G70" s="60"/>
      <c r="H70" s="60"/>
      <c r="I70" s="60"/>
      <c r="J70" s="60" t="n">
        <v>25000</v>
      </c>
      <c r="K70" s="60"/>
      <c r="O70" s="134" t="n">
        <v>68</v>
      </c>
      <c r="P70" s="135"/>
      <c r="Q70" s="138" t="n">
        <v>1</v>
      </c>
      <c r="R70" s="138" t="n">
        <v>1</v>
      </c>
      <c r="S70" s="136"/>
      <c r="T70" s="138" t="n">
        <v>1</v>
      </c>
      <c r="U70" s="139" t="n">
        <v>1</v>
      </c>
      <c r="V70" s="8" t="n">
        <f aca="false">COUNTA(P70:U70)</f>
        <v>4</v>
      </c>
    </row>
    <row collapsed="false" customFormat="false" customHeight="false" hidden="false" ht="15" outlineLevel="0" r="71">
      <c r="C71" s="19" t="n">
        <v>226</v>
      </c>
      <c r="D71" s="24" t="n">
        <v>235</v>
      </c>
      <c r="E71" s="24" t="n">
        <v>800</v>
      </c>
      <c r="F71" s="60"/>
      <c r="G71" s="60"/>
      <c r="H71" s="60"/>
      <c r="I71" s="60"/>
      <c r="J71" s="60"/>
      <c r="K71" s="60"/>
      <c r="O71" s="134" t="n">
        <v>69</v>
      </c>
      <c r="P71" s="135"/>
      <c r="Q71" s="136"/>
      <c r="R71" s="136"/>
      <c r="S71" s="136"/>
      <c r="T71" s="136"/>
      <c r="U71" s="137"/>
      <c r="V71" s="8" t="n">
        <f aca="false">COUNTA(P71:U71)</f>
        <v>0</v>
      </c>
    </row>
    <row collapsed="false" customFormat="false" customHeight="false" hidden="false" ht="15" outlineLevel="0" r="72">
      <c r="C72" s="19" t="n">
        <v>285</v>
      </c>
      <c r="D72" s="24" t="n">
        <v>297</v>
      </c>
      <c r="E72" s="24" t="n">
        <v>800</v>
      </c>
      <c r="F72" s="60"/>
      <c r="G72" s="60" t="n">
        <v>8000</v>
      </c>
      <c r="H72" s="60"/>
      <c r="I72" s="60"/>
      <c r="J72" s="60"/>
      <c r="K72" s="60" t="n">
        <v>4000</v>
      </c>
      <c r="O72" s="134" t="n">
        <v>71</v>
      </c>
      <c r="P72" s="135"/>
      <c r="Q72" s="136"/>
      <c r="R72" s="136"/>
      <c r="S72" s="136"/>
      <c r="T72" s="136"/>
      <c r="U72" s="137"/>
      <c r="V72" s="8" t="n">
        <f aca="false">COUNTA(P72:U72)</f>
        <v>0</v>
      </c>
    </row>
    <row collapsed="false" customFormat="false" customHeight="false" hidden="false" ht="15" outlineLevel="0" r="73">
      <c r="C73" s="19" t="n">
        <v>24</v>
      </c>
      <c r="D73" s="24" t="n">
        <v>24</v>
      </c>
      <c r="E73" s="24" t="n">
        <v>800</v>
      </c>
      <c r="F73" s="60"/>
      <c r="G73" s="60"/>
      <c r="H73" s="60"/>
      <c r="I73" s="60"/>
      <c r="J73" s="60"/>
      <c r="K73" s="60"/>
      <c r="O73" s="134" t="n">
        <v>72</v>
      </c>
      <c r="P73" s="135"/>
      <c r="Q73" s="136"/>
      <c r="R73" s="136"/>
      <c r="S73" s="136"/>
      <c r="T73" s="136"/>
      <c r="U73" s="137"/>
      <c r="V73" s="8" t="n">
        <f aca="false">COUNTA(P73:U73)</f>
        <v>0</v>
      </c>
    </row>
    <row collapsed="false" customFormat="false" customHeight="false" hidden="false" ht="15" outlineLevel="0" r="74">
      <c r="C74" s="19" t="n">
        <v>50</v>
      </c>
      <c r="D74" s="24" t="n">
        <v>50</v>
      </c>
      <c r="E74" s="24" t="n">
        <v>800</v>
      </c>
      <c r="F74" s="60"/>
      <c r="G74" s="60"/>
      <c r="H74" s="60" t="n">
        <v>12000</v>
      </c>
      <c r="I74" s="60"/>
      <c r="J74" s="60"/>
      <c r="K74" s="60"/>
      <c r="O74" s="134" t="n">
        <v>73</v>
      </c>
      <c r="P74" s="135"/>
      <c r="Q74" s="136"/>
      <c r="R74" s="136"/>
      <c r="S74" s="136"/>
      <c r="T74" s="136"/>
      <c r="U74" s="137"/>
      <c r="V74" s="8" t="n">
        <f aca="false">COUNTA(P74:U74)</f>
        <v>0</v>
      </c>
    </row>
    <row collapsed="false" customFormat="false" customHeight="false" hidden="false" ht="15" outlineLevel="0" r="75">
      <c r="C75" s="19" t="n">
        <v>122</v>
      </c>
      <c r="D75" s="24" t="n">
        <v>127</v>
      </c>
      <c r="E75" s="24" t="n">
        <v>800</v>
      </c>
      <c r="F75" s="60"/>
      <c r="G75" s="60" t="n">
        <v>2000</v>
      </c>
      <c r="H75" s="60"/>
      <c r="I75" s="60" t="n">
        <v>2000</v>
      </c>
      <c r="J75" s="60"/>
      <c r="K75" s="60"/>
      <c r="O75" s="134" t="n">
        <v>74</v>
      </c>
      <c r="P75" s="140" t="n">
        <v>1</v>
      </c>
      <c r="Q75" s="136"/>
      <c r="R75" s="136"/>
      <c r="S75" s="136"/>
      <c r="T75" s="138" t="n">
        <v>1</v>
      </c>
      <c r="U75" s="137"/>
      <c r="V75" s="8" t="n">
        <f aca="false">COUNTA(P75:U75)</f>
        <v>2</v>
      </c>
    </row>
    <row collapsed="false" customFormat="false" customHeight="false" hidden="false" ht="15" outlineLevel="0" r="76">
      <c r="C76" s="19" t="n">
        <v>301</v>
      </c>
      <c r="D76" s="24" t="n">
        <v>316</v>
      </c>
      <c r="E76" s="24" t="n">
        <v>800</v>
      </c>
      <c r="F76" s="60"/>
      <c r="G76" s="60"/>
      <c r="H76" s="60"/>
      <c r="I76" s="60"/>
      <c r="J76" s="60"/>
      <c r="K76" s="60"/>
      <c r="O76" s="134" t="n">
        <v>76</v>
      </c>
      <c r="P76" s="135"/>
      <c r="Q76" s="138" t="n">
        <v>1</v>
      </c>
      <c r="R76" s="136"/>
      <c r="S76" s="138" t="n">
        <v>1</v>
      </c>
      <c r="T76" s="136"/>
      <c r="U76" s="137"/>
      <c r="V76" s="8" t="n">
        <f aca="false">COUNTA(P76:U76)</f>
        <v>2</v>
      </c>
    </row>
    <row collapsed="false" customFormat="false" customHeight="false" hidden="false" ht="15" outlineLevel="0" r="77">
      <c r="C77" s="19" t="n">
        <v>18</v>
      </c>
      <c r="D77" s="24" t="n">
        <v>18</v>
      </c>
      <c r="E77" s="24" t="n">
        <v>800</v>
      </c>
      <c r="F77" s="60"/>
      <c r="G77" s="60"/>
      <c r="H77" s="60"/>
      <c r="I77" s="60"/>
      <c r="J77" s="60"/>
      <c r="K77" s="60"/>
      <c r="O77" s="134" t="n">
        <v>77</v>
      </c>
      <c r="P77" s="135"/>
      <c r="Q77" s="136"/>
      <c r="R77" s="136"/>
      <c r="S77" s="136"/>
      <c r="T77" s="136"/>
      <c r="U77" s="137"/>
      <c r="V77" s="8" t="n">
        <f aca="false">COUNTA(P77:U77)</f>
        <v>0</v>
      </c>
    </row>
    <row collapsed="false" customFormat="false" customHeight="false" hidden="false" ht="15" outlineLevel="0" r="78">
      <c r="C78" s="19" t="n">
        <v>155</v>
      </c>
      <c r="D78" s="24" t="n">
        <v>163</v>
      </c>
      <c r="E78" s="24" t="n">
        <v>800</v>
      </c>
      <c r="F78" s="60"/>
      <c r="G78" s="60" t="n">
        <v>600</v>
      </c>
      <c r="H78" s="60" t="n">
        <v>1600</v>
      </c>
      <c r="I78" s="60"/>
      <c r="J78" s="60" t="n">
        <v>1600</v>
      </c>
      <c r="K78" s="60"/>
      <c r="O78" s="134" t="n">
        <v>78</v>
      </c>
      <c r="P78" s="135"/>
      <c r="Q78" s="136"/>
      <c r="R78" s="136"/>
      <c r="S78" s="136"/>
      <c r="T78" s="136"/>
      <c r="U78" s="137"/>
      <c r="V78" s="8" t="n">
        <f aca="false">COUNTA(P78:U78)</f>
        <v>0</v>
      </c>
    </row>
    <row collapsed="false" customFormat="false" customHeight="false" hidden="false" ht="15" outlineLevel="0" r="79">
      <c r="C79" s="19" t="n">
        <v>44</v>
      </c>
      <c r="D79" s="24" t="n">
        <v>44</v>
      </c>
      <c r="E79" s="24" t="n">
        <v>800</v>
      </c>
      <c r="F79" s="60"/>
      <c r="G79" s="60"/>
      <c r="H79" s="60"/>
      <c r="I79" s="60"/>
      <c r="J79" s="60"/>
      <c r="K79" s="60"/>
      <c r="O79" s="134" t="n">
        <v>79</v>
      </c>
      <c r="P79" s="135"/>
      <c r="Q79" s="138" t="n">
        <v>1</v>
      </c>
      <c r="R79" s="136"/>
      <c r="S79" s="138" t="n">
        <v>1</v>
      </c>
      <c r="T79" s="136"/>
      <c r="U79" s="137"/>
      <c r="V79" s="8" t="n">
        <f aca="false">COUNTA(P79:U79)</f>
        <v>2</v>
      </c>
    </row>
    <row collapsed="false" customFormat="false" customHeight="false" hidden="false" ht="15" outlineLevel="0" r="80">
      <c r="C80" s="19" t="n">
        <v>132</v>
      </c>
      <c r="D80" s="24" t="n">
        <v>139</v>
      </c>
      <c r="E80" s="24" t="n">
        <v>800</v>
      </c>
      <c r="F80" s="60"/>
      <c r="G80" s="60"/>
      <c r="H80" s="60"/>
      <c r="I80" s="60"/>
      <c r="J80" s="60"/>
      <c r="K80" s="60"/>
      <c r="O80" s="134" t="n">
        <v>80</v>
      </c>
      <c r="P80" s="135"/>
      <c r="Q80" s="136"/>
      <c r="R80" s="136"/>
      <c r="S80" s="136"/>
      <c r="T80" s="136"/>
      <c r="U80" s="139" t="n">
        <v>1</v>
      </c>
      <c r="V80" s="8" t="n">
        <f aca="false">COUNTA(P80:U80)</f>
        <v>1</v>
      </c>
    </row>
    <row collapsed="false" customFormat="false" customHeight="false" hidden="false" ht="15" outlineLevel="0" r="81">
      <c r="C81" s="19" t="n">
        <v>159</v>
      </c>
      <c r="D81" s="24" t="n">
        <v>167</v>
      </c>
      <c r="E81" s="24" t="n">
        <v>800</v>
      </c>
      <c r="F81" s="60"/>
      <c r="G81" s="60" t="n">
        <v>12000</v>
      </c>
      <c r="H81" s="60"/>
      <c r="I81" s="60"/>
      <c r="J81" s="60"/>
      <c r="K81" s="60"/>
      <c r="O81" s="134" t="n">
        <v>81</v>
      </c>
      <c r="P81" s="135"/>
      <c r="Q81" s="136"/>
      <c r="R81" s="138" t="n">
        <v>1</v>
      </c>
      <c r="S81" s="136"/>
      <c r="T81" s="136"/>
      <c r="U81" s="137"/>
      <c r="V81" s="8" t="n">
        <f aca="false">COUNTA(P81:U81)</f>
        <v>1</v>
      </c>
    </row>
    <row collapsed="false" customFormat="false" customHeight="false" hidden="false" ht="15" outlineLevel="0" r="82">
      <c r="C82" s="19" t="n">
        <v>181</v>
      </c>
      <c r="D82" s="24" t="n">
        <v>189</v>
      </c>
      <c r="E82" s="24" t="n">
        <v>800</v>
      </c>
      <c r="F82" s="60"/>
      <c r="G82" s="60"/>
      <c r="H82" s="60"/>
      <c r="I82" s="60"/>
      <c r="J82" s="60" t="n">
        <v>7000</v>
      </c>
      <c r="K82" s="60"/>
      <c r="O82" s="134" t="n">
        <v>82</v>
      </c>
      <c r="P82" s="140" t="n">
        <v>1</v>
      </c>
      <c r="Q82" s="136"/>
      <c r="R82" s="138" t="n">
        <v>1</v>
      </c>
      <c r="S82" s="136"/>
      <c r="T82" s="136"/>
      <c r="U82" s="137"/>
      <c r="V82" s="8" t="n">
        <f aca="false">COUNTA(P82:U82)</f>
        <v>2</v>
      </c>
    </row>
    <row collapsed="false" customFormat="false" customHeight="false" hidden="false" ht="15" outlineLevel="0" r="83">
      <c r="C83" s="19" t="n">
        <v>284</v>
      </c>
      <c r="D83" s="24" t="n">
        <v>296</v>
      </c>
      <c r="E83" s="24" t="n">
        <v>800</v>
      </c>
      <c r="F83" s="60"/>
      <c r="G83" s="60"/>
      <c r="H83" s="60" t="n">
        <v>6000</v>
      </c>
      <c r="I83" s="60"/>
      <c r="J83" s="60"/>
      <c r="K83" s="60"/>
      <c r="O83" s="134" t="n">
        <v>83</v>
      </c>
      <c r="P83" s="140" t="n">
        <v>1</v>
      </c>
      <c r="Q83" s="138" t="n">
        <v>1</v>
      </c>
      <c r="R83" s="138" t="n">
        <v>1</v>
      </c>
      <c r="S83" s="138" t="n">
        <v>1</v>
      </c>
      <c r="T83" s="138" t="n">
        <v>1</v>
      </c>
      <c r="U83" s="139" t="n">
        <v>1</v>
      </c>
      <c r="V83" s="8" t="n">
        <f aca="false">COUNTA(P83:U83)</f>
        <v>6</v>
      </c>
    </row>
    <row collapsed="false" customFormat="false" customHeight="false" hidden="false" ht="15" outlineLevel="0" r="84">
      <c r="C84" s="19" t="n">
        <v>264</v>
      </c>
      <c r="D84" s="24" t="n">
        <v>277</v>
      </c>
      <c r="E84" s="24" t="n">
        <v>800</v>
      </c>
      <c r="F84" s="60" t="n">
        <v>4000</v>
      </c>
      <c r="G84" s="60"/>
      <c r="H84" s="60" t="n">
        <v>2000</v>
      </c>
      <c r="I84" s="60"/>
      <c r="J84" s="60"/>
      <c r="K84" s="60"/>
      <c r="O84" s="134" t="n">
        <v>84</v>
      </c>
      <c r="P84" s="135"/>
      <c r="Q84" s="136"/>
      <c r="R84" s="136"/>
      <c r="S84" s="136"/>
      <c r="T84" s="136"/>
      <c r="U84" s="139" t="n">
        <v>1</v>
      </c>
      <c r="V84" s="8" t="n">
        <f aca="false">COUNTA(P84:U84)</f>
        <v>1</v>
      </c>
    </row>
    <row collapsed="false" customFormat="false" customHeight="false" hidden="false" ht="15" outlineLevel="0" r="85">
      <c r="C85" s="19" t="n">
        <v>32</v>
      </c>
      <c r="D85" s="24" t="n">
        <v>32</v>
      </c>
      <c r="E85" s="24" t="n">
        <v>800</v>
      </c>
      <c r="F85" s="60" t="n">
        <v>2400</v>
      </c>
      <c r="G85" s="60"/>
      <c r="H85" s="60"/>
      <c r="I85" s="60"/>
      <c r="J85" s="60"/>
      <c r="K85" s="60" t="n">
        <v>2400</v>
      </c>
      <c r="O85" s="134" t="n">
        <v>85</v>
      </c>
      <c r="P85" s="135"/>
      <c r="Q85" s="136"/>
      <c r="R85" s="136"/>
      <c r="S85" s="138" t="n">
        <v>1</v>
      </c>
      <c r="T85" s="136"/>
      <c r="U85" s="137"/>
      <c r="V85" s="8" t="n">
        <f aca="false">COUNTA(P85:U85)</f>
        <v>1</v>
      </c>
    </row>
    <row collapsed="false" customFormat="false" customHeight="false" hidden="false" ht="15" outlineLevel="0" r="86">
      <c r="C86" s="19" t="n">
        <v>49</v>
      </c>
      <c r="D86" s="24" t="n">
        <v>49</v>
      </c>
      <c r="E86" s="24" t="n">
        <v>800</v>
      </c>
      <c r="F86" s="60"/>
      <c r="G86" s="60"/>
      <c r="H86" s="60"/>
      <c r="I86" s="60"/>
      <c r="J86" s="60" t="n">
        <v>4800</v>
      </c>
      <c r="K86" s="60" t="n">
        <v>10200</v>
      </c>
      <c r="O86" s="134" t="n">
        <v>86</v>
      </c>
      <c r="P86" s="135"/>
      <c r="Q86" s="138" t="n">
        <v>1</v>
      </c>
      <c r="R86" s="136"/>
      <c r="S86" s="138" t="n">
        <v>1</v>
      </c>
      <c r="T86" s="136"/>
      <c r="U86" s="139" t="n">
        <v>1</v>
      </c>
      <c r="V86" s="8" t="n">
        <f aca="false">COUNTA(P86:U86)</f>
        <v>3</v>
      </c>
    </row>
    <row collapsed="false" customFormat="false" customHeight="false" hidden="false" ht="15" outlineLevel="0" r="87">
      <c r="C87" s="19" t="n">
        <v>234</v>
      </c>
      <c r="D87" s="24" t="n">
        <v>243</v>
      </c>
      <c r="E87" s="24"/>
      <c r="F87" s="60"/>
      <c r="G87" s="60" t="n">
        <v>4800</v>
      </c>
      <c r="H87" s="60"/>
      <c r="I87" s="60"/>
      <c r="J87" s="60"/>
      <c r="K87" s="60"/>
      <c r="O87" s="134" t="n">
        <v>87</v>
      </c>
      <c r="P87" s="135"/>
      <c r="Q87" s="136"/>
      <c r="R87" s="136"/>
      <c r="S87" s="136"/>
      <c r="T87" s="136"/>
      <c r="U87" s="137"/>
      <c r="V87" s="8" t="n">
        <f aca="false">COUNTA(P87:U87)</f>
        <v>0</v>
      </c>
    </row>
    <row collapsed="false" customFormat="false" customHeight="false" hidden="false" ht="15" outlineLevel="0" r="88">
      <c r="C88" s="19" t="n">
        <v>234</v>
      </c>
      <c r="D88" s="24" t="n">
        <v>244</v>
      </c>
      <c r="E88" s="24"/>
      <c r="F88" s="60"/>
      <c r="G88" s="60"/>
      <c r="H88" s="60"/>
      <c r="I88" s="60"/>
      <c r="J88" s="60"/>
      <c r="K88" s="60"/>
      <c r="O88" s="134" t="n">
        <v>88</v>
      </c>
      <c r="P88" s="140" t="n">
        <v>1</v>
      </c>
      <c r="Q88" s="136"/>
      <c r="R88" s="136"/>
      <c r="S88" s="136"/>
      <c r="T88" s="136"/>
      <c r="U88" s="137"/>
      <c r="V88" s="8" t="n">
        <f aca="false">COUNTA(P88:U88)</f>
        <v>1</v>
      </c>
    </row>
    <row collapsed="false" customFormat="false" customHeight="false" hidden="false" ht="15" outlineLevel="0" r="89">
      <c r="C89" s="19" t="n">
        <v>234</v>
      </c>
      <c r="D89" s="24" t="s">
        <v>457</v>
      </c>
      <c r="E89" s="24" t="n">
        <v>800</v>
      </c>
      <c r="F89" s="60"/>
      <c r="G89" s="60"/>
      <c r="H89" s="60"/>
      <c r="I89" s="60"/>
      <c r="J89" s="60"/>
      <c r="K89" s="60"/>
      <c r="O89" s="134" t="n">
        <v>89</v>
      </c>
      <c r="P89" s="135"/>
      <c r="Q89" s="136"/>
      <c r="R89" s="136"/>
      <c r="S89" s="136"/>
      <c r="T89" s="136"/>
      <c r="U89" s="137"/>
      <c r="V89" s="8" t="n">
        <f aca="false">COUNTA(P89:U89)</f>
        <v>0</v>
      </c>
    </row>
    <row collapsed="false" customFormat="false" customHeight="false" hidden="false" ht="15" outlineLevel="0" r="90">
      <c r="C90" s="19" t="n">
        <v>254</v>
      </c>
      <c r="D90" s="24" t="n">
        <v>267</v>
      </c>
      <c r="E90" s="24" t="n">
        <v>800</v>
      </c>
      <c r="F90" s="60"/>
      <c r="G90" s="60"/>
      <c r="H90" s="60"/>
      <c r="I90" s="60"/>
      <c r="J90" s="60"/>
      <c r="K90" s="60"/>
      <c r="O90" s="134" t="n">
        <v>90</v>
      </c>
      <c r="P90" s="135"/>
      <c r="Q90" s="136"/>
      <c r="R90" s="136"/>
      <c r="S90" s="138" t="n">
        <v>1</v>
      </c>
      <c r="T90" s="136"/>
      <c r="U90" s="137"/>
      <c r="V90" s="8" t="n">
        <f aca="false">COUNTA(P90:U90)</f>
        <v>1</v>
      </c>
    </row>
    <row collapsed="false" customFormat="false" customHeight="false" hidden="false" ht="15" outlineLevel="0" r="91">
      <c r="C91" s="19" t="n">
        <v>230</v>
      </c>
      <c r="D91" s="24" t="n">
        <v>239</v>
      </c>
      <c r="E91" s="24" t="n">
        <v>800</v>
      </c>
      <c r="F91" s="60"/>
      <c r="G91" s="60"/>
      <c r="H91" s="60"/>
      <c r="I91" s="60"/>
      <c r="J91" s="60"/>
      <c r="K91" s="60"/>
      <c r="O91" s="134" t="n">
        <v>91</v>
      </c>
      <c r="P91" s="135"/>
      <c r="Q91" s="136"/>
      <c r="R91" s="136"/>
      <c r="S91" s="136"/>
      <c r="T91" s="136"/>
      <c r="U91" s="137"/>
      <c r="V91" s="8" t="n">
        <f aca="false">COUNTA(P91:U91)</f>
        <v>0</v>
      </c>
    </row>
    <row collapsed="false" customFormat="false" customHeight="false" hidden="false" ht="15" outlineLevel="0" r="92">
      <c r="C92" s="19" t="n">
        <v>230</v>
      </c>
      <c r="D92" s="24" t="n">
        <v>257</v>
      </c>
      <c r="E92" s="24"/>
      <c r="F92" s="60"/>
      <c r="G92" s="60"/>
      <c r="H92" s="60"/>
      <c r="I92" s="60"/>
      <c r="J92" s="60" t="n">
        <v>3500</v>
      </c>
      <c r="K92" s="60"/>
      <c r="O92" s="134" t="n">
        <v>93</v>
      </c>
      <c r="P92" s="135"/>
      <c r="Q92" s="136"/>
      <c r="R92" s="136"/>
      <c r="S92" s="136"/>
      <c r="T92" s="136"/>
      <c r="U92" s="137"/>
      <c r="V92" s="8" t="n">
        <f aca="false">COUNTA(P92:U92)</f>
        <v>0</v>
      </c>
    </row>
    <row collapsed="false" customFormat="false" customHeight="false" hidden="false" ht="15" outlineLevel="0" r="93">
      <c r="C93" s="19" t="n">
        <v>4</v>
      </c>
      <c r="D93" s="24" t="n">
        <v>4</v>
      </c>
      <c r="E93" s="24" t="n">
        <v>800</v>
      </c>
      <c r="F93" s="60"/>
      <c r="G93" s="60"/>
      <c r="H93" s="60"/>
      <c r="I93" s="60"/>
      <c r="J93" s="60" t="n">
        <v>5000</v>
      </c>
      <c r="K93" s="60"/>
      <c r="O93" s="134" t="n">
        <v>94</v>
      </c>
      <c r="P93" s="135"/>
      <c r="Q93" s="136"/>
      <c r="R93" s="136"/>
      <c r="S93" s="136"/>
      <c r="T93" s="136"/>
      <c r="U93" s="137"/>
      <c r="V93" s="8" t="n">
        <f aca="false">COUNTA(P93:U93)</f>
        <v>0</v>
      </c>
    </row>
    <row collapsed="false" customFormat="false" customHeight="false" hidden="false" ht="15" outlineLevel="0" r="94">
      <c r="C94" s="19" t="n">
        <v>213</v>
      </c>
      <c r="D94" s="24" t="n">
        <v>222</v>
      </c>
      <c r="E94" s="24" t="n">
        <v>800</v>
      </c>
      <c r="F94" s="60"/>
      <c r="G94" s="60"/>
      <c r="H94" s="60"/>
      <c r="I94" s="60"/>
      <c r="J94" s="60"/>
      <c r="K94" s="60"/>
      <c r="O94" s="134" t="n">
        <v>95</v>
      </c>
      <c r="P94" s="135"/>
      <c r="Q94" s="136"/>
      <c r="R94" s="136"/>
      <c r="S94" s="136"/>
      <c r="T94" s="136"/>
      <c r="U94" s="139" t="n">
        <v>1</v>
      </c>
      <c r="V94" s="8" t="n">
        <f aca="false">COUNTA(P94:U94)</f>
        <v>1</v>
      </c>
    </row>
    <row collapsed="false" customFormat="false" customHeight="false" hidden="false" ht="15" outlineLevel="0" r="95">
      <c r="C95" s="19" t="n">
        <v>127</v>
      </c>
      <c r="D95" s="24" t="n">
        <v>132</v>
      </c>
      <c r="E95" s="24" t="n">
        <v>800</v>
      </c>
      <c r="F95" s="60"/>
      <c r="G95" s="60" t="n">
        <v>1600</v>
      </c>
      <c r="H95" s="60"/>
      <c r="I95" s="60"/>
      <c r="J95" s="60"/>
      <c r="K95" s="60"/>
      <c r="O95" s="134" t="n">
        <v>96</v>
      </c>
      <c r="P95" s="140" t="n">
        <v>1</v>
      </c>
      <c r="Q95" s="136"/>
      <c r="R95" s="136"/>
      <c r="S95" s="138" t="n">
        <v>1</v>
      </c>
      <c r="T95" s="136"/>
      <c r="U95" s="139" t="n">
        <v>1</v>
      </c>
      <c r="V95" s="8" t="n">
        <f aca="false">COUNTA(P95:U95)</f>
        <v>3</v>
      </c>
    </row>
    <row collapsed="false" customFormat="false" customHeight="false" hidden="false" ht="15" outlineLevel="0" r="96">
      <c r="C96" s="19" t="n">
        <v>66</v>
      </c>
      <c r="D96" s="24" t="n">
        <v>68</v>
      </c>
      <c r="E96" s="24" t="n">
        <v>800</v>
      </c>
      <c r="F96" s="60"/>
      <c r="G96" s="60"/>
      <c r="H96" s="60"/>
      <c r="I96" s="60"/>
      <c r="J96" s="60"/>
      <c r="K96" s="60"/>
      <c r="O96" s="134" t="n">
        <v>98</v>
      </c>
      <c r="P96" s="135"/>
      <c r="Q96" s="136"/>
      <c r="R96" s="136"/>
      <c r="S96" s="136"/>
      <c r="T96" s="136"/>
      <c r="U96" s="137"/>
      <c r="V96" s="8" t="n">
        <f aca="false">COUNTA(P96:U96)</f>
        <v>0</v>
      </c>
    </row>
    <row collapsed="false" customFormat="false" customHeight="false" hidden="false" ht="15" outlineLevel="0" r="97">
      <c r="C97" s="19" t="n">
        <v>36</v>
      </c>
      <c r="D97" s="24" t="n">
        <v>36</v>
      </c>
      <c r="E97" s="24" t="n">
        <v>800</v>
      </c>
      <c r="F97" s="60"/>
      <c r="G97" s="60"/>
      <c r="H97" s="60"/>
      <c r="I97" s="60"/>
      <c r="J97" s="60"/>
      <c r="K97" s="60"/>
      <c r="O97" s="134" t="n">
        <v>99</v>
      </c>
      <c r="P97" s="135"/>
      <c r="Q97" s="136"/>
      <c r="R97" s="136"/>
      <c r="S97" s="136"/>
      <c r="T97" s="136"/>
      <c r="U97" s="137"/>
      <c r="V97" s="8" t="n">
        <f aca="false">COUNTA(P97:U97)</f>
        <v>0</v>
      </c>
    </row>
    <row collapsed="false" customFormat="false" customHeight="false" hidden="false" ht="15" outlineLevel="0" r="98">
      <c r="C98" s="19" t="n">
        <v>38</v>
      </c>
      <c r="D98" s="24" t="n">
        <v>255</v>
      </c>
      <c r="E98" s="24"/>
      <c r="F98" s="60"/>
      <c r="G98" s="60"/>
      <c r="H98" s="60"/>
      <c r="I98" s="60"/>
      <c r="J98" s="60"/>
      <c r="K98" s="60" t="n">
        <v>1600</v>
      </c>
      <c r="O98" s="134" t="n">
        <v>100</v>
      </c>
      <c r="P98" s="140" t="n">
        <v>1</v>
      </c>
      <c r="Q98" s="136"/>
      <c r="R98" s="136"/>
      <c r="S98" s="136"/>
      <c r="T98" s="136"/>
      <c r="U98" s="137"/>
      <c r="V98" s="8" t="n">
        <f aca="false">COUNTA(P98:U98)</f>
        <v>1</v>
      </c>
    </row>
    <row collapsed="false" customFormat="false" customHeight="false" hidden="false" ht="15" outlineLevel="0" r="99">
      <c r="C99" s="19" t="n">
        <v>38</v>
      </c>
      <c r="D99" s="24" t="n">
        <v>38</v>
      </c>
      <c r="E99" s="24" t="n">
        <v>800</v>
      </c>
      <c r="F99" s="60"/>
      <c r="G99" s="60"/>
      <c r="H99" s="60"/>
      <c r="I99" s="60"/>
      <c r="J99" s="60"/>
      <c r="K99" s="60"/>
      <c r="O99" s="134" t="n">
        <v>101</v>
      </c>
      <c r="P99" s="140" t="n">
        <v>1</v>
      </c>
      <c r="Q99" s="136"/>
      <c r="R99" s="136"/>
      <c r="S99" s="136"/>
      <c r="T99" s="136"/>
      <c r="U99" s="137"/>
      <c r="V99" s="8" t="n">
        <f aca="false">COUNTA(P99:U99)</f>
        <v>1</v>
      </c>
    </row>
    <row collapsed="false" customFormat="false" customHeight="false" hidden="false" ht="15" outlineLevel="0" r="100">
      <c r="C100" s="19" t="n">
        <v>12</v>
      </c>
      <c r="D100" s="24" t="n">
        <v>12</v>
      </c>
      <c r="E100" s="24" t="n">
        <v>800</v>
      </c>
      <c r="F100" s="60"/>
      <c r="G100" s="60"/>
      <c r="H100" s="60"/>
      <c r="I100" s="60"/>
      <c r="J100" s="60"/>
      <c r="K100" s="60"/>
      <c r="O100" s="134" t="n">
        <v>102</v>
      </c>
      <c r="P100" s="140" t="n">
        <v>1</v>
      </c>
      <c r="Q100" s="138" t="n">
        <v>1</v>
      </c>
      <c r="R100" s="138" t="n">
        <v>1</v>
      </c>
      <c r="S100" s="138" t="n">
        <v>1</v>
      </c>
      <c r="T100" s="136"/>
      <c r="U100" s="139" t="n">
        <v>1</v>
      </c>
      <c r="V100" s="8" t="n">
        <f aca="false">COUNTA(P100:U100)</f>
        <v>5</v>
      </c>
    </row>
    <row collapsed="false" customFormat="false" customHeight="false" hidden="false" ht="15" outlineLevel="0" r="101">
      <c r="C101" s="19" t="n">
        <v>63</v>
      </c>
      <c r="D101" s="24" t="n">
        <v>65</v>
      </c>
      <c r="E101" s="24" t="n">
        <v>800</v>
      </c>
      <c r="F101" s="60"/>
      <c r="G101" s="60"/>
      <c r="H101" s="60"/>
      <c r="I101" s="60"/>
      <c r="J101" s="60"/>
      <c r="K101" s="60" t="n">
        <v>800</v>
      </c>
      <c r="O101" s="134" t="n">
        <v>103</v>
      </c>
      <c r="P101" s="140" t="n">
        <v>1</v>
      </c>
      <c r="Q101" s="136"/>
      <c r="R101" s="138" t="n">
        <v>1</v>
      </c>
      <c r="S101" s="136"/>
      <c r="T101" s="136"/>
      <c r="U101" s="137"/>
      <c r="V101" s="8" t="n">
        <f aca="false">COUNTA(P101:U101)</f>
        <v>2</v>
      </c>
    </row>
    <row collapsed="false" customFormat="false" customHeight="false" hidden="false" ht="15" outlineLevel="0" r="102">
      <c r="C102" s="19" t="n">
        <v>16</v>
      </c>
      <c r="D102" s="24" t="n">
        <v>16</v>
      </c>
      <c r="E102" s="24" t="n">
        <v>800</v>
      </c>
      <c r="F102" s="60"/>
      <c r="G102" s="60"/>
      <c r="H102" s="60"/>
      <c r="I102" s="60"/>
      <c r="J102" s="60"/>
      <c r="K102" s="60" t="n">
        <v>12000</v>
      </c>
      <c r="O102" s="134" t="n">
        <v>104</v>
      </c>
      <c r="P102" s="135"/>
      <c r="Q102" s="136"/>
      <c r="R102" s="136"/>
      <c r="S102" s="136"/>
      <c r="T102" s="136"/>
      <c r="U102" s="137"/>
      <c r="V102" s="8" t="n">
        <f aca="false">COUNTA(P102:U102)</f>
        <v>0</v>
      </c>
    </row>
    <row collapsed="false" customFormat="false" customHeight="false" hidden="false" ht="15" outlineLevel="0" r="103">
      <c r="C103" s="19" t="n">
        <v>121</v>
      </c>
      <c r="D103" s="24" t="n">
        <v>126</v>
      </c>
      <c r="E103" s="24" t="n">
        <v>800</v>
      </c>
      <c r="F103" s="60" t="n">
        <v>3000</v>
      </c>
      <c r="G103" s="60"/>
      <c r="H103" s="60"/>
      <c r="I103" s="60" t="n">
        <v>3200</v>
      </c>
      <c r="J103" s="60"/>
      <c r="K103" s="60"/>
      <c r="O103" s="134" t="n">
        <v>105</v>
      </c>
      <c r="P103" s="140" t="n">
        <v>1</v>
      </c>
      <c r="Q103" s="136"/>
      <c r="R103" s="136"/>
      <c r="S103" s="136"/>
      <c r="T103" s="136"/>
      <c r="U103" s="139" t="n">
        <v>1</v>
      </c>
      <c r="V103" s="8" t="n">
        <f aca="false">COUNTA(P103:U103)</f>
        <v>2</v>
      </c>
    </row>
    <row collapsed="false" customFormat="false" customHeight="false" hidden="false" ht="15" outlineLevel="0" r="104">
      <c r="C104" s="19" t="n">
        <v>156</v>
      </c>
      <c r="D104" s="24" t="n">
        <v>164</v>
      </c>
      <c r="E104" s="24" t="n">
        <v>800</v>
      </c>
      <c r="F104" s="60"/>
      <c r="G104" s="60" t="n">
        <v>5000</v>
      </c>
      <c r="H104" s="60" t="n">
        <v>1000</v>
      </c>
      <c r="I104" s="60" t="n">
        <v>1000</v>
      </c>
      <c r="J104" s="60" t="n">
        <v>1000</v>
      </c>
      <c r="K104" s="60" t="n">
        <v>1000</v>
      </c>
      <c r="O104" s="134" t="n">
        <v>106</v>
      </c>
      <c r="P104" s="135"/>
      <c r="Q104" s="136"/>
      <c r="R104" s="136"/>
      <c r="S104" s="136"/>
      <c r="T104" s="136"/>
      <c r="U104" s="137"/>
      <c r="V104" s="8" t="n">
        <f aca="false">COUNTA(P104:U104)</f>
        <v>0</v>
      </c>
    </row>
    <row collapsed="false" customFormat="false" customHeight="false" hidden="false" ht="15" outlineLevel="0" r="105">
      <c r="C105" s="19" t="n">
        <v>5</v>
      </c>
      <c r="D105" s="24" t="n">
        <v>5</v>
      </c>
      <c r="E105" s="24" t="n">
        <v>800</v>
      </c>
      <c r="F105" s="60"/>
      <c r="G105" s="60"/>
      <c r="H105" s="60"/>
      <c r="I105" s="60"/>
      <c r="J105" s="60"/>
      <c r="K105" s="60"/>
      <c r="O105" s="134" t="n">
        <v>107</v>
      </c>
      <c r="P105" s="135"/>
      <c r="Q105" s="138" t="n">
        <v>1</v>
      </c>
      <c r="R105" s="138" t="n">
        <v>1</v>
      </c>
      <c r="S105" s="138" t="n">
        <v>1</v>
      </c>
      <c r="T105" s="136"/>
      <c r="U105" s="139" t="n">
        <v>1</v>
      </c>
      <c r="V105" s="8" t="n">
        <f aca="false">COUNTA(P105:U105)</f>
        <v>4</v>
      </c>
    </row>
    <row collapsed="false" customFormat="false" customHeight="false" hidden="false" ht="15" outlineLevel="0" r="106">
      <c r="C106" s="19" t="n">
        <v>214</v>
      </c>
      <c r="D106" s="24" t="n">
        <v>223</v>
      </c>
      <c r="E106" s="24" t="n">
        <v>800</v>
      </c>
      <c r="F106" s="60"/>
      <c r="G106" s="60" t="n">
        <v>3000</v>
      </c>
      <c r="H106" s="60"/>
      <c r="I106" s="60"/>
      <c r="J106" s="60"/>
      <c r="K106" s="60" t="n">
        <v>2000</v>
      </c>
      <c r="O106" s="134" t="n">
        <v>108</v>
      </c>
      <c r="P106" s="135"/>
      <c r="Q106" s="138" t="n">
        <v>1</v>
      </c>
      <c r="R106" s="138" t="n">
        <v>1</v>
      </c>
      <c r="S106" s="136"/>
      <c r="T106" s="136"/>
      <c r="U106" s="139" t="n">
        <v>1</v>
      </c>
      <c r="V106" s="8" t="n">
        <f aca="false">COUNTA(P106:U106)</f>
        <v>3</v>
      </c>
    </row>
    <row collapsed="false" customFormat="false" customHeight="false" hidden="false" ht="15" outlineLevel="0" r="107">
      <c r="C107" s="19" t="n">
        <v>279</v>
      </c>
      <c r="D107" s="24" t="n">
        <v>291</v>
      </c>
      <c r="E107" s="24" t="n">
        <v>800</v>
      </c>
      <c r="F107" s="60"/>
      <c r="G107" s="60"/>
      <c r="H107" s="60"/>
      <c r="I107" s="60"/>
      <c r="J107" s="60"/>
      <c r="K107" s="60"/>
      <c r="O107" s="134" t="n">
        <v>109</v>
      </c>
      <c r="P107" s="135"/>
      <c r="Q107" s="138" t="n">
        <v>1</v>
      </c>
      <c r="R107" s="138" t="n">
        <v>1</v>
      </c>
      <c r="S107" s="136"/>
      <c r="T107" s="136"/>
      <c r="U107" s="137"/>
      <c r="V107" s="8" t="n">
        <f aca="false">COUNTA(P107:U107)</f>
        <v>2</v>
      </c>
    </row>
    <row collapsed="false" customFormat="false" customHeight="false" hidden="false" ht="15" outlineLevel="0" r="108">
      <c r="C108" s="19" t="n">
        <v>197</v>
      </c>
      <c r="D108" s="24" t="n">
        <v>205</v>
      </c>
      <c r="E108" s="24" t="n">
        <v>800</v>
      </c>
      <c r="F108" s="60"/>
      <c r="G108" s="60"/>
      <c r="H108" s="60"/>
      <c r="I108" s="60"/>
      <c r="J108" s="60"/>
      <c r="K108" s="60"/>
      <c r="O108" s="134" t="n">
        <v>110</v>
      </c>
      <c r="P108" s="135"/>
      <c r="Q108" s="136"/>
      <c r="R108" s="136"/>
      <c r="S108" s="136"/>
      <c r="T108" s="136"/>
      <c r="U108" s="137"/>
      <c r="V108" s="8" t="n">
        <f aca="false">COUNTA(P108:U108)</f>
        <v>0</v>
      </c>
    </row>
    <row collapsed="false" customFormat="false" customHeight="false" hidden="false" ht="15" outlineLevel="0" r="109">
      <c r="C109" s="19" t="n">
        <v>295</v>
      </c>
      <c r="D109" s="24" t="n">
        <v>310</v>
      </c>
      <c r="E109" s="24" t="n">
        <v>800</v>
      </c>
      <c r="F109" s="60"/>
      <c r="G109" s="60"/>
      <c r="H109" s="60"/>
      <c r="I109" s="60"/>
      <c r="J109" s="60"/>
      <c r="K109" s="60"/>
      <c r="O109" s="134" t="n">
        <v>112</v>
      </c>
      <c r="P109" s="135"/>
      <c r="Q109" s="138" t="n">
        <v>1</v>
      </c>
      <c r="R109" s="136"/>
      <c r="S109" s="136"/>
      <c r="T109" s="136"/>
      <c r="U109" s="139" t="n">
        <v>1</v>
      </c>
      <c r="V109" s="8" t="n">
        <f aca="false">COUNTA(P109:U109)</f>
        <v>2</v>
      </c>
    </row>
    <row collapsed="false" customFormat="false" customHeight="false" hidden="false" ht="15" outlineLevel="0" r="110">
      <c r="C110" s="19" t="n">
        <v>196</v>
      </c>
      <c r="D110" s="24" t="n">
        <v>204</v>
      </c>
      <c r="E110" s="24" t="n">
        <v>800</v>
      </c>
      <c r="F110" s="60"/>
      <c r="G110" s="60"/>
      <c r="H110" s="60" t="n">
        <v>4800</v>
      </c>
      <c r="I110" s="60"/>
      <c r="J110" s="60"/>
      <c r="K110" s="60"/>
      <c r="O110" s="134" t="n">
        <v>113</v>
      </c>
      <c r="P110" s="140" t="n">
        <v>1</v>
      </c>
      <c r="Q110" s="136"/>
      <c r="R110" s="136"/>
      <c r="S110" s="138" t="n">
        <v>1</v>
      </c>
      <c r="T110" s="136"/>
      <c r="U110" s="139" t="n">
        <v>1</v>
      </c>
      <c r="V110" s="8" t="n">
        <f aca="false">COUNTA(P110:U110)</f>
        <v>3</v>
      </c>
    </row>
    <row collapsed="false" customFormat="false" customHeight="false" hidden="false" ht="15" outlineLevel="0" r="111">
      <c r="C111" s="19" t="n">
        <v>124</v>
      </c>
      <c r="D111" s="24" t="n">
        <v>129</v>
      </c>
      <c r="E111" s="24" t="n">
        <v>800</v>
      </c>
      <c r="F111" s="60"/>
      <c r="G111" s="60"/>
      <c r="H111" s="60"/>
      <c r="I111" s="60"/>
      <c r="J111" s="60"/>
      <c r="K111" s="60"/>
      <c r="O111" s="134" t="n">
        <v>114</v>
      </c>
      <c r="P111" s="135"/>
      <c r="Q111" s="136"/>
      <c r="R111" s="136"/>
      <c r="S111" s="136"/>
      <c r="T111" s="136"/>
      <c r="U111" s="137"/>
      <c r="V111" s="8" t="n">
        <f aca="false">COUNTA(P111:U111)</f>
        <v>0</v>
      </c>
    </row>
    <row collapsed="false" customFormat="false" customHeight="false" hidden="false" ht="15" outlineLevel="0" r="112">
      <c r="C112" s="19" t="n">
        <v>250</v>
      </c>
      <c r="D112" s="24" t="n">
        <v>261</v>
      </c>
      <c r="E112" s="24" t="n">
        <v>800</v>
      </c>
      <c r="F112" s="60"/>
      <c r="G112" s="60"/>
      <c r="H112" s="60" t="n">
        <v>1000</v>
      </c>
      <c r="I112" s="60" t="n">
        <v>1000</v>
      </c>
      <c r="J112" s="60" t="n">
        <v>1000</v>
      </c>
      <c r="K112" s="60"/>
      <c r="O112" s="134" t="n">
        <v>116</v>
      </c>
      <c r="P112" s="135"/>
      <c r="Q112" s="136"/>
      <c r="R112" s="138" t="n">
        <v>1</v>
      </c>
      <c r="S112" s="136"/>
      <c r="T112" s="136"/>
      <c r="U112" s="137"/>
      <c r="V112" s="8" t="n">
        <f aca="false">COUNTA(P112:U112)</f>
        <v>1</v>
      </c>
    </row>
    <row collapsed="false" customFormat="false" customHeight="false" hidden="false" ht="15" outlineLevel="0" r="113">
      <c r="C113" s="19" t="n">
        <v>153</v>
      </c>
      <c r="D113" s="24" t="n">
        <v>161</v>
      </c>
      <c r="E113" s="24" t="n">
        <v>800</v>
      </c>
      <c r="F113" s="60"/>
      <c r="G113" s="60"/>
      <c r="H113" s="60"/>
      <c r="I113" s="60" t="n">
        <v>7200</v>
      </c>
      <c r="J113" s="60"/>
      <c r="K113" s="60"/>
      <c r="O113" s="134" t="n">
        <v>117</v>
      </c>
      <c r="P113" s="135"/>
      <c r="Q113" s="136"/>
      <c r="R113" s="136"/>
      <c r="S113" s="136"/>
      <c r="T113" s="136"/>
      <c r="U113" s="137"/>
      <c r="V113" s="8" t="n">
        <f aca="false">COUNTA(P113:U113)</f>
        <v>0</v>
      </c>
    </row>
    <row collapsed="false" customFormat="false" customHeight="false" hidden="false" ht="15" outlineLevel="0" r="114">
      <c r="C114" s="19" t="n">
        <v>106</v>
      </c>
      <c r="D114" s="24" t="n">
        <v>111</v>
      </c>
      <c r="E114" s="24" t="n">
        <v>800</v>
      </c>
      <c r="F114" s="60"/>
      <c r="G114" s="60"/>
      <c r="H114" s="60"/>
      <c r="I114" s="60"/>
      <c r="J114" s="60"/>
      <c r="K114" s="60"/>
      <c r="O114" s="134" t="n">
        <v>118</v>
      </c>
      <c r="P114" s="135"/>
      <c r="Q114" s="136"/>
      <c r="R114" s="136"/>
      <c r="S114" s="136"/>
      <c r="T114" s="136"/>
      <c r="U114" s="137"/>
      <c r="V114" s="8" t="n">
        <f aca="false">COUNTA(P114:U114)</f>
        <v>0</v>
      </c>
    </row>
    <row collapsed="false" customFormat="false" customHeight="false" hidden="false" ht="15" outlineLevel="0" r="115">
      <c r="C115" s="19" t="n">
        <v>222</v>
      </c>
      <c r="D115" s="24" t="n">
        <v>231</v>
      </c>
      <c r="E115" s="24" t="n">
        <v>800</v>
      </c>
      <c r="F115" s="60"/>
      <c r="G115" s="60" t="n">
        <v>3200</v>
      </c>
      <c r="H115" s="60"/>
      <c r="I115" s="60"/>
      <c r="J115" s="60" t="n">
        <v>4000</v>
      </c>
      <c r="K115" s="60"/>
      <c r="O115" s="134" t="n">
        <v>119</v>
      </c>
      <c r="P115" s="135"/>
      <c r="Q115" s="136"/>
      <c r="R115" s="138" t="n">
        <v>1</v>
      </c>
      <c r="S115" s="136"/>
      <c r="T115" s="136"/>
      <c r="U115" s="137"/>
      <c r="V115" s="8" t="n">
        <f aca="false">COUNTA(P115:U115)</f>
        <v>1</v>
      </c>
    </row>
    <row collapsed="false" customFormat="false" customHeight="false" hidden="false" ht="15" outlineLevel="0" r="116">
      <c r="C116" s="19" t="n">
        <v>208</v>
      </c>
      <c r="D116" s="24" t="n">
        <v>218</v>
      </c>
      <c r="E116" s="24" t="n">
        <v>800</v>
      </c>
      <c r="F116" s="60"/>
      <c r="G116" s="60"/>
      <c r="H116" s="60"/>
      <c r="I116" s="60"/>
      <c r="J116" s="60"/>
      <c r="K116" s="60"/>
      <c r="O116" s="134" t="n">
        <v>120</v>
      </c>
      <c r="P116" s="140" t="n">
        <v>1</v>
      </c>
      <c r="Q116" s="138" t="n">
        <v>1</v>
      </c>
      <c r="R116" s="138" t="n">
        <v>1</v>
      </c>
      <c r="S116" s="136"/>
      <c r="T116" s="136"/>
      <c r="U116" s="139" t="n">
        <v>1</v>
      </c>
      <c r="V116" s="8" t="n">
        <f aca="false">COUNTA(P116:U116)</f>
        <v>4</v>
      </c>
    </row>
    <row collapsed="false" customFormat="false" customHeight="false" hidden="false" ht="15" outlineLevel="0" r="117">
      <c r="C117" s="19" t="n">
        <v>207</v>
      </c>
      <c r="D117" s="24" t="n">
        <v>217</v>
      </c>
      <c r="E117" s="24" t="n">
        <v>800</v>
      </c>
      <c r="F117" s="60"/>
      <c r="G117" s="60"/>
      <c r="H117" s="60"/>
      <c r="I117" s="60"/>
      <c r="J117" s="60"/>
      <c r="K117" s="60"/>
      <c r="O117" s="134" t="n">
        <v>121</v>
      </c>
      <c r="P117" s="140" t="n">
        <v>1</v>
      </c>
      <c r="Q117" s="136"/>
      <c r="R117" s="136"/>
      <c r="S117" s="138" t="n">
        <v>1</v>
      </c>
      <c r="T117" s="136"/>
      <c r="U117" s="137"/>
      <c r="V117" s="8" t="n">
        <f aca="false">COUNTA(P117:U117)</f>
        <v>2</v>
      </c>
    </row>
    <row collapsed="false" customFormat="false" customHeight="false" hidden="false" ht="15" outlineLevel="0" r="118">
      <c r="C118" s="19" t="n">
        <v>231</v>
      </c>
      <c r="D118" s="24" t="n">
        <v>240</v>
      </c>
      <c r="E118" s="24" t="n">
        <v>800</v>
      </c>
      <c r="F118" s="60"/>
      <c r="G118" s="60" t="n">
        <v>5000</v>
      </c>
      <c r="H118" s="60"/>
      <c r="I118" s="60" t="n">
        <v>1000</v>
      </c>
      <c r="J118" s="60"/>
      <c r="K118" s="60"/>
      <c r="O118" s="134" t="n">
        <v>122</v>
      </c>
      <c r="P118" s="135"/>
      <c r="Q118" s="138" t="n">
        <v>1</v>
      </c>
      <c r="R118" s="136"/>
      <c r="S118" s="138" t="n">
        <v>1</v>
      </c>
      <c r="T118" s="136"/>
      <c r="U118" s="137"/>
      <c r="V118" s="8" t="n">
        <f aca="false">COUNTA(P118:U118)</f>
        <v>2</v>
      </c>
    </row>
    <row collapsed="false" customFormat="false" customHeight="false" hidden="false" ht="15" outlineLevel="0" r="119">
      <c r="C119" s="19" t="n">
        <v>76</v>
      </c>
      <c r="D119" s="24" t="n">
        <v>82</v>
      </c>
      <c r="E119" s="24" t="n">
        <v>800</v>
      </c>
      <c r="F119" s="60"/>
      <c r="G119" s="60" t="n">
        <v>2400</v>
      </c>
      <c r="H119" s="60"/>
      <c r="I119" s="60" t="n">
        <v>2400</v>
      </c>
      <c r="J119" s="60"/>
      <c r="K119" s="60"/>
      <c r="O119" s="134" t="n">
        <v>123</v>
      </c>
      <c r="P119" s="135"/>
      <c r="Q119" s="136"/>
      <c r="R119" s="136"/>
      <c r="S119" s="136"/>
      <c r="T119" s="136"/>
      <c r="U119" s="137"/>
      <c r="V119" s="8" t="n">
        <f aca="false">COUNTA(P119:U119)</f>
        <v>0</v>
      </c>
    </row>
    <row collapsed="false" customFormat="false" customHeight="false" hidden="false" ht="15" outlineLevel="0" r="120">
      <c r="C120" s="19" t="n">
        <v>82</v>
      </c>
      <c r="D120" s="24" t="n">
        <v>87</v>
      </c>
      <c r="E120" s="24" t="n">
        <v>800</v>
      </c>
      <c r="F120" s="60" t="n">
        <v>3000</v>
      </c>
      <c r="G120" s="60"/>
      <c r="H120" s="60" t="n">
        <v>3000</v>
      </c>
      <c r="I120" s="60"/>
      <c r="J120" s="60"/>
      <c r="K120" s="60"/>
      <c r="O120" s="134" t="n">
        <v>124</v>
      </c>
      <c r="P120" s="135"/>
      <c r="Q120" s="136"/>
      <c r="R120" s="136"/>
      <c r="S120" s="136"/>
      <c r="T120" s="136"/>
      <c r="U120" s="137"/>
      <c r="V120" s="8" t="n">
        <f aca="false">COUNTA(P120:U120)</f>
        <v>0</v>
      </c>
    </row>
    <row collapsed="false" customFormat="false" customHeight="false" hidden="false" ht="15" outlineLevel="0" r="121">
      <c r="C121" s="19" t="n">
        <v>8</v>
      </c>
      <c r="D121" s="24" t="n">
        <v>8</v>
      </c>
      <c r="E121" s="24" t="n">
        <v>800</v>
      </c>
      <c r="F121" s="60"/>
      <c r="G121" s="60"/>
      <c r="H121" s="60"/>
      <c r="I121" s="60"/>
      <c r="J121" s="60"/>
      <c r="K121" s="60" t="n">
        <v>4000</v>
      </c>
      <c r="O121" s="134" t="n">
        <v>125</v>
      </c>
      <c r="P121" s="135"/>
      <c r="Q121" s="136"/>
      <c r="R121" s="136"/>
      <c r="S121" s="136"/>
      <c r="T121" s="136"/>
      <c r="U121" s="139" t="n">
        <v>1</v>
      </c>
      <c r="V121" s="8" t="n">
        <f aca="false">COUNTA(P121:U121)</f>
        <v>1</v>
      </c>
    </row>
    <row collapsed="false" customFormat="false" customHeight="false" hidden="false" ht="15" outlineLevel="0" r="122">
      <c r="C122" s="19" t="n">
        <v>149</v>
      </c>
      <c r="D122" s="24" t="n">
        <v>157</v>
      </c>
      <c r="E122" s="24" t="n">
        <v>800</v>
      </c>
      <c r="F122" s="60"/>
      <c r="G122" s="60"/>
      <c r="H122" s="60" t="n">
        <v>1000</v>
      </c>
      <c r="I122" s="60"/>
      <c r="J122" s="60" t="n">
        <v>1000</v>
      </c>
      <c r="K122" s="60"/>
      <c r="O122" s="134" t="n">
        <v>126</v>
      </c>
      <c r="P122" s="135"/>
      <c r="Q122" s="136"/>
      <c r="R122" s="138" t="n">
        <v>1</v>
      </c>
      <c r="S122" s="136"/>
      <c r="T122" s="136"/>
      <c r="U122" s="137"/>
      <c r="V122" s="8" t="n">
        <f aca="false">COUNTA(P122:U122)</f>
        <v>1</v>
      </c>
    </row>
    <row collapsed="false" customFormat="false" customHeight="false" hidden="false" ht="15" outlineLevel="0" r="123">
      <c r="C123" s="19" t="n">
        <v>30</v>
      </c>
      <c r="D123" s="24" t="n">
        <v>30</v>
      </c>
      <c r="E123" s="24" t="n">
        <v>800</v>
      </c>
      <c r="F123" s="60"/>
      <c r="G123" s="60"/>
      <c r="H123" s="60"/>
      <c r="I123" s="60"/>
      <c r="J123" s="60"/>
      <c r="K123" s="60"/>
      <c r="O123" s="134" t="n">
        <v>127</v>
      </c>
      <c r="P123" s="135"/>
      <c r="Q123" s="138" t="n">
        <v>1</v>
      </c>
      <c r="R123" s="136"/>
      <c r="S123" s="136"/>
      <c r="T123" s="136"/>
      <c r="U123" s="137"/>
      <c r="V123" s="8" t="n">
        <f aca="false">COUNTA(P123:U123)</f>
        <v>1</v>
      </c>
    </row>
    <row collapsed="false" customFormat="false" customHeight="false" hidden="false" ht="15" outlineLevel="0" r="124">
      <c r="C124" s="19" t="n">
        <v>269</v>
      </c>
      <c r="D124" s="24" t="n">
        <v>282</v>
      </c>
      <c r="E124" s="24" t="n">
        <v>800</v>
      </c>
      <c r="F124" s="60"/>
      <c r="G124" s="60"/>
      <c r="H124" s="60"/>
      <c r="I124" s="60"/>
      <c r="J124" s="60"/>
      <c r="K124" s="60"/>
      <c r="O124" s="134" t="n">
        <v>128</v>
      </c>
      <c r="P124" s="140" t="n">
        <v>1</v>
      </c>
      <c r="Q124" s="136"/>
      <c r="R124" s="136"/>
      <c r="S124" s="136"/>
      <c r="T124" s="136"/>
      <c r="U124" s="137"/>
      <c r="V124" s="8" t="n">
        <f aca="false">COUNTA(P124:U124)</f>
        <v>1</v>
      </c>
    </row>
    <row collapsed="false" customFormat="false" customHeight="false" hidden="false" ht="15" outlineLevel="0" r="125">
      <c r="C125" s="19" t="n">
        <v>271</v>
      </c>
      <c r="D125" s="24" t="n">
        <v>284</v>
      </c>
      <c r="E125" s="24" t="n">
        <v>800</v>
      </c>
      <c r="F125" s="60"/>
      <c r="G125" s="60"/>
      <c r="H125" s="60"/>
      <c r="I125" s="60"/>
      <c r="J125" s="60"/>
      <c r="K125" s="60" t="n">
        <v>5000</v>
      </c>
      <c r="O125" s="134" t="n">
        <v>129</v>
      </c>
      <c r="P125" s="135"/>
      <c r="Q125" s="138" t="n">
        <v>1</v>
      </c>
      <c r="R125" s="136"/>
      <c r="S125" s="138" t="n">
        <v>1</v>
      </c>
      <c r="T125" s="136"/>
      <c r="U125" s="137"/>
      <c r="V125" s="8" t="n">
        <f aca="false">COUNTA(P125:U125)</f>
        <v>2</v>
      </c>
    </row>
    <row collapsed="false" customFormat="false" customHeight="false" hidden="false" ht="15" outlineLevel="0" r="126">
      <c r="C126" s="19" t="n">
        <v>265</v>
      </c>
      <c r="D126" s="24" t="n">
        <v>278</v>
      </c>
      <c r="E126" s="24" t="n">
        <v>800</v>
      </c>
      <c r="F126" s="60"/>
      <c r="G126" s="60"/>
      <c r="H126" s="60" t="n">
        <v>3000</v>
      </c>
      <c r="I126" s="60"/>
      <c r="J126" s="60"/>
      <c r="K126" s="60"/>
      <c r="O126" s="134" t="n">
        <v>130</v>
      </c>
      <c r="P126" s="135"/>
      <c r="Q126" s="138" t="n">
        <v>1</v>
      </c>
      <c r="R126" s="136"/>
      <c r="S126" s="136"/>
      <c r="T126" s="136"/>
      <c r="U126" s="139" t="n">
        <v>1</v>
      </c>
      <c r="V126" s="8" t="n">
        <f aca="false">COUNTA(P126:U126)</f>
        <v>2</v>
      </c>
    </row>
    <row collapsed="false" customFormat="false" customHeight="false" hidden="false" ht="15" outlineLevel="0" r="127">
      <c r="C127" s="19" t="n">
        <v>173</v>
      </c>
      <c r="D127" s="24" t="n">
        <v>181</v>
      </c>
      <c r="E127" s="24" t="n">
        <v>800</v>
      </c>
      <c r="F127" s="60"/>
      <c r="G127" s="60"/>
      <c r="H127" s="60"/>
      <c r="I127" s="60"/>
      <c r="J127" s="60"/>
      <c r="K127" s="60"/>
      <c r="O127" s="134" t="n">
        <v>131</v>
      </c>
      <c r="P127" s="135"/>
      <c r="Q127" s="136"/>
      <c r="R127" s="136"/>
      <c r="S127" s="138" t="n">
        <v>1</v>
      </c>
      <c r="T127" s="136"/>
      <c r="U127" s="137"/>
      <c r="V127" s="8" t="n">
        <f aca="false">COUNTA(P127:U127)</f>
        <v>1</v>
      </c>
    </row>
    <row collapsed="false" customFormat="false" customHeight="false" hidden="false" ht="15" outlineLevel="0" r="128">
      <c r="C128" s="19" t="n">
        <v>305</v>
      </c>
      <c r="D128" s="24" t="n">
        <v>320</v>
      </c>
      <c r="E128" s="24" t="n">
        <v>800</v>
      </c>
      <c r="F128" s="60"/>
      <c r="G128" s="60"/>
      <c r="H128" s="60"/>
      <c r="I128" s="60"/>
      <c r="J128" s="60"/>
      <c r="K128" s="60"/>
      <c r="O128" s="134" t="n">
        <v>132</v>
      </c>
      <c r="P128" s="135"/>
      <c r="Q128" s="136"/>
      <c r="R128" s="136"/>
      <c r="S128" s="136"/>
      <c r="T128" s="136"/>
      <c r="U128" s="137"/>
      <c r="V128" s="8" t="n">
        <f aca="false">COUNTA(P128:U128)</f>
        <v>0</v>
      </c>
    </row>
    <row collapsed="false" customFormat="false" customHeight="false" hidden="false" ht="15" outlineLevel="0" r="129">
      <c r="C129" s="19" t="n">
        <v>69</v>
      </c>
      <c r="D129" s="24" t="n">
        <v>75</v>
      </c>
      <c r="E129" s="24" t="n">
        <v>800</v>
      </c>
      <c r="F129" s="60"/>
      <c r="G129" s="60"/>
      <c r="H129" s="60"/>
      <c r="I129" s="60"/>
      <c r="J129" s="60"/>
      <c r="K129" s="60"/>
      <c r="O129" s="134" t="n">
        <v>133</v>
      </c>
      <c r="P129" s="135"/>
      <c r="Q129" s="138" t="n">
        <v>1</v>
      </c>
      <c r="R129" s="138" t="n">
        <v>1</v>
      </c>
      <c r="S129" s="138" t="n">
        <v>1</v>
      </c>
      <c r="T129" s="138" t="n">
        <v>1</v>
      </c>
      <c r="U129" s="139" t="n">
        <v>1</v>
      </c>
      <c r="V129" s="8" t="n">
        <f aca="false">COUNTA(P129:U129)</f>
        <v>5</v>
      </c>
    </row>
    <row collapsed="false" customFormat="false" customHeight="false" hidden="false" ht="15" outlineLevel="0" r="130">
      <c r="C130" s="19" t="n">
        <v>69</v>
      </c>
      <c r="D130" s="24" t="n">
        <v>76</v>
      </c>
      <c r="E130" s="24"/>
      <c r="F130" s="60"/>
      <c r="G130" s="60"/>
      <c r="H130" s="60"/>
      <c r="I130" s="60"/>
      <c r="J130" s="60"/>
      <c r="K130" s="60"/>
      <c r="O130" s="134" t="n">
        <v>134</v>
      </c>
      <c r="P130" s="140" t="n">
        <v>1</v>
      </c>
      <c r="Q130" s="138" t="n">
        <v>1</v>
      </c>
      <c r="R130" s="136"/>
      <c r="S130" s="136"/>
      <c r="T130" s="136"/>
      <c r="U130" s="137"/>
      <c r="V130" s="8" t="n">
        <f aca="false">COUNTA(P130:U130)</f>
        <v>2</v>
      </c>
    </row>
    <row collapsed="false" customFormat="false" customHeight="false" hidden="false" ht="15" outlineLevel="0" r="131">
      <c r="C131" s="19" t="n">
        <v>1</v>
      </c>
      <c r="D131" s="24" t="n">
        <v>1</v>
      </c>
      <c r="E131" s="24" t="n">
        <v>800</v>
      </c>
      <c r="F131" s="60"/>
      <c r="G131" s="60" t="n">
        <v>4200</v>
      </c>
      <c r="H131" s="60"/>
      <c r="I131" s="60"/>
      <c r="J131" s="60"/>
      <c r="K131" s="60"/>
      <c r="O131" s="134" t="n">
        <v>135</v>
      </c>
      <c r="P131" s="135"/>
      <c r="Q131" s="136"/>
      <c r="R131" s="138" t="n">
        <v>1</v>
      </c>
      <c r="S131" s="136"/>
      <c r="T131" s="136"/>
      <c r="U131" s="139" t="n">
        <v>1</v>
      </c>
      <c r="V131" s="8" t="n">
        <f aca="false">COUNTA(P131:U131)</f>
        <v>2</v>
      </c>
    </row>
    <row collapsed="false" customFormat="false" customHeight="false" hidden="false" ht="15" outlineLevel="0" r="132">
      <c r="C132" s="19" t="n">
        <v>302</v>
      </c>
      <c r="D132" s="24" t="n">
        <v>317</v>
      </c>
      <c r="E132" s="24" t="n">
        <v>800</v>
      </c>
      <c r="F132" s="60"/>
      <c r="G132" s="60"/>
      <c r="H132" s="60"/>
      <c r="I132" s="60"/>
      <c r="J132" s="60"/>
      <c r="K132" s="60"/>
      <c r="O132" s="134" t="n">
        <v>136</v>
      </c>
      <c r="P132" s="135"/>
      <c r="Q132" s="136"/>
      <c r="R132" s="136"/>
      <c r="S132" s="136"/>
      <c r="T132" s="136"/>
      <c r="U132" s="137"/>
      <c r="V132" s="8" t="n">
        <f aca="false">COUNTA(P132:U132)</f>
        <v>0</v>
      </c>
    </row>
    <row collapsed="false" customFormat="false" customHeight="false" hidden="false" ht="15" outlineLevel="0" r="133">
      <c r="C133" s="19" t="n">
        <v>123</v>
      </c>
      <c r="D133" s="24" t="n">
        <v>128</v>
      </c>
      <c r="E133" s="24" t="n">
        <v>800</v>
      </c>
      <c r="F133" s="60"/>
      <c r="G133" s="60"/>
      <c r="H133" s="60"/>
      <c r="I133" s="60"/>
      <c r="J133" s="60"/>
      <c r="K133" s="60"/>
      <c r="O133" s="134" t="n">
        <v>137</v>
      </c>
      <c r="P133" s="135"/>
      <c r="Q133" s="138" t="n">
        <v>1</v>
      </c>
      <c r="R133" s="136"/>
      <c r="S133" s="136"/>
      <c r="T133" s="136"/>
      <c r="U133" s="139" t="n">
        <v>1</v>
      </c>
      <c r="V133" s="8" t="n">
        <f aca="false">COUNTA(P133:U133)</f>
        <v>2</v>
      </c>
    </row>
    <row collapsed="false" customFormat="false" customHeight="false" hidden="false" ht="15" outlineLevel="0" r="134">
      <c r="C134" s="19" t="n">
        <v>163</v>
      </c>
      <c r="D134" s="24" t="n">
        <v>171</v>
      </c>
      <c r="E134" s="24" t="n">
        <v>800</v>
      </c>
      <c r="F134" s="60"/>
      <c r="G134" s="60"/>
      <c r="H134" s="60"/>
      <c r="I134" s="60"/>
      <c r="J134" s="60"/>
      <c r="K134" s="60"/>
      <c r="O134" s="134" t="n">
        <v>138</v>
      </c>
      <c r="P134" s="135"/>
      <c r="Q134" s="138" t="n">
        <v>1</v>
      </c>
      <c r="R134" s="136"/>
      <c r="S134" s="136"/>
      <c r="T134" s="136"/>
      <c r="U134" s="139" t="n">
        <v>1</v>
      </c>
      <c r="V134" s="8" t="n">
        <f aca="false">COUNTA(P134:U134)</f>
        <v>2</v>
      </c>
    </row>
    <row collapsed="false" customFormat="false" customHeight="false" hidden="false" ht="15" outlineLevel="0" r="135">
      <c r="C135" s="19" t="n">
        <v>110</v>
      </c>
      <c r="D135" s="24" t="n">
        <v>115</v>
      </c>
      <c r="E135" s="24" t="n">
        <v>800</v>
      </c>
      <c r="F135" s="60"/>
      <c r="G135" s="60"/>
      <c r="H135" s="60"/>
      <c r="I135" s="60"/>
      <c r="J135" s="60"/>
      <c r="K135" s="60"/>
      <c r="O135" s="134" t="n">
        <v>139</v>
      </c>
      <c r="P135" s="135"/>
      <c r="Q135" s="136"/>
      <c r="R135" s="136"/>
      <c r="S135" s="136"/>
      <c r="T135" s="138" t="n">
        <v>1</v>
      </c>
      <c r="U135" s="137"/>
      <c r="V135" s="8" t="n">
        <f aca="false">COUNTA(P135:U135)</f>
        <v>1</v>
      </c>
    </row>
    <row collapsed="false" customFormat="false" customHeight="false" hidden="false" ht="15" outlineLevel="0" r="136">
      <c r="C136" s="19" t="n">
        <v>112</v>
      </c>
      <c r="D136" s="24" t="n">
        <v>117</v>
      </c>
      <c r="E136" s="24" t="n">
        <v>800</v>
      </c>
      <c r="F136" s="60"/>
      <c r="G136" s="60" t="n">
        <v>4800</v>
      </c>
      <c r="H136" s="60"/>
      <c r="I136" s="60"/>
      <c r="J136" s="60"/>
      <c r="K136" s="60" t="n">
        <v>4800</v>
      </c>
      <c r="O136" s="134" t="n">
        <v>142</v>
      </c>
      <c r="P136" s="135"/>
      <c r="Q136" s="136"/>
      <c r="R136" s="136"/>
      <c r="S136" s="136"/>
      <c r="T136" s="136"/>
      <c r="U136" s="137"/>
      <c r="V136" s="8" t="n">
        <f aca="false">COUNTA(P136:U136)</f>
        <v>0</v>
      </c>
    </row>
    <row collapsed="false" customFormat="false" customHeight="false" hidden="false" ht="15" outlineLevel="0" r="137">
      <c r="C137" s="19" t="n">
        <v>190</v>
      </c>
      <c r="D137" s="24" t="n">
        <v>198</v>
      </c>
      <c r="E137" s="24" t="n">
        <v>800</v>
      </c>
      <c r="F137" s="60"/>
      <c r="G137" s="60"/>
      <c r="H137" s="60"/>
      <c r="I137" s="60"/>
      <c r="J137" s="60"/>
      <c r="K137" s="60" t="n">
        <v>800</v>
      </c>
      <c r="O137" s="134" t="n">
        <v>143</v>
      </c>
      <c r="P137" s="135"/>
      <c r="Q137" s="136"/>
      <c r="R137" s="136"/>
      <c r="S137" s="136"/>
      <c r="T137" s="136"/>
      <c r="U137" s="139" t="n">
        <v>1</v>
      </c>
      <c r="V137" s="8" t="n">
        <f aca="false">COUNTA(P137:U137)</f>
        <v>1</v>
      </c>
    </row>
    <row collapsed="false" customFormat="false" customHeight="false" hidden="false" ht="15" outlineLevel="0" r="138">
      <c r="C138" s="19" t="n">
        <v>83</v>
      </c>
      <c r="D138" s="24" t="n">
        <v>88</v>
      </c>
      <c r="E138" s="24" t="n">
        <v>800</v>
      </c>
      <c r="F138" s="60" t="n">
        <v>2800</v>
      </c>
      <c r="G138" s="60" t="n">
        <v>800</v>
      </c>
      <c r="H138" s="60" t="n">
        <v>800</v>
      </c>
      <c r="I138" s="60" t="n">
        <v>800</v>
      </c>
      <c r="J138" s="60" t="n">
        <v>800</v>
      </c>
      <c r="K138" s="60" t="n">
        <v>800</v>
      </c>
      <c r="O138" s="134" t="n">
        <v>144</v>
      </c>
      <c r="P138" s="135"/>
      <c r="Q138" s="136"/>
      <c r="R138" s="136"/>
      <c r="S138" s="136"/>
      <c r="T138" s="136"/>
      <c r="U138" s="137"/>
      <c r="V138" s="8" t="n">
        <f aca="false">COUNTA(P138:U138)</f>
        <v>0</v>
      </c>
    </row>
    <row collapsed="false" customFormat="false" customHeight="false" hidden="false" ht="15" outlineLevel="0" r="139">
      <c r="C139" s="19" t="n">
        <v>133</v>
      </c>
      <c r="D139" s="24" t="n">
        <v>140</v>
      </c>
      <c r="E139" s="24" t="n">
        <v>800</v>
      </c>
      <c r="F139" s="60"/>
      <c r="G139" s="60" t="n">
        <v>1000</v>
      </c>
      <c r="H139" s="60" t="n">
        <v>1000</v>
      </c>
      <c r="I139" s="60" t="n">
        <v>1000</v>
      </c>
      <c r="J139" s="60" t="n">
        <v>1000</v>
      </c>
      <c r="K139" s="60" t="n">
        <v>1000</v>
      </c>
      <c r="O139" s="134" t="n">
        <v>146</v>
      </c>
      <c r="P139" s="135"/>
      <c r="Q139" s="136"/>
      <c r="R139" s="136"/>
      <c r="S139" s="136"/>
      <c r="T139" s="136"/>
      <c r="U139" s="139" t="n">
        <v>1</v>
      </c>
      <c r="V139" s="8" t="n">
        <f aca="false">COUNTA(P139:U139)</f>
        <v>1</v>
      </c>
    </row>
    <row collapsed="false" customFormat="false" customHeight="false" hidden="false" ht="15" outlineLevel="0" r="140">
      <c r="C140" s="19" t="n">
        <v>202</v>
      </c>
      <c r="D140" s="24" t="n">
        <v>212</v>
      </c>
      <c r="E140" s="24" t="n">
        <v>800</v>
      </c>
      <c r="F140" s="60"/>
      <c r="G140" s="60"/>
      <c r="H140" s="60"/>
      <c r="I140" s="60"/>
      <c r="J140" s="60"/>
      <c r="K140" s="60"/>
      <c r="O140" s="134" t="n">
        <v>147</v>
      </c>
      <c r="P140" s="135"/>
      <c r="Q140" s="136"/>
      <c r="R140" s="136"/>
      <c r="S140" s="136"/>
      <c r="T140" s="136"/>
      <c r="U140" s="137"/>
      <c r="V140" s="8" t="n">
        <f aca="false">COUNTA(P140:U140)</f>
        <v>0</v>
      </c>
    </row>
    <row collapsed="false" customFormat="false" customHeight="false" hidden="false" ht="15" outlineLevel="0" r="141">
      <c r="C141" s="19" t="n">
        <v>192</v>
      </c>
      <c r="D141" s="24" t="n">
        <v>200</v>
      </c>
      <c r="E141" s="24" t="n">
        <v>800</v>
      </c>
      <c r="F141" s="60"/>
      <c r="G141" s="60"/>
      <c r="H141" s="60"/>
      <c r="I141" s="60"/>
      <c r="J141" s="60"/>
      <c r="K141" s="60"/>
      <c r="O141" s="134" t="n">
        <v>148</v>
      </c>
      <c r="P141" s="135"/>
      <c r="Q141" s="138" t="n">
        <v>1</v>
      </c>
      <c r="R141" s="138" t="n">
        <v>1</v>
      </c>
      <c r="S141" s="138" t="n">
        <v>1</v>
      </c>
      <c r="T141" s="136"/>
      <c r="U141" s="137"/>
      <c r="V141" s="8" t="n">
        <f aca="false">COUNTA(P141:U141)</f>
        <v>3</v>
      </c>
    </row>
    <row collapsed="false" customFormat="false" customHeight="false" hidden="false" ht="15" outlineLevel="0" r="142">
      <c r="C142" s="19" t="n">
        <v>289</v>
      </c>
      <c r="D142" s="24" t="n">
        <v>301</v>
      </c>
      <c r="E142" s="24" t="n">
        <v>800</v>
      </c>
      <c r="F142" s="60"/>
      <c r="G142" s="60"/>
      <c r="H142" s="60"/>
      <c r="I142" s="60"/>
      <c r="J142" s="60"/>
      <c r="K142" s="60"/>
      <c r="O142" s="134" t="n">
        <v>149</v>
      </c>
      <c r="P142" s="135"/>
      <c r="Q142" s="136"/>
      <c r="R142" s="138" t="n">
        <v>1</v>
      </c>
      <c r="S142" s="136"/>
      <c r="T142" s="138" t="n">
        <v>1</v>
      </c>
      <c r="U142" s="137"/>
      <c r="V142" s="8" t="n">
        <f aca="false">COUNTA(P142:U142)</f>
        <v>2</v>
      </c>
    </row>
    <row collapsed="false" customFormat="false" customHeight="false" hidden="false" ht="15" outlineLevel="0" r="143">
      <c r="C143" s="19" t="n">
        <v>143</v>
      </c>
      <c r="D143" s="24" t="n">
        <v>151</v>
      </c>
      <c r="E143" s="24" t="n">
        <v>800</v>
      </c>
      <c r="F143" s="60"/>
      <c r="G143" s="60"/>
      <c r="H143" s="60"/>
      <c r="I143" s="60"/>
      <c r="J143" s="60"/>
      <c r="K143" s="60" t="n">
        <v>4800</v>
      </c>
      <c r="O143" s="134" t="n">
        <v>150</v>
      </c>
      <c r="P143" s="135"/>
      <c r="Q143" s="136"/>
      <c r="R143" s="136"/>
      <c r="S143" s="136"/>
      <c r="T143" s="136"/>
      <c r="U143" s="137"/>
      <c r="V143" s="8" t="n">
        <f aca="false">COUNTA(P143:U143)</f>
        <v>0</v>
      </c>
    </row>
    <row collapsed="false" customFormat="false" customHeight="false" hidden="false" ht="15" outlineLevel="0" r="144">
      <c r="C144" s="19" t="n">
        <v>62</v>
      </c>
      <c r="D144" s="24" t="n">
        <v>64</v>
      </c>
      <c r="E144" s="24" t="n">
        <v>800</v>
      </c>
      <c r="F144" s="85"/>
      <c r="G144" s="85"/>
      <c r="H144" s="85" t="n">
        <v>3200</v>
      </c>
      <c r="I144" s="85"/>
      <c r="J144" s="85"/>
      <c r="K144" s="85"/>
      <c r="O144" s="134" t="n">
        <v>151</v>
      </c>
      <c r="P144" s="135"/>
      <c r="Q144" s="136"/>
      <c r="R144" s="136"/>
      <c r="S144" s="136"/>
      <c r="T144" s="136"/>
      <c r="U144" s="137"/>
      <c r="V144" s="8" t="n">
        <f aca="false">COUNTA(P144:U144)</f>
        <v>0</v>
      </c>
    </row>
    <row collapsed="false" customFormat="false" customHeight="false" hidden="false" ht="15" outlineLevel="0" r="145">
      <c r="C145" s="19" t="n">
        <v>225</v>
      </c>
      <c r="D145" s="24" t="n">
        <v>234</v>
      </c>
      <c r="E145" s="24" t="n">
        <v>800</v>
      </c>
      <c r="F145" s="85"/>
      <c r="G145" s="85"/>
      <c r="H145" s="85"/>
      <c r="I145" s="85"/>
      <c r="J145" s="85"/>
      <c r="K145" s="85"/>
      <c r="O145" s="134" t="n">
        <v>152</v>
      </c>
      <c r="P145" s="135"/>
      <c r="Q145" s="136"/>
      <c r="R145" s="136"/>
      <c r="S145" s="136"/>
      <c r="T145" s="136"/>
      <c r="U145" s="137"/>
      <c r="V145" s="8" t="n">
        <f aca="false">COUNTA(P145:U145)</f>
        <v>0</v>
      </c>
    </row>
    <row collapsed="false" customFormat="false" customHeight="false" hidden="false" ht="15" outlineLevel="0" r="146">
      <c r="C146" s="19" t="n">
        <v>266</v>
      </c>
      <c r="D146" s="24" t="n">
        <v>279</v>
      </c>
      <c r="E146" s="24" t="n">
        <v>800</v>
      </c>
      <c r="F146" s="85"/>
      <c r="G146" s="85"/>
      <c r="H146" s="85"/>
      <c r="I146" s="85"/>
      <c r="J146" s="85"/>
      <c r="K146" s="85"/>
      <c r="O146" s="134" t="n">
        <v>153</v>
      </c>
      <c r="P146" s="135"/>
      <c r="Q146" s="136"/>
      <c r="R146" s="136"/>
      <c r="S146" s="138" t="n">
        <v>1</v>
      </c>
      <c r="T146" s="136"/>
      <c r="U146" s="137"/>
      <c r="V146" s="8" t="n">
        <f aca="false">COUNTA(P146:U146)</f>
        <v>1</v>
      </c>
    </row>
    <row collapsed="false" customFormat="false" customHeight="false" hidden="false" ht="15" outlineLevel="0" r="147">
      <c r="C147" s="19" t="n">
        <v>157</v>
      </c>
      <c r="D147" s="24" t="n">
        <v>165</v>
      </c>
      <c r="E147" s="24" t="n">
        <v>800</v>
      </c>
      <c r="F147" s="85" t="n">
        <v>1000</v>
      </c>
      <c r="G147" s="85"/>
      <c r="H147" s="85"/>
      <c r="I147" s="85"/>
      <c r="J147" s="85"/>
      <c r="K147" s="85"/>
      <c r="O147" s="134" t="n">
        <v>154</v>
      </c>
      <c r="P147" s="135"/>
      <c r="Q147" s="136"/>
      <c r="R147" s="136"/>
      <c r="S147" s="138" t="n">
        <v>1</v>
      </c>
      <c r="T147" s="138" t="n">
        <v>1</v>
      </c>
      <c r="U147" s="139" t="n">
        <v>1</v>
      </c>
      <c r="V147" s="8" t="n">
        <f aca="false">COUNTA(P147:U147)</f>
        <v>3</v>
      </c>
    </row>
    <row collapsed="false" customFormat="false" customHeight="false" hidden="false" ht="15" outlineLevel="0" r="148">
      <c r="C148" s="19" t="n">
        <v>194</v>
      </c>
      <c r="D148" s="24" t="n">
        <v>202</v>
      </c>
      <c r="E148" s="24" t="n">
        <v>800</v>
      </c>
      <c r="F148" s="85"/>
      <c r="G148" s="85" t="n">
        <v>5000</v>
      </c>
      <c r="H148" s="85"/>
      <c r="I148" s="85"/>
      <c r="J148" s="85"/>
      <c r="K148" s="85"/>
      <c r="O148" s="134" t="n">
        <v>155</v>
      </c>
      <c r="P148" s="135"/>
      <c r="Q148" s="138" t="n">
        <v>1</v>
      </c>
      <c r="R148" s="138" t="n">
        <v>1</v>
      </c>
      <c r="S148" s="136"/>
      <c r="T148" s="138" t="n">
        <v>1</v>
      </c>
      <c r="U148" s="137"/>
      <c r="V148" s="8" t="n">
        <f aca="false">COUNTA(P148:U148)</f>
        <v>3</v>
      </c>
    </row>
    <row collapsed="false" customFormat="false" customHeight="false" hidden="false" ht="15" outlineLevel="0" r="149">
      <c r="C149" s="19" t="n">
        <v>65</v>
      </c>
      <c r="D149" s="24" t="n">
        <v>67</v>
      </c>
      <c r="E149" s="24" t="n">
        <v>800</v>
      </c>
      <c r="F149" s="85"/>
      <c r="G149" s="85"/>
      <c r="H149" s="85"/>
      <c r="I149" s="85"/>
      <c r="J149" s="85"/>
      <c r="K149" s="85"/>
      <c r="O149" s="134" t="n">
        <v>156</v>
      </c>
      <c r="P149" s="135"/>
      <c r="Q149" s="138" t="n">
        <v>1</v>
      </c>
      <c r="R149" s="138" t="n">
        <v>1</v>
      </c>
      <c r="S149" s="138" t="n">
        <v>1</v>
      </c>
      <c r="T149" s="138" t="n">
        <v>1</v>
      </c>
      <c r="U149" s="139" t="n">
        <v>1</v>
      </c>
      <c r="V149" s="8" t="n">
        <f aca="false">COUNTA(P149:U149)</f>
        <v>5</v>
      </c>
    </row>
    <row collapsed="false" customFormat="false" customHeight="false" hidden="false" ht="15" outlineLevel="0" r="150">
      <c r="C150" s="19" t="n">
        <v>216</v>
      </c>
      <c r="D150" s="24" t="n">
        <v>225</v>
      </c>
      <c r="E150" s="24" t="n">
        <v>800</v>
      </c>
      <c r="F150" s="85"/>
      <c r="G150" s="85" t="n">
        <v>5200</v>
      </c>
      <c r="H150" s="85"/>
      <c r="I150" s="85"/>
      <c r="J150" s="85"/>
      <c r="K150" s="85"/>
      <c r="O150" s="134" t="n">
        <v>157</v>
      </c>
      <c r="P150" s="140" t="n">
        <v>1</v>
      </c>
      <c r="Q150" s="136"/>
      <c r="R150" s="136"/>
      <c r="S150" s="136"/>
      <c r="T150" s="136"/>
      <c r="U150" s="137"/>
      <c r="V150" s="8" t="n">
        <f aca="false">COUNTA(P150:U150)</f>
        <v>1</v>
      </c>
    </row>
    <row collapsed="false" customFormat="false" customHeight="false" hidden="false" ht="15" outlineLevel="0" r="151">
      <c r="C151" s="19" t="n">
        <v>216</v>
      </c>
      <c r="D151" s="24" t="n">
        <v>226</v>
      </c>
      <c r="E151" s="24"/>
      <c r="F151" s="85"/>
      <c r="G151" s="85"/>
      <c r="H151" s="85"/>
      <c r="I151" s="85"/>
      <c r="J151" s="85"/>
      <c r="K151" s="85"/>
      <c r="O151" s="134" t="n">
        <v>158</v>
      </c>
      <c r="P151" s="135"/>
      <c r="Q151" s="136"/>
      <c r="R151" s="136"/>
      <c r="S151" s="136"/>
      <c r="T151" s="136"/>
      <c r="U151" s="137"/>
      <c r="V151" s="8" t="n">
        <f aca="false">COUNTA(P151:U151)</f>
        <v>0</v>
      </c>
    </row>
    <row collapsed="false" customFormat="false" customHeight="false" hidden="false" ht="15" outlineLevel="0" r="152">
      <c r="C152" s="19" t="n">
        <v>56</v>
      </c>
      <c r="D152" s="24" t="n">
        <v>58</v>
      </c>
      <c r="E152" s="24" t="n">
        <v>800</v>
      </c>
      <c r="F152" s="85"/>
      <c r="G152" s="85"/>
      <c r="H152" s="85"/>
      <c r="I152" s="85"/>
      <c r="J152" s="85"/>
      <c r="K152" s="85"/>
      <c r="O152" s="134" t="n">
        <v>159</v>
      </c>
      <c r="P152" s="135"/>
      <c r="Q152" s="138" t="n">
        <v>1</v>
      </c>
      <c r="R152" s="136"/>
      <c r="S152" s="136"/>
      <c r="T152" s="136"/>
      <c r="U152" s="137"/>
      <c r="V152" s="8" t="n">
        <f aca="false">COUNTA(P152:U152)</f>
        <v>1</v>
      </c>
    </row>
    <row collapsed="false" customFormat="false" customHeight="false" hidden="false" ht="15" outlineLevel="0" r="153">
      <c r="C153" s="19" t="n">
        <v>150</v>
      </c>
      <c r="D153" s="24" t="n">
        <v>158</v>
      </c>
      <c r="E153" s="24" t="n">
        <v>800</v>
      </c>
      <c r="F153" s="85"/>
      <c r="G153" s="85"/>
      <c r="H153" s="85"/>
      <c r="I153" s="85"/>
      <c r="J153" s="85"/>
      <c r="K153" s="85"/>
      <c r="O153" s="134" t="n">
        <v>160</v>
      </c>
      <c r="P153" s="135"/>
      <c r="Q153" s="136"/>
      <c r="R153" s="136"/>
      <c r="S153" s="136"/>
      <c r="T153" s="136"/>
      <c r="U153" s="137"/>
      <c r="V153" s="8" t="n">
        <f aca="false">COUNTA(P153:U153)</f>
        <v>0</v>
      </c>
    </row>
    <row collapsed="false" customFormat="false" customHeight="false" hidden="false" ht="15" outlineLevel="0" r="154">
      <c r="C154" s="19" t="n">
        <v>243</v>
      </c>
      <c r="D154" s="24" t="n">
        <v>254</v>
      </c>
      <c r="E154" s="24" t="n">
        <v>800</v>
      </c>
      <c r="F154" s="85" t="n">
        <v>5000</v>
      </c>
      <c r="G154" s="85" t="n">
        <v>4800</v>
      </c>
      <c r="H154" s="85"/>
      <c r="I154" s="85"/>
      <c r="J154" s="85"/>
      <c r="K154" s="85" t="n">
        <v>4800</v>
      </c>
      <c r="O154" s="134" t="n">
        <v>161</v>
      </c>
      <c r="P154" s="135"/>
      <c r="Q154" s="136"/>
      <c r="R154" s="136"/>
      <c r="S154" s="136"/>
      <c r="T154" s="136"/>
      <c r="U154" s="137"/>
      <c r="V154" s="8" t="n">
        <f aca="false">COUNTA(P154:U154)</f>
        <v>0</v>
      </c>
    </row>
    <row collapsed="false" customFormat="false" customHeight="false" hidden="false" ht="15" outlineLevel="0" r="155">
      <c r="C155" s="19" t="n">
        <v>220</v>
      </c>
      <c r="D155" s="24" t="n">
        <v>229</v>
      </c>
      <c r="E155" s="24" t="n">
        <v>800</v>
      </c>
      <c r="F155" s="85"/>
      <c r="G155" s="85"/>
      <c r="H155" s="85"/>
      <c r="I155" s="85"/>
      <c r="J155" s="85"/>
      <c r="K155" s="85"/>
      <c r="O155" s="134" t="n">
        <v>162</v>
      </c>
      <c r="P155" s="135"/>
      <c r="Q155" s="136"/>
      <c r="R155" s="136"/>
      <c r="S155" s="136"/>
      <c r="T155" s="138" t="n">
        <v>1</v>
      </c>
      <c r="U155" s="137"/>
      <c r="V155" s="8" t="n">
        <f aca="false">COUNTA(P155:U155)</f>
        <v>1</v>
      </c>
    </row>
    <row collapsed="false" customFormat="false" customHeight="false" hidden="false" ht="15" outlineLevel="0" r="156">
      <c r="C156" s="19" t="n">
        <v>3</v>
      </c>
      <c r="D156" s="24" t="n">
        <v>3</v>
      </c>
      <c r="E156" s="24" t="n">
        <v>800</v>
      </c>
      <c r="F156" s="85"/>
      <c r="G156" s="85"/>
      <c r="H156" s="85"/>
      <c r="I156" s="85"/>
      <c r="J156" s="85"/>
      <c r="K156" s="85"/>
      <c r="O156" s="134" t="n">
        <v>163</v>
      </c>
      <c r="P156" s="135"/>
      <c r="Q156" s="136"/>
      <c r="R156" s="136"/>
      <c r="S156" s="136"/>
      <c r="T156" s="136"/>
      <c r="U156" s="137"/>
      <c r="V156" s="8" t="n">
        <f aca="false">COUNTA(P156:U156)</f>
        <v>0</v>
      </c>
    </row>
    <row collapsed="false" customFormat="false" customHeight="false" hidden="false" ht="15" outlineLevel="0" r="157">
      <c r="C157" s="19" t="n">
        <v>158</v>
      </c>
      <c r="D157" s="24" t="n">
        <v>166</v>
      </c>
      <c r="E157" s="24" t="n">
        <v>800</v>
      </c>
      <c r="F157" s="85"/>
      <c r="G157" s="85"/>
      <c r="H157" s="85"/>
      <c r="I157" s="85"/>
      <c r="J157" s="85"/>
      <c r="K157" s="85"/>
      <c r="O157" s="134" t="n">
        <v>164</v>
      </c>
      <c r="P157" s="135"/>
      <c r="Q157" s="136"/>
      <c r="R157" s="136"/>
      <c r="S157" s="136"/>
      <c r="T157" s="136"/>
      <c r="U157" s="137"/>
      <c r="V157" s="8" t="n">
        <f aca="false">COUNTA(P157:U157)</f>
        <v>0</v>
      </c>
    </row>
    <row collapsed="false" customFormat="false" customHeight="false" hidden="false" ht="15" outlineLevel="0" r="158">
      <c r="C158" s="19" t="n">
        <v>139</v>
      </c>
      <c r="D158" s="24" t="n">
        <v>149</v>
      </c>
      <c r="E158" s="24"/>
      <c r="F158" s="85"/>
      <c r="G158" s="85"/>
      <c r="H158" s="85"/>
      <c r="I158" s="85"/>
      <c r="J158" s="85" t="n">
        <v>4800</v>
      </c>
      <c r="K158" s="85"/>
      <c r="O158" s="134" t="n">
        <v>165</v>
      </c>
      <c r="P158" s="135"/>
      <c r="Q158" s="136"/>
      <c r="R158" s="136"/>
      <c r="S158" s="136"/>
      <c r="T158" s="136"/>
      <c r="U158" s="137"/>
      <c r="V158" s="8" t="n">
        <f aca="false">COUNTA(P158:U158)</f>
        <v>0</v>
      </c>
    </row>
    <row collapsed="false" customFormat="false" customHeight="false" hidden="false" ht="15" outlineLevel="0" r="159">
      <c r="C159" s="19" t="n">
        <v>139</v>
      </c>
      <c r="D159" s="24" t="n">
        <v>147</v>
      </c>
      <c r="E159" s="24"/>
      <c r="F159" s="85"/>
      <c r="G159" s="85"/>
      <c r="H159" s="85"/>
      <c r="I159" s="85"/>
      <c r="J159" s="85"/>
      <c r="K159" s="85"/>
      <c r="O159" s="134" t="n">
        <v>166</v>
      </c>
      <c r="P159" s="135"/>
      <c r="Q159" s="136"/>
      <c r="R159" s="136"/>
      <c r="S159" s="136"/>
      <c r="T159" s="136"/>
      <c r="U159" s="137"/>
      <c r="V159" s="8" t="n">
        <f aca="false">COUNTA(P159:U159)</f>
        <v>0</v>
      </c>
    </row>
    <row collapsed="false" customFormat="false" customHeight="false" hidden="false" ht="15" outlineLevel="0" r="160">
      <c r="C160" s="19" t="n">
        <v>139</v>
      </c>
      <c r="D160" s="24" t="n">
        <v>148</v>
      </c>
      <c r="E160" s="24" t="n">
        <v>800</v>
      </c>
      <c r="F160" s="85"/>
      <c r="G160" s="85"/>
      <c r="H160" s="85"/>
      <c r="I160" s="85"/>
      <c r="J160" s="85"/>
      <c r="K160" s="85"/>
      <c r="O160" s="134" t="n">
        <v>167</v>
      </c>
      <c r="P160" s="135"/>
      <c r="Q160" s="136"/>
      <c r="R160" s="136"/>
      <c r="S160" s="136"/>
      <c r="T160" s="136"/>
      <c r="U160" s="137"/>
      <c r="V160" s="8" t="n">
        <f aca="false">COUNTA(P160:U160)</f>
        <v>0</v>
      </c>
    </row>
    <row collapsed="false" customFormat="false" customHeight="false" hidden="false" ht="15" outlineLevel="0" r="161">
      <c r="C161" s="19" t="n">
        <v>261</v>
      </c>
      <c r="D161" s="24" t="n">
        <v>274</v>
      </c>
      <c r="E161" s="24"/>
      <c r="F161" s="85" t="n">
        <v>2400</v>
      </c>
      <c r="G161" s="85"/>
      <c r="H161" s="85"/>
      <c r="I161" s="85" t="n">
        <v>2400</v>
      </c>
      <c r="J161" s="85"/>
      <c r="K161" s="85"/>
      <c r="O161" s="134" t="n">
        <v>168</v>
      </c>
      <c r="P161" s="135"/>
      <c r="Q161" s="138" t="n">
        <v>1</v>
      </c>
      <c r="R161" s="136"/>
      <c r="S161" s="138" t="n">
        <v>1</v>
      </c>
      <c r="T161" s="138" t="n">
        <v>1</v>
      </c>
      <c r="U161" s="137"/>
      <c r="V161" s="8" t="n">
        <f aca="false">COUNTA(P161:U161)</f>
        <v>3</v>
      </c>
    </row>
    <row collapsed="false" customFormat="false" customHeight="false" hidden="false" ht="15" outlineLevel="0" r="162">
      <c r="C162" s="19" t="n">
        <v>261</v>
      </c>
      <c r="D162" s="24" t="n">
        <v>275</v>
      </c>
      <c r="E162" s="24" t="n">
        <v>800</v>
      </c>
      <c r="F162" s="85"/>
      <c r="G162" s="85"/>
      <c r="H162" s="85"/>
      <c r="I162" s="85"/>
      <c r="J162" s="85"/>
      <c r="K162" s="85"/>
      <c r="O162" s="134" t="n">
        <v>169</v>
      </c>
      <c r="P162" s="135"/>
      <c r="Q162" s="136"/>
      <c r="R162" s="138" t="n">
        <v>1</v>
      </c>
      <c r="S162" s="136"/>
      <c r="T162" s="138" t="n">
        <v>1</v>
      </c>
      <c r="U162" s="137"/>
      <c r="V162" s="8" t="n">
        <f aca="false">COUNTA(P162:U162)</f>
        <v>2</v>
      </c>
    </row>
    <row collapsed="false" customFormat="false" customHeight="false" hidden="false" ht="15" outlineLevel="0" r="163">
      <c r="C163" s="19" t="n">
        <v>288</v>
      </c>
      <c r="D163" s="24" t="n">
        <v>300</v>
      </c>
      <c r="E163" s="24" t="n">
        <v>800</v>
      </c>
      <c r="F163" s="85"/>
      <c r="G163" s="85"/>
      <c r="H163" s="85"/>
      <c r="I163" s="85"/>
      <c r="J163" s="85"/>
      <c r="K163" s="85"/>
      <c r="O163" s="134" t="n">
        <v>170</v>
      </c>
      <c r="P163" s="140" t="n">
        <v>1</v>
      </c>
      <c r="Q163" s="136"/>
      <c r="R163" s="138" t="n">
        <v>1</v>
      </c>
      <c r="S163" s="136"/>
      <c r="T163" s="136"/>
      <c r="U163" s="139" t="n">
        <v>1</v>
      </c>
      <c r="V163" s="8" t="n">
        <f aca="false">COUNTA(P163:U163)</f>
        <v>3</v>
      </c>
    </row>
    <row collapsed="false" customFormat="false" customHeight="false" hidden="false" ht="15" outlineLevel="0" r="164">
      <c r="C164" s="19" t="n">
        <v>166</v>
      </c>
      <c r="D164" s="24" t="n">
        <v>174</v>
      </c>
      <c r="E164" s="24" t="n">
        <v>800</v>
      </c>
      <c r="F164" s="85"/>
      <c r="G164" s="85"/>
      <c r="H164" s="85"/>
      <c r="I164" s="85"/>
      <c r="J164" s="85"/>
      <c r="K164" s="85"/>
      <c r="O164" s="134" t="n">
        <v>172</v>
      </c>
      <c r="P164" s="135"/>
      <c r="Q164" s="136"/>
      <c r="R164" s="136"/>
      <c r="S164" s="136"/>
      <c r="T164" s="136"/>
      <c r="U164" s="137"/>
      <c r="V164" s="8" t="n">
        <f aca="false">COUNTA(P164:U164)</f>
        <v>0</v>
      </c>
    </row>
    <row collapsed="false" customFormat="false" customHeight="false" hidden="false" ht="15" outlineLevel="0" r="165">
      <c r="C165" s="19" t="n">
        <v>118</v>
      </c>
      <c r="D165" s="24" t="n">
        <v>123</v>
      </c>
      <c r="E165" s="24" t="n">
        <v>800</v>
      </c>
      <c r="F165" s="85"/>
      <c r="G165" s="85"/>
      <c r="H165" s="85"/>
      <c r="I165" s="85"/>
      <c r="J165" s="85"/>
      <c r="K165" s="85"/>
      <c r="O165" s="134" t="n">
        <v>173</v>
      </c>
      <c r="P165" s="135"/>
      <c r="Q165" s="136"/>
      <c r="R165" s="136"/>
      <c r="S165" s="136"/>
      <c r="T165" s="136"/>
      <c r="U165" s="137"/>
      <c r="V165" s="8" t="n">
        <f aca="false">COUNTA(P165:U165)</f>
        <v>0</v>
      </c>
    </row>
    <row collapsed="false" customFormat="false" customHeight="false" hidden="false" ht="15" outlineLevel="0" r="166">
      <c r="C166" s="19" t="n">
        <v>199</v>
      </c>
      <c r="D166" s="24" t="n">
        <v>207</v>
      </c>
      <c r="E166" s="24" t="n">
        <v>800</v>
      </c>
      <c r="F166" s="85"/>
      <c r="G166" s="85"/>
      <c r="H166" s="85"/>
      <c r="I166" s="85"/>
      <c r="J166" s="85"/>
      <c r="K166" s="85"/>
      <c r="O166" s="134" t="n">
        <v>174</v>
      </c>
      <c r="P166" s="140" t="n">
        <v>1</v>
      </c>
      <c r="Q166" s="136"/>
      <c r="R166" s="136"/>
      <c r="S166" s="136"/>
      <c r="T166" s="138" t="n">
        <v>1</v>
      </c>
      <c r="U166" s="137"/>
      <c r="V166" s="8" t="n">
        <f aca="false">COUNTA(P166:U166)</f>
        <v>2</v>
      </c>
    </row>
    <row collapsed="false" customFormat="false" customHeight="false" hidden="false" ht="15" outlineLevel="0" r="167">
      <c r="C167" s="19" t="n">
        <v>199</v>
      </c>
      <c r="D167" s="24" t="n">
        <v>208</v>
      </c>
      <c r="E167" s="24"/>
      <c r="F167" s="85"/>
      <c r="G167" s="85"/>
      <c r="H167" s="85"/>
      <c r="I167" s="85"/>
      <c r="J167" s="85"/>
      <c r="K167" s="85"/>
      <c r="O167" s="134" t="n">
        <v>175</v>
      </c>
      <c r="P167" s="135"/>
      <c r="Q167" s="136"/>
      <c r="R167" s="136"/>
      <c r="S167" s="136"/>
      <c r="T167" s="138" t="n">
        <v>1</v>
      </c>
      <c r="U167" s="137"/>
      <c r="V167" s="8" t="n">
        <f aca="false">COUNTA(P167:U167)</f>
        <v>1</v>
      </c>
    </row>
    <row collapsed="false" customFormat="false" customHeight="false" hidden="false" ht="15" outlineLevel="0" r="168">
      <c r="C168" s="19" t="n">
        <v>164</v>
      </c>
      <c r="D168" s="24" t="n">
        <v>172</v>
      </c>
      <c r="E168" s="24" t="n">
        <v>800</v>
      </c>
      <c r="F168" s="85"/>
      <c r="G168" s="85"/>
      <c r="H168" s="85"/>
      <c r="I168" s="85"/>
      <c r="J168" s="85"/>
      <c r="K168" s="85"/>
      <c r="O168" s="134" t="n">
        <v>176</v>
      </c>
      <c r="P168" s="140" t="n">
        <v>1</v>
      </c>
      <c r="Q168" s="138" t="n">
        <v>1</v>
      </c>
      <c r="R168" s="136"/>
      <c r="S168" s="136"/>
      <c r="T168" s="138" t="n">
        <v>1</v>
      </c>
      <c r="U168" s="139" t="n">
        <v>1</v>
      </c>
      <c r="V168" s="8" t="n">
        <f aca="false">COUNTA(P168:U168)</f>
        <v>4</v>
      </c>
    </row>
    <row collapsed="false" customFormat="false" customHeight="false" hidden="false" ht="15" outlineLevel="0" r="169">
      <c r="C169" s="19" t="n">
        <v>34</v>
      </c>
      <c r="D169" s="24" t="n">
        <v>34</v>
      </c>
      <c r="E169" s="24" t="n">
        <v>800</v>
      </c>
      <c r="F169" s="85"/>
      <c r="G169" s="85"/>
      <c r="H169" s="85"/>
      <c r="I169" s="85"/>
      <c r="J169" s="85"/>
      <c r="K169" s="85"/>
      <c r="O169" s="134" t="n">
        <v>177</v>
      </c>
      <c r="P169" s="135"/>
      <c r="Q169" s="136"/>
      <c r="R169" s="136"/>
      <c r="S169" s="136"/>
      <c r="T169" s="136"/>
      <c r="U169" s="137"/>
      <c r="V169" s="8" t="n">
        <f aca="false">COUNTA(P169:U169)</f>
        <v>0</v>
      </c>
    </row>
    <row collapsed="false" customFormat="false" customHeight="false" hidden="false" ht="15" outlineLevel="0" r="170">
      <c r="C170" s="19" t="n">
        <v>13</v>
      </c>
      <c r="D170" s="24" t="n">
        <v>13</v>
      </c>
      <c r="E170" s="24" t="n">
        <v>800</v>
      </c>
      <c r="F170" s="85"/>
      <c r="G170" s="85"/>
      <c r="H170" s="85"/>
      <c r="I170" s="85"/>
      <c r="J170" s="85"/>
      <c r="K170" s="85"/>
      <c r="O170" s="134" t="n">
        <v>178</v>
      </c>
      <c r="P170" s="135"/>
      <c r="Q170" s="136"/>
      <c r="R170" s="136"/>
      <c r="S170" s="136"/>
      <c r="T170" s="136"/>
      <c r="U170" s="137"/>
      <c r="V170" s="8" t="n">
        <f aca="false">COUNTA(P170:U170)</f>
        <v>0</v>
      </c>
    </row>
    <row collapsed="false" customFormat="false" customHeight="false" hidden="false" ht="15" outlineLevel="0" r="171">
      <c r="C171" s="19" t="n">
        <v>273</v>
      </c>
      <c r="D171" s="24" t="n">
        <v>286</v>
      </c>
      <c r="E171" s="24" t="n">
        <v>800</v>
      </c>
      <c r="F171" s="85"/>
      <c r="G171" s="85"/>
      <c r="H171" s="85"/>
      <c r="I171" s="85"/>
      <c r="J171" s="85"/>
      <c r="K171" s="85" t="n">
        <v>8000</v>
      </c>
      <c r="O171" s="134" t="n">
        <v>180</v>
      </c>
      <c r="P171" s="135"/>
      <c r="Q171" s="136"/>
      <c r="R171" s="136"/>
      <c r="S171" s="136"/>
      <c r="T171" s="138" t="n">
        <v>1</v>
      </c>
      <c r="U171" s="137"/>
      <c r="V171" s="8" t="n">
        <f aca="false">COUNTA(P171:U171)</f>
        <v>1</v>
      </c>
    </row>
    <row collapsed="false" customFormat="false" customHeight="false" hidden="false" ht="15" outlineLevel="0" r="172">
      <c r="C172" s="19" t="n">
        <v>87</v>
      </c>
      <c r="D172" s="24" t="n">
        <v>92</v>
      </c>
      <c r="E172" s="24" t="n">
        <v>800</v>
      </c>
      <c r="F172" s="85"/>
      <c r="G172" s="85"/>
      <c r="H172" s="85"/>
      <c r="I172" s="85"/>
      <c r="J172" s="85"/>
      <c r="K172" s="85"/>
      <c r="O172" s="134" t="n">
        <v>181</v>
      </c>
      <c r="P172" s="135"/>
      <c r="Q172" s="136"/>
      <c r="R172" s="136"/>
      <c r="S172" s="136"/>
      <c r="T172" s="138" t="n">
        <v>1</v>
      </c>
      <c r="U172" s="137"/>
      <c r="V172" s="8" t="n">
        <f aca="false">COUNTA(P172:U172)</f>
        <v>1</v>
      </c>
    </row>
    <row collapsed="false" customFormat="false" customHeight="false" hidden="false" ht="15" outlineLevel="0" r="173">
      <c r="C173" s="19" t="n">
        <v>154</v>
      </c>
      <c r="D173" s="24" t="n">
        <v>162</v>
      </c>
      <c r="E173" s="24" t="n">
        <v>800</v>
      </c>
      <c r="F173" s="85"/>
      <c r="G173" s="85"/>
      <c r="H173" s="85"/>
      <c r="I173" s="85" t="n">
        <v>2400</v>
      </c>
      <c r="J173" s="85" t="n">
        <v>800</v>
      </c>
      <c r="K173" s="85" t="n">
        <v>1600</v>
      </c>
      <c r="O173" s="134" t="n">
        <v>182</v>
      </c>
      <c r="P173" s="135"/>
      <c r="Q173" s="136"/>
      <c r="R173" s="136"/>
      <c r="S173" s="136"/>
      <c r="T173" s="138" t="n">
        <v>1</v>
      </c>
      <c r="U173" s="137"/>
      <c r="V173" s="8" t="n">
        <f aca="false">COUNTA(P173:U173)</f>
        <v>1</v>
      </c>
    </row>
    <row collapsed="false" customFormat="false" customHeight="false" hidden="false" ht="15" outlineLevel="0" r="174">
      <c r="C174" s="19" t="n">
        <v>270</v>
      </c>
      <c r="D174" s="24" t="n">
        <v>283</v>
      </c>
      <c r="E174" s="24" t="n">
        <v>800</v>
      </c>
      <c r="F174" s="85"/>
      <c r="G174" s="85"/>
      <c r="H174" s="85"/>
      <c r="I174" s="85"/>
      <c r="J174" s="85"/>
      <c r="K174" s="85"/>
      <c r="O174" s="134" t="n">
        <v>183</v>
      </c>
      <c r="P174" s="140" t="n">
        <v>1</v>
      </c>
      <c r="Q174" s="136"/>
      <c r="R174" s="136"/>
      <c r="S174" s="136"/>
      <c r="T174" s="136"/>
      <c r="U174" s="137"/>
      <c r="V174" s="8" t="n">
        <f aca="false">COUNTA(P174:U174)</f>
        <v>1</v>
      </c>
    </row>
    <row collapsed="false" customFormat="false" customHeight="false" hidden="false" ht="15" outlineLevel="0" r="175">
      <c r="C175" s="19" t="n">
        <v>9</v>
      </c>
      <c r="D175" s="24" t="n">
        <v>9</v>
      </c>
      <c r="E175" s="24" t="n">
        <v>800</v>
      </c>
      <c r="F175" s="85"/>
      <c r="G175" s="85"/>
      <c r="H175" s="85"/>
      <c r="I175" s="85"/>
      <c r="J175" s="85" t="n">
        <v>9000</v>
      </c>
      <c r="K175" s="85" t="n">
        <v>1600</v>
      </c>
      <c r="O175" s="134" t="n">
        <v>185</v>
      </c>
      <c r="P175" s="135"/>
      <c r="Q175" s="136"/>
      <c r="R175" s="136"/>
      <c r="S175" s="136"/>
      <c r="T175" s="136"/>
      <c r="U175" s="137"/>
      <c r="V175" s="8" t="n">
        <f aca="false">COUNTA(P175:U175)</f>
        <v>0</v>
      </c>
    </row>
    <row collapsed="false" customFormat="false" customHeight="false" hidden="false" ht="15" outlineLevel="0" r="176">
      <c r="C176" s="19" t="n">
        <v>129</v>
      </c>
      <c r="D176" s="24" t="n">
        <v>136</v>
      </c>
      <c r="E176" s="24" t="n">
        <v>800</v>
      </c>
      <c r="F176" s="85"/>
      <c r="G176" s="85" t="n">
        <v>3000</v>
      </c>
      <c r="H176" s="85"/>
      <c r="I176" s="85" t="n">
        <v>3000</v>
      </c>
      <c r="J176" s="85"/>
      <c r="K176" s="85"/>
      <c r="O176" s="134" t="n">
        <v>186</v>
      </c>
      <c r="P176" s="135"/>
      <c r="Q176" s="136"/>
      <c r="R176" s="136"/>
      <c r="S176" s="138" t="n">
        <v>1</v>
      </c>
      <c r="T176" s="136"/>
      <c r="U176" s="137"/>
      <c r="V176" s="8" t="n">
        <f aca="false">COUNTA(P176:U176)</f>
        <v>1</v>
      </c>
    </row>
    <row collapsed="false" customFormat="false" customHeight="false" hidden="false" ht="15" outlineLevel="0" r="177">
      <c r="C177" s="19" t="n">
        <v>42</v>
      </c>
      <c r="D177" s="24" t="n">
        <v>42</v>
      </c>
      <c r="E177" s="24" t="n">
        <v>800</v>
      </c>
      <c r="F177" s="85" t="n">
        <v>5000</v>
      </c>
      <c r="G177" s="85" t="n">
        <v>1400</v>
      </c>
      <c r="H177" s="85"/>
      <c r="I177" s="85" t="n">
        <v>1600</v>
      </c>
      <c r="J177" s="85"/>
      <c r="K177" s="85" t="n">
        <v>1600</v>
      </c>
      <c r="O177" s="134" t="n">
        <v>187</v>
      </c>
      <c r="P177" s="135"/>
      <c r="Q177" s="136"/>
      <c r="R177" s="136"/>
      <c r="S177" s="138" t="n">
        <v>1</v>
      </c>
      <c r="T177" s="136"/>
      <c r="U177" s="137"/>
      <c r="V177" s="8" t="n">
        <f aca="false">COUNTA(P177:U177)</f>
        <v>1</v>
      </c>
    </row>
    <row collapsed="false" customFormat="false" customHeight="false" hidden="false" ht="15" outlineLevel="0" r="178">
      <c r="C178" s="19" t="n">
        <v>96</v>
      </c>
      <c r="D178" s="24" t="n">
        <v>101</v>
      </c>
      <c r="E178" s="24"/>
      <c r="F178" s="85" t="n">
        <v>9000</v>
      </c>
      <c r="G178" s="85"/>
      <c r="H178" s="85"/>
      <c r="I178" s="85" t="n">
        <v>2000</v>
      </c>
      <c r="J178" s="85"/>
      <c r="K178" s="85" t="n">
        <v>2000</v>
      </c>
      <c r="O178" s="134" t="n">
        <v>188</v>
      </c>
      <c r="P178" s="135"/>
      <c r="Q178" s="136"/>
      <c r="R178" s="136"/>
      <c r="S178" s="136"/>
      <c r="T178" s="136"/>
      <c r="U178" s="137"/>
      <c r="V178" s="8" t="n">
        <f aca="false">COUNTA(P178:U178)</f>
        <v>0</v>
      </c>
    </row>
    <row collapsed="false" customFormat="false" customHeight="false" hidden="false" ht="15" outlineLevel="0" r="179">
      <c r="C179" s="19" t="n">
        <v>96</v>
      </c>
      <c r="D179" s="24" t="n">
        <v>102</v>
      </c>
      <c r="E179" s="24" t="n">
        <v>800</v>
      </c>
      <c r="F179" s="85"/>
      <c r="G179" s="85"/>
      <c r="H179" s="85"/>
      <c r="I179" s="85"/>
      <c r="J179" s="85"/>
      <c r="K179" s="85"/>
      <c r="O179" s="134" t="n">
        <v>190</v>
      </c>
      <c r="P179" s="135"/>
      <c r="Q179" s="136"/>
      <c r="R179" s="136"/>
      <c r="S179" s="136"/>
      <c r="T179" s="136"/>
      <c r="U179" s="139" t="n">
        <v>1</v>
      </c>
      <c r="V179" s="8" t="n">
        <f aca="false">COUNTA(P179:U179)</f>
        <v>1</v>
      </c>
    </row>
    <row collapsed="false" customFormat="false" customHeight="false" hidden="false" ht="15" outlineLevel="0" r="180">
      <c r="C180" s="19" t="n">
        <v>292</v>
      </c>
      <c r="D180" s="24" t="n">
        <v>305</v>
      </c>
      <c r="E180" s="24" t="n">
        <v>800</v>
      </c>
      <c r="F180" s="85"/>
      <c r="G180" s="85"/>
      <c r="H180" s="85"/>
      <c r="I180" s="85"/>
      <c r="J180" s="85"/>
      <c r="K180" s="85"/>
      <c r="O180" s="134" t="n">
        <v>191</v>
      </c>
      <c r="P180" s="135"/>
      <c r="Q180" s="136"/>
      <c r="R180" s="136"/>
      <c r="S180" s="136"/>
      <c r="T180" s="136"/>
      <c r="U180" s="137"/>
      <c r="V180" s="8" t="n">
        <f aca="false">COUNTA(P180:U180)</f>
        <v>0</v>
      </c>
    </row>
    <row collapsed="false" customFormat="false" customHeight="false" hidden="false" ht="15" outlineLevel="0" r="181">
      <c r="C181" s="19" t="n">
        <v>209</v>
      </c>
      <c r="D181" s="24" t="n">
        <v>219</v>
      </c>
      <c r="E181" s="24" t="n">
        <v>800</v>
      </c>
      <c r="F181" s="85"/>
      <c r="G181" s="85"/>
      <c r="H181" s="85"/>
      <c r="I181" s="85"/>
      <c r="J181" s="85" t="n">
        <v>2000</v>
      </c>
      <c r="K181" s="85" t="n">
        <v>3000</v>
      </c>
      <c r="O181" s="134" t="n">
        <v>192</v>
      </c>
      <c r="P181" s="135"/>
      <c r="Q181" s="136"/>
      <c r="R181" s="136"/>
      <c r="S181" s="136"/>
      <c r="T181" s="136"/>
      <c r="U181" s="137"/>
      <c r="V181" s="8" t="n">
        <f aca="false">COUNTA(P181:U181)</f>
        <v>0</v>
      </c>
    </row>
    <row collapsed="false" customFormat="false" customHeight="false" hidden="false" ht="15" outlineLevel="0" r="182">
      <c r="C182" s="19" t="n">
        <v>257</v>
      </c>
      <c r="D182" s="24" t="n">
        <v>270</v>
      </c>
      <c r="E182" s="24" t="n">
        <v>800</v>
      </c>
      <c r="F182" s="85"/>
      <c r="G182" s="85"/>
      <c r="H182" s="85"/>
      <c r="I182" s="85"/>
      <c r="J182" s="85"/>
      <c r="K182" s="85"/>
      <c r="O182" s="134" t="n">
        <v>193</v>
      </c>
      <c r="P182" s="135"/>
      <c r="Q182" s="136"/>
      <c r="R182" s="136"/>
      <c r="S182" s="136"/>
      <c r="T182" s="136"/>
      <c r="U182" s="137"/>
      <c r="V182" s="8" t="n">
        <f aca="false">COUNTA(P182:U182)</f>
        <v>0</v>
      </c>
    </row>
    <row collapsed="false" customFormat="false" customHeight="false" hidden="false" ht="15" outlineLevel="0" r="183">
      <c r="C183" s="19" t="n">
        <v>212</v>
      </c>
      <c r="D183" s="24" t="n">
        <v>221</v>
      </c>
      <c r="E183" s="24" t="n">
        <v>800</v>
      </c>
      <c r="F183" s="85" t="n">
        <v>600</v>
      </c>
      <c r="G183" s="85"/>
      <c r="H183" s="85" t="n">
        <v>1600</v>
      </c>
      <c r="I183" s="85" t="n">
        <v>800</v>
      </c>
      <c r="J183" s="85"/>
      <c r="K183" s="85"/>
      <c r="O183" s="134" t="n">
        <v>194</v>
      </c>
      <c r="P183" s="135"/>
      <c r="Q183" s="138" t="n">
        <v>1</v>
      </c>
      <c r="R183" s="136"/>
      <c r="S183" s="136"/>
      <c r="T183" s="136"/>
      <c r="U183" s="137"/>
      <c r="V183" s="8" t="n">
        <f aca="false">COUNTA(P183:U183)</f>
        <v>1</v>
      </c>
    </row>
    <row collapsed="false" customFormat="false" customHeight="false" hidden="false" ht="15" outlineLevel="0" r="184">
      <c r="C184" s="19" t="n">
        <v>320</v>
      </c>
      <c r="D184" s="24"/>
      <c r="E184" s="24" t="n">
        <v>800</v>
      </c>
      <c r="F184" s="85"/>
      <c r="G184" s="85"/>
      <c r="H184" s="85"/>
      <c r="I184" s="85" t="n">
        <v>13200</v>
      </c>
      <c r="J184" s="85"/>
      <c r="K184" s="85"/>
      <c r="O184" s="134" t="n">
        <v>196</v>
      </c>
      <c r="P184" s="135"/>
      <c r="Q184" s="136"/>
      <c r="R184" s="138" t="n">
        <v>1</v>
      </c>
      <c r="S184" s="136"/>
      <c r="T184" s="136"/>
      <c r="U184" s="137"/>
      <c r="V184" s="8" t="n">
        <f aca="false">COUNTA(P184:U184)</f>
        <v>1</v>
      </c>
    </row>
    <row collapsed="false" customFormat="false" customHeight="false" hidden="false" ht="15" outlineLevel="0" r="185">
      <c r="C185" s="19" t="n">
        <v>186</v>
      </c>
      <c r="D185" s="24" t="n">
        <v>194</v>
      </c>
      <c r="E185" s="24" t="n">
        <v>800</v>
      </c>
      <c r="F185" s="85"/>
      <c r="G185" s="85"/>
      <c r="H185" s="85"/>
      <c r="I185" s="85" t="n">
        <v>5000</v>
      </c>
      <c r="J185" s="85"/>
      <c r="K185" s="85"/>
      <c r="O185" s="134" t="n">
        <v>197</v>
      </c>
      <c r="P185" s="135"/>
      <c r="Q185" s="136"/>
      <c r="R185" s="136"/>
      <c r="S185" s="136"/>
      <c r="T185" s="136"/>
      <c r="U185" s="137"/>
      <c r="V185" s="8" t="n">
        <f aca="false">COUNTA(P185:U185)</f>
        <v>0</v>
      </c>
    </row>
    <row collapsed="false" customFormat="false" customHeight="false" hidden="false" ht="15" outlineLevel="0" r="186">
      <c r="C186" s="19" t="n">
        <v>187</v>
      </c>
      <c r="D186" s="24" t="n">
        <v>195</v>
      </c>
      <c r="E186" s="24" t="n">
        <v>800</v>
      </c>
      <c r="F186" s="85"/>
      <c r="G186" s="85"/>
      <c r="H186" s="85"/>
      <c r="I186" s="85" t="n">
        <v>5000</v>
      </c>
      <c r="J186" s="85"/>
      <c r="K186" s="85"/>
      <c r="O186" s="134" t="n">
        <v>198</v>
      </c>
      <c r="P186" s="135"/>
      <c r="Q186" s="136"/>
      <c r="R186" s="138" t="n">
        <v>1</v>
      </c>
      <c r="S186" s="136"/>
      <c r="T186" s="138" t="n">
        <v>1</v>
      </c>
      <c r="U186" s="137"/>
      <c r="V186" s="8" t="n">
        <f aca="false">COUNTA(P186:U186)</f>
        <v>2</v>
      </c>
    </row>
    <row collapsed="false" customFormat="false" customHeight="false" hidden="false" ht="15" outlineLevel="0" r="187">
      <c r="C187" s="19" t="n">
        <v>211</v>
      </c>
      <c r="D187" s="24" t="n">
        <v>220</v>
      </c>
      <c r="E187" s="24" t="n">
        <v>800</v>
      </c>
      <c r="F187" s="85"/>
      <c r="G187" s="85"/>
      <c r="H187" s="85"/>
      <c r="I187" s="85"/>
      <c r="J187" s="85"/>
      <c r="K187" s="85"/>
      <c r="O187" s="134" t="n">
        <v>199</v>
      </c>
      <c r="P187" s="135"/>
      <c r="Q187" s="136"/>
      <c r="R187" s="136"/>
      <c r="S187" s="136"/>
      <c r="T187" s="136"/>
      <c r="U187" s="137"/>
      <c r="V187" s="8" t="n">
        <f aca="false">COUNTA(P187:U187)</f>
        <v>0</v>
      </c>
    </row>
    <row collapsed="false" customFormat="false" customHeight="false" hidden="false" ht="15" outlineLevel="0" r="188">
      <c r="C188" s="19" t="n">
        <v>242</v>
      </c>
      <c r="D188" s="24" t="n">
        <v>253</v>
      </c>
      <c r="E188" s="24" t="n">
        <v>800</v>
      </c>
      <c r="F188" s="85"/>
      <c r="G188" s="85"/>
      <c r="H188" s="85"/>
      <c r="I188" s="85"/>
      <c r="J188" s="85"/>
      <c r="K188" s="85"/>
      <c r="O188" s="134" t="n">
        <v>201</v>
      </c>
      <c r="P188" s="140" t="n">
        <v>1</v>
      </c>
      <c r="Q188" s="136"/>
      <c r="R188" s="136"/>
      <c r="S188" s="136"/>
      <c r="T188" s="138" t="n">
        <v>1</v>
      </c>
      <c r="U188" s="137"/>
      <c r="V188" s="8" t="n">
        <f aca="false">COUNTA(P188:U188)</f>
        <v>2</v>
      </c>
    </row>
    <row collapsed="false" customFormat="false" customHeight="false" hidden="false" ht="15" outlineLevel="0" r="189">
      <c r="C189" s="19" t="n">
        <v>218</v>
      </c>
      <c r="D189" s="44" t="n">
        <v>227</v>
      </c>
      <c r="E189" s="44" t="n">
        <v>800</v>
      </c>
      <c r="F189" s="85"/>
      <c r="G189" s="85"/>
      <c r="H189" s="85" t="n">
        <v>1000</v>
      </c>
      <c r="I189" s="85"/>
      <c r="J189" s="85"/>
      <c r="K189" s="85" t="n">
        <v>5000</v>
      </c>
      <c r="O189" s="134" t="n">
        <v>202</v>
      </c>
      <c r="P189" s="135"/>
      <c r="Q189" s="136"/>
      <c r="R189" s="136"/>
      <c r="S189" s="136"/>
      <c r="T189" s="136"/>
      <c r="U189" s="137"/>
      <c r="V189" s="8" t="n">
        <f aca="false">COUNTA(P189:U189)</f>
        <v>0</v>
      </c>
    </row>
    <row collapsed="false" customFormat="false" customHeight="false" hidden="false" ht="15" outlineLevel="0" r="190">
      <c r="C190" s="19" t="n">
        <v>120</v>
      </c>
      <c r="D190" s="24" t="n">
        <v>125</v>
      </c>
      <c r="E190" s="24" t="n">
        <v>800</v>
      </c>
      <c r="F190" s="85" t="n">
        <v>5000</v>
      </c>
      <c r="G190" s="85" t="n">
        <v>6600</v>
      </c>
      <c r="H190" s="85" t="n">
        <v>2000</v>
      </c>
      <c r="I190" s="85"/>
      <c r="J190" s="85"/>
      <c r="K190" s="85" t="n">
        <v>1200</v>
      </c>
      <c r="O190" s="134" t="n">
        <v>203</v>
      </c>
      <c r="P190" s="140" t="n">
        <v>1</v>
      </c>
      <c r="Q190" s="136"/>
      <c r="R190" s="136"/>
      <c r="S190" s="136"/>
      <c r="T190" s="138" t="n">
        <v>1</v>
      </c>
      <c r="U190" s="137"/>
      <c r="V190" s="8" t="n">
        <f aca="false">COUNTA(P190:U190)</f>
        <v>2</v>
      </c>
    </row>
    <row collapsed="false" customFormat="false" customHeight="false" hidden="false" ht="15" outlineLevel="0" r="191">
      <c r="C191" s="19" t="n">
        <v>287</v>
      </c>
      <c r="D191" s="24" t="n">
        <v>299</v>
      </c>
      <c r="E191" s="24" t="n">
        <v>800</v>
      </c>
      <c r="F191" s="85"/>
      <c r="G191" s="85"/>
      <c r="H191" s="85"/>
      <c r="I191" s="85"/>
      <c r="J191" s="85"/>
      <c r="K191" s="85"/>
      <c r="O191" s="134" t="n">
        <v>204</v>
      </c>
      <c r="P191" s="135"/>
      <c r="Q191" s="136"/>
      <c r="R191" s="136"/>
      <c r="S191" s="136"/>
      <c r="T191" s="136"/>
      <c r="U191" s="137"/>
      <c r="V191" s="8" t="n">
        <f aca="false">COUNTA(P191:U191)</f>
        <v>0</v>
      </c>
    </row>
    <row collapsed="false" customFormat="false" customHeight="false" hidden="false" ht="15" outlineLevel="0" r="192">
      <c r="C192" s="19" t="n">
        <v>170</v>
      </c>
      <c r="D192" s="24" t="n">
        <v>178</v>
      </c>
      <c r="E192" s="24"/>
      <c r="F192" s="85" t="n">
        <v>2400</v>
      </c>
      <c r="G192" s="85"/>
      <c r="H192" s="85" t="n">
        <v>2400</v>
      </c>
      <c r="I192" s="85"/>
      <c r="J192" s="85"/>
      <c r="K192" s="85" t="n">
        <v>2400</v>
      </c>
      <c r="O192" s="134" t="n">
        <v>205</v>
      </c>
      <c r="P192" s="135"/>
      <c r="Q192" s="136"/>
      <c r="R192" s="136"/>
      <c r="S192" s="136"/>
      <c r="T192" s="136"/>
      <c r="U192" s="137"/>
      <c r="V192" s="8" t="n">
        <f aca="false">COUNTA(P192:U192)</f>
        <v>0</v>
      </c>
    </row>
    <row collapsed="false" customFormat="false" customHeight="false" hidden="false" ht="15" outlineLevel="0" r="193">
      <c r="C193" s="19" t="n">
        <v>170</v>
      </c>
      <c r="D193" s="24" t="n">
        <v>179</v>
      </c>
      <c r="E193" s="24" t="n">
        <v>800</v>
      </c>
      <c r="F193" s="85"/>
      <c r="G193" s="85"/>
      <c r="H193" s="85"/>
      <c r="I193" s="85"/>
      <c r="J193" s="85"/>
      <c r="K193" s="85"/>
      <c r="O193" s="134" t="n">
        <v>206</v>
      </c>
      <c r="P193" s="135"/>
      <c r="Q193" s="136"/>
      <c r="R193" s="136"/>
      <c r="S193" s="136"/>
      <c r="T193" s="136"/>
      <c r="U193" s="137"/>
      <c r="V193" s="8" t="n">
        <f aca="false">COUNTA(P193:U193)</f>
        <v>0</v>
      </c>
    </row>
    <row collapsed="false" customFormat="false" customHeight="false" hidden="false" ht="15" outlineLevel="0" r="194">
      <c r="C194" s="19" t="n">
        <v>290</v>
      </c>
      <c r="D194" s="24" t="n">
        <v>303</v>
      </c>
      <c r="E194" s="24" t="n">
        <v>800</v>
      </c>
      <c r="F194" s="85"/>
      <c r="G194" s="85"/>
      <c r="H194" s="85"/>
      <c r="I194" s="85"/>
      <c r="J194" s="85" t="n">
        <v>5000</v>
      </c>
      <c r="K194" s="85"/>
      <c r="O194" s="134" t="n">
        <v>207</v>
      </c>
      <c r="P194" s="135"/>
      <c r="Q194" s="136"/>
      <c r="R194" s="136"/>
      <c r="S194" s="136"/>
      <c r="T194" s="136"/>
      <c r="U194" s="137"/>
      <c r="V194" s="8" t="n">
        <f aca="false">COUNTA(P194:U194)</f>
        <v>0</v>
      </c>
    </row>
    <row collapsed="false" customFormat="false" customHeight="false" hidden="false" ht="15" outlineLevel="0" r="195">
      <c r="C195" s="19" t="n">
        <v>81</v>
      </c>
      <c r="D195" s="24" t="n">
        <v>86</v>
      </c>
      <c r="E195" s="24" t="n">
        <v>800</v>
      </c>
      <c r="F195" s="85"/>
      <c r="G195" s="85"/>
      <c r="H195" s="85" t="n">
        <v>3200</v>
      </c>
      <c r="I195" s="85"/>
      <c r="J195" s="85"/>
      <c r="K195" s="85"/>
      <c r="O195" s="134" t="n">
        <v>208</v>
      </c>
      <c r="P195" s="135"/>
      <c r="Q195" s="136"/>
      <c r="R195" s="136"/>
      <c r="S195" s="136"/>
      <c r="T195" s="136"/>
      <c r="U195" s="137"/>
      <c r="V195" s="8" t="n">
        <f aca="false">COUNTA(P195:U195)</f>
        <v>0</v>
      </c>
    </row>
    <row collapsed="false" customFormat="false" customHeight="false" hidden="false" ht="15" outlineLevel="0" r="196">
      <c r="C196" s="19" t="n">
        <v>31</v>
      </c>
      <c r="D196" s="24" t="n">
        <v>31</v>
      </c>
      <c r="E196" s="24" t="n">
        <v>800</v>
      </c>
      <c r="F196" s="85"/>
      <c r="G196" s="85"/>
      <c r="H196" s="85"/>
      <c r="I196" s="85" t="n">
        <v>2400</v>
      </c>
      <c r="J196" s="85" t="n">
        <v>2400</v>
      </c>
      <c r="K196" s="85"/>
      <c r="O196" s="134" t="n">
        <v>209</v>
      </c>
      <c r="P196" s="135"/>
      <c r="Q196" s="136"/>
      <c r="R196" s="136"/>
      <c r="S196" s="136"/>
      <c r="T196" s="138" t="n">
        <v>1</v>
      </c>
      <c r="U196" s="139" t="n">
        <v>1</v>
      </c>
      <c r="V196" s="8" t="n">
        <f aca="false">COUNTA(P196:U196)</f>
        <v>2</v>
      </c>
    </row>
    <row collapsed="false" customFormat="false" customHeight="false" hidden="false" ht="15" outlineLevel="0" r="197">
      <c r="C197" s="19" t="n">
        <v>104</v>
      </c>
      <c r="D197" s="24" t="n">
        <v>109</v>
      </c>
      <c r="E197" s="24" t="n">
        <v>800</v>
      </c>
      <c r="F197" s="85"/>
      <c r="G197" s="85"/>
      <c r="H197" s="85"/>
      <c r="I197" s="85"/>
      <c r="J197" s="85"/>
      <c r="K197" s="85"/>
      <c r="O197" s="134" t="n">
        <v>210</v>
      </c>
      <c r="P197" s="135"/>
      <c r="Q197" s="136"/>
      <c r="R197" s="136"/>
      <c r="S197" s="136"/>
      <c r="T197" s="136"/>
      <c r="U197" s="137"/>
      <c r="V197" s="8" t="n">
        <f aca="false">COUNTA(P197:U197)</f>
        <v>0</v>
      </c>
    </row>
    <row collapsed="false" customFormat="false" customHeight="false" hidden="false" ht="15" outlineLevel="0" r="198">
      <c r="C198" s="19" t="n">
        <v>85</v>
      </c>
      <c r="D198" s="24" t="n">
        <v>90</v>
      </c>
      <c r="E198" s="24" t="n">
        <v>800</v>
      </c>
      <c r="F198" s="85"/>
      <c r="G198" s="85"/>
      <c r="H198" s="85"/>
      <c r="I198" s="85" t="n">
        <v>4800</v>
      </c>
      <c r="J198" s="85"/>
      <c r="K198" s="85"/>
      <c r="O198" s="134" t="n">
        <v>211</v>
      </c>
      <c r="P198" s="135"/>
      <c r="Q198" s="136"/>
      <c r="R198" s="136"/>
      <c r="S198" s="136"/>
      <c r="T198" s="136"/>
      <c r="U198" s="137"/>
      <c r="V198" s="8" t="n">
        <f aca="false">COUNTA(P198:U198)</f>
        <v>0</v>
      </c>
    </row>
    <row collapsed="false" customFormat="false" customHeight="false" hidden="false" ht="15" outlineLevel="0" r="199">
      <c r="C199" s="19" t="n">
        <v>300</v>
      </c>
      <c r="D199" s="24" t="n">
        <v>315</v>
      </c>
      <c r="E199" s="24" t="n">
        <v>800</v>
      </c>
      <c r="F199" s="85"/>
      <c r="G199" s="85"/>
      <c r="H199" s="85"/>
      <c r="I199" s="85"/>
      <c r="J199" s="85"/>
      <c r="K199" s="85"/>
      <c r="O199" s="134" t="n">
        <v>212</v>
      </c>
      <c r="P199" s="140" t="n">
        <v>1</v>
      </c>
      <c r="Q199" s="136"/>
      <c r="R199" s="138" t="n">
        <v>1</v>
      </c>
      <c r="S199" s="138" t="n">
        <v>1</v>
      </c>
      <c r="T199" s="136"/>
      <c r="U199" s="137"/>
      <c r="V199" s="8" t="n">
        <f aca="false">COUNTA(P199:U199)</f>
        <v>3</v>
      </c>
    </row>
    <row collapsed="false" customFormat="false" customHeight="false" hidden="false" ht="15" outlineLevel="0" r="200">
      <c r="C200" s="19" t="n">
        <v>47</v>
      </c>
      <c r="D200" s="24" t="n">
        <v>47</v>
      </c>
      <c r="E200" s="24" t="n">
        <v>800</v>
      </c>
      <c r="F200" s="85"/>
      <c r="G200" s="85"/>
      <c r="H200" s="85"/>
      <c r="I200" s="85"/>
      <c r="J200" s="85"/>
      <c r="K200" s="85"/>
      <c r="O200" s="134" t="n">
        <v>213</v>
      </c>
      <c r="P200" s="135"/>
      <c r="Q200" s="136"/>
      <c r="R200" s="136"/>
      <c r="S200" s="136"/>
      <c r="T200" s="136"/>
      <c r="U200" s="137"/>
      <c r="V200" s="8" t="n">
        <f aca="false">COUNTA(P200:U200)</f>
        <v>0</v>
      </c>
    </row>
    <row collapsed="false" customFormat="false" customHeight="false" hidden="false" ht="15" outlineLevel="0" r="201">
      <c r="C201" s="19" t="n">
        <v>282</v>
      </c>
      <c r="D201" s="24" t="n">
        <v>294</v>
      </c>
      <c r="E201" s="24" t="n">
        <v>800</v>
      </c>
      <c r="F201" s="85"/>
      <c r="G201" s="85"/>
      <c r="H201" s="85"/>
      <c r="I201" s="85"/>
      <c r="J201" s="85"/>
      <c r="K201" s="85"/>
      <c r="O201" s="134" t="n">
        <v>214</v>
      </c>
      <c r="P201" s="135"/>
      <c r="Q201" s="138" t="n">
        <v>1</v>
      </c>
      <c r="R201" s="136"/>
      <c r="S201" s="136"/>
      <c r="T201" s="136"/>
      <c r="U201" s="139" t="n">
        <v>1</v>
      </c>
      <c r="V201" s="8" t="n">
        <f aca="false">COUNTA(P201:U201)</f>
        <v>2</v>
      </c>
    </row>
    <row collapsed="false" customFormat="false" customHeight="false" hidden="false" ht="15" outlineLevel="0" r="202">
      <c r="C202" s="19" t="n">
        <v>204</v>
      </c>
      <c r="D202" s="24" t="n">
        <v>214</v>
      </c>
      <c r="E202" s="24" t="n">
        <v>800</v>
      </c>
      <c r="F202" s="85"/>
      <c r="G202" s="85"/>
      <c r="H202" s="85"/>
      <c r="I202" s="85"/>
      <c r="J202" s="85"/>
      <c r="K202" s="85"/>
      <c r="O202" s="134" t="n">
        <v>215</v>
      </c>
      <c r="P202" s="135"/>
      <c r="Q202" s="138" t="n">
        <v>1</v>
      </c>
      <c r="R202" s="136"/>
      <c r="S202" s="136"/>
      <c r="T202" s="136"/>
      <c r="U202" s="137"/>
      <c r="V202" s="8" t="n">
        <f aca="false">COUNTA(P202:U202)</f>
        <v>1</v>
      </c>
    </row>
    <row collapsed="false" customFormat="false" customHeight="false" hidden="false" ht="15" outlineLevel="0" r="203">
      <c r="C203" s="19" t="n">
        <v>291</v>
      </c>
      <c r="D203" s="24" t="n">
        <v>304</v>
      </c>
      <c r="E203" s="24" t="n">
        <v>800</v>
      </c>
      <c r="F203" s="85"/>
      <c r="G203" s="85"/>
      <c r="H203" s="85"/>
      <c r="I203" s="85"/>
      <c r="J203" s="85"/>
      <c r="K203" s="85"/>
      <c r="O203" s="134" t="n">
        <v>216</v>
      </c>
      <c r="P203" s="135"/>
      <c r="Q203" s="138" t="n">
        <v>1</v>
      </c>
      <c r="R203" s="136"/>
      <c r="S203" s="136"/>
      <c r="T203" s="136"/>
      <c r="U203" s="137"/>
      <c r="V203" s="8" t="n">
        <f aca="false">COUNTA(P203:U203)</f>
        <v>1</v>
      </c>
    </row>
    <row collapsed="false" customFormat="false" customHeight="false" hidden="false" ht="15" outlineLevel="0" r="204">
      <c r="C204" s="19" t="n">
        <v>89</v>
      </c>
      <c r="D204" s="24" t="n">
        <v>94</v>
      </c>
      <c r="E204" s="24" t="n">
        <v>800</v>
      </c>
      <c r="F204" s="85"/>
      <c r="G204" s="85"/>
      <c r="H204" s="85"/>
      <c r="I204" s="85"/>
      <c r="J204" s="85"/>
      <c r="K204" s="85"/>
      <c r="O204" s="134" t="n">
        <v>218</v>
      </c>
      <c r="P204" s="135"/>
      <c r="Q204" s="136"/>
      <c r="R204" s="138" t="n">
        <v>1</v>
      </c>
      <c r="S204" s="136"/>
      <c r="T204" s="136"/>
      <c r="U204" s="139" t="n">
        <v>1</v>
      </c>
      <c r="V204" s="8" t="n">
        <f aca="false">COUNTA(P204:U204)</f>
        <v>2</v>
      </c>
    </row>
    <row collapsed="false" customFormat="false" customHeight="false" hidden="false" ht="15" outlineLevel="0" r="205">
      <c r="C205" s="19" t="n">
        <v>26</v>
      </c>
      <c r="D205" s="24" t="n">
        <v>26</v>
      </c>
      <c r="E205" s="24" t="n">
        <v>800</v>
      </c>
      <c r="F205" s="85"/>
      <c r="G205" s="85"/>
      <c r="H205" s="85"/>
      <c r="I205" s="85"/>
      <c r="J205" s="85"/>
      <c r="K205" s="85"/>
      <c r="O205" s="134" t="n">
        <v>219</v>
      </c>
      <c r="P205" s="135"/>
      <c r="Q205" s="136"/>
      <c r="R205" s="138" t="n">
        <v>1</v>
      </c>
      <c r="S205" s="136"/>
      <c r="T205" s="136"/>
      <c r="U205" s="139" t="n">
        <v>1</v>
      </c>
      <c r="V205" s="8" t="n">
        <f aca="false">COUNTA(P205:U205)</f>
        <v>2</v>
      </c>
    </row>
    <row collapsed="false" customFormat="false" customHeight="false" hidden="false" ht="15" outlineLevel="0" r="206">
      <c r="C206" s="19" t="n">
        <v>71</v>
      </c>
      <c r="D206" s="24" t="n">
        <v>77</v>
      </c>
      <c r="E206" s="24" t="n">
        <v>800</v>
      </c>
      <c r="F206" s="85"/>
      <c r="G206" s="85"/>
      <c r="H206" s="85"/>
      <c r="I206" s="85"/>
      <c r="J206" s="85"/>
      <c r="K206" s="85"/>
      <c r="O206" s="134" t="n">
        <v>220</v>
      </c>
      <c r="P206" s="135"/>
      <c r="Q206" s="136"/>
      <c r="R206" s="136"/>
      <c r="S206" s="136"/>
      <c r="T206" s="136"/>
      <c r="U206" s="137"/>
      <c r="V206" s="8" t="n">
        <f aca="false">COUNTA(P206:U206)</f>
        <v>0</v>
      </c>
    </row>
    <row collapsed="false" customFormat="false" customHeight="false" hidden="false" ht="15" outlineLevel="0" r="207">
      <c r="C207" s="19" t="n">
        <v>6</v>
      </c>
      <c r="D207" s="24" t="n">
        <v>6</v>
      </c>
      <c r="E207" s="24" t="n">
        <v>800</v>
      </c>
      <c r="F207" s="85"/>
      <c r="G207" s="85"/>
      <c r="H207" s="85"/>
      <c r="I207" s="85"/>
      <c r="J207" s="85" t="n">
        <v>4000</v>
      </c>
      <c r="K207" s="85"/>
      <c r="O207" s="134" t="n">
        <v>221</v>
      </c>
      <c r="P207" s="140" t="n">
        <v>1</v>
      </c>
      <c r="Q207" s="136"/>
      <c r="R207" s="136"/>
      <c r="S207" s="136"/>
      <c r="T207" s="136"/>
      <c r="U207" s="137"/>
      <c r="V207" s="8" t="n">
        <f aca="false">COUNTA(P207:U207)</f>
        <v>1</v>
      </c>
    </row>
    <row collapsed="false" customFormat="false" customHeight="false" hidden="false" ht="15" outlineLevel="0" r="208">
      <c r="C208" s="19" t="n">
        <v>80</v>
      </c>
      <c r="D208" s="24" t="n">
        <v>85</v>
      </c>
      <c r="E208" s="24" t="n">
        <v>800</v>
      </c>
      <c r="F208" s="85"/>
      <c r="G208" s="85"/>
      <c r="H208" s="85"/>
      <c r="I208" s="85"/>
      <c r="J208" s="85"/>
      <c r="K208" s="85" t="n">
        <v>4000</v>
      </c>
      <c r="O208" s="134" t="n">
        <v>222</v>
      </c>
      <c r="P208" s="135"/>
      <c r="Q208" s="138" t="n">
        <v>1</v>
      </c>
      <c r="R208" s="136"/>
      <c r="S208" s="136"/>
      <c r="T208" s="138" t="n">
        <v>1</v>
      </c>
      <c r="U208" s="137"/>
      <c r="V208" s="8" t="n">
        <f aca="false">COUNTA(P208:U208)</f>
        <v>2</v>
      </c>
    </row>
    <row collapsed="false" customFormat="false" customHeight="false" hidden="false" ht="15" outlineLevel="0" r="209">
      <c r="C209" s="19" t="n">
        <v>201</v>
      </c>
      <c r="D209" s="24" t="n">
        <v>209</v>
      </c>
      <c r="E209" s="24" t="n">
        <v>800</v>
      </c>
      <c r="F209" s="85" t="n">
        <v>4000</v>
      </c>
      <c r="G209" s="85"/>
      <c r="H209" s="85"/>
      <c r="I209" s="85"/>
      <c r="J209" s="85" t="n">
        <v>3200</v>
      </c>
      <c r="K209" s="85"/>
      <c r="O209" s="134" t="n">
        <v>223</v>
      </c>
      <c r="P209" s="135"/>
      <c r="Q209" s="136"/>
      <c r="R209" s="136"/>
      <c r="S209" s="136"/>
      <c r="T209" s="136"/>
      <c r="U209" s="137"/>
      <c r="V209" s="8" t="n">
        <f aca="false">COUNTA(P209:U209)</f>
        <v>0</v>
      </c>
    </row>
    <row collapsed="false" customFormat="false" customHeight="false" hidden="false" ht="15" outlineLevel="0" r="210">
      <c r="C210" s="19" t="n">
        <v>147</v>
      </c>
      <c r="D210" s="24" t="n">
        <v>155</v>
      </c>
      <c r="E210" s="24" t="n">
        <v>800</v>
      </c>
      <c r="F210" s="85"/>
      <c r="G210" s="85"/>
      <c r="H210" s="85"/>
      <c r="I210" s="85"/>
      <c r="J210" s="85"/>
      <c r="K210" s="85"/>
      <c r="O210" s="134" t="n">
        <v>224</v>
      </c>
      <c r="P210" s="135"/>
      <c r="Q210" s="136"/>
      <c r="R210" s="136"/>
      <c r="S210" s="136"/>
      <c r="T210" s="136"/>
      <c r="U210" s="137"/>
      <c r="V210" s="8" t="n">
        <f aca="false">COUNTA(P210:U210)</f>
        <v>0</v>
      </c>
    </row>
    <row collapsed="false" customFormat="false" customHeight="false" hidden="false" ht="15" outlineLevel="0" r="211">
      <c r="C211" s="19" t="n">
        <v>29</v>
      </c>
      <c r="D211" s="24" t="n">
        <v>29</v>
      </c>
      <c r="E211" s="24" t="n">
        <v>800</v>
      </c>
      <c r="F211" s="85"/>
      <c r="G211" s="85"/>
      <c r="H211" s="85"/>
      <c r="I211" s="85"/>
      <c r="J211" s="85"/>
      <c r="K211" s="85"/>
      <c r="O211" s="134" t="n">
        <v>225</v>
      </c>
      <c r="P211" s="135"/>
      <c r="Q211" s="136"/>
      <c r="R211" s="136"/>
      <c r="S211" s="136"/>
      <c r="T211" s="136"/>
      <c r="U211" s="137"/>
      <c r="V211" s="8" t="n">
        <f aca="false">COUNTA(P211:U211)</f>
        <v>0</v>
      </c>
    </row>
    <row collapsed="false" customFormat="false" customHeight="false" hidden="false" ht="15" outlineLevel="0" r="212">
      <c r="C212" s="19" t="n">
        <v>33</v>
      </c>
      <c r="D212" s="24" t="n">
        <v>33</v>
      </c>
      <c r="E212" s="24" t="n">
        <v>800</v>
      </c>
      <c r="F212" s="85"/>
      <c r="G212" s="85"/>
      <c r="H212" s="85"/>
      <c r="I212" s="85"/>
      <c r="J212" s="85" t="n">
        <v>10050</v>
      </c>
      <c r="K212" s="85"/>
      <c r="O212" s="134" t="n">
        <v>226</v>
      </c>
      <c r="P212" s="135"/>
      <c r="Q212" s="136"/>
      <c r="R212" s="136"/>
      <c r="S212" s="136"/>
      <c r="T212" s="136"/>
      <c r="U212" s="137"/>
      <c r="V212" s="8" t="n">
        <f aca="false">COUNTA(P212:U212)</f>
        <v>0</v>
      </c>
    </row>
    <row collapsed="false" customFormat="false" customHeight="false" hidden="false" ht="15" outlineLevel="0" r="213">
      <c r="C213" s="19" t="n">
        <v>169</v>
      </c>
      <c r="D213" s="24" t="n">
        <v>177</v>
      </c>
      <c r="E213" s="24" t="n">
        <v>800</v>
      </c>
      <c r="F213" s="85"/>
      <c r="G213" s="85"/>
      <c r="H213" s="85" t="n">
        <v>5400</v>
      </c>
      <c r="I213" s="85"/>
      <c r="J213" s="85" t="n">
        <v>2400</v>
      </c>
      <c r="K213" s="85"/>
      <c r="O213" s="134" t="n">
        <v>227</v>
      </c>
      <c r="P213" s="135"/>
      <c r="Q213" s="138" t="n">
        <v>1</v>
      </c>
      <c r="R213" s="138" t="n">
        <v>1</v>
      </c>
      <c r="S213" s="136"/>
      <c r="T213" s="136"/>
      <c r="U213" s="137"/>
      <c r="V213" s="8" t="n">
        <f aca="false">COUNTA(P213:U213)</f>
        <v>2</v>
      </c>
    </row>
    <row collapsed="false" customFormat="false" customHeight="false" hidden="false" ht="15" outlineLevel="0" r="214">
      <c r="C214" s="19" t="n">
        <v>185</v>
      </c>
      <c r="D214" s="24" t="n">
        <v>193</v>
      </c>
      <c r="E214" s="24" t="n">
        <v>800</v>
      </c>
      <c r="F214" s="85"/>
      <c r="G214" s="85"/>
      <c r="H214" s="85"/>
      <c r="I214" s="85"/>
      <c r="J214" s="85"/>
      <c r="K214" s="85"/>
      <c r="O214" s="134" t="n">
        <v>228</v>
      </c>
      <c r="P214" s="135"/>
      <c r="Q214" s="136"/>
      <c r="R214" s="136"/>
      <c r="S214" s="136"/>
      <c r="T214" s="136"/>
      <c r="U214" s="137"/>
      <c r="V214" s="8" t="n">
        <f aca="false">COUNTA(P214:U214)</f>
        <v>0</v>
      </c>
    </row>
    <row collapsed="false" customFormat="false" customHeight="false" hidden="false" ht="15" outlineLevel="0" r="215">
      <c r="C215" s="19" t="n">
        <v>176</v>
      </c>
      <c r="D215" s="24" t="n">
        <v>184</v>
      </c>
      <c r="E215" s="24" t="n">
        <v>800</v>
      </c>
      <c r="F215" s="85" t="n">
        <v>5000</v>
      </c>
      <c r="G215" s="85" t="n">
        <v>3000</v>
      </c>
      <c r="H215" s="85"/>
      <c r="I215" s="85"/>
      <c r="J215" s="85" t="n">
        <v>3000</v>
      </c>
      <c r="K215" s="85" t="n">
        <v>3500</v>
      </c>
      <c r="O215" s="134" t="n">
        <v>229</v>
      </c>
      <c r="P215" s="135"/>
      <c r="Q215" s="136"/>
      <c r="R215" s="136"/>
      <c r="S215" s="136"/>
      <c r="T215" s="136"/>
      <c r="U215" s="137"/>
      <c r="V215" s="8" t="n">
        <f aca="false">COUNTA(P215:U215)</f>
        <v>0</v>
      </c>
    </row>
    <row collapsed="false" customFormat="false" customHeight="false" hidden="false" ht="15" outlineLevel="0" r="216">
      <c r="C216" s="19" t="n">
        <v>307</v>
      </c>
      <c r="D216" s="24" t="n">
        <v>322</v>
      </c>
      <c r="E216" s="24" t="n">
        <v>800</v>
      </c>
      <c r="F216" s="85"/>
      <c r="G216" s="85"/>
      <c r="H216" s="85"/>
      <c r="I216" s="85"/>
      <c r="J216" s="85" t="n">
        <v>8000</v>
      </c>
      <c r="K216" s="85"/>
      <c r="O216" s="134" t="n">
        <v>230</v>
      </c>
      <c r="P216" s="135"/>
      <c r="Q216" s="136"/>
      <c r="R216" s="136"/>
      <c r="S216" s="136"/>
      <c r="T216" s="138" t="n">
        <v>1</v>
      </c>
      <c r="U216" s="137"/>
      <c r="V216" s="8" t="n">
        <f aca="false">COUNTA(P216:U216)</f>
        <v>1</v>
      </c>
    </row>
    <row collapsed="false" customFormat="false" customHeight="false" hidden="false" ht="15" outlineLevel="0" r="217">
      <c r="C217" s="19" t="n">
        <v>177</v>
      </c>
      <c r="D217" s="24" t="n">
        <v>185</v>
      </c>
      <c r="E217" s="24" t="n">
        <v>800</v>
      </c>
      <c r="F217" s="85"/>
      <c r="G217" s="85"/>
      <c r="H217" s="85"/>
      <c r="I217" s="85"/>
      <c r="J217" s="85"/>
      <c r="K217" s="85"/>
      <c r="O217" s="134" t="n">
        <v>231</v>
      </c>
      <c r="P217" s="135"/>
      <c r="Q217" s="138" t="n">
        <v>1</v>
      </c>
      <c r="R217" s="136"/>
      <c r="S217" s="138" t="n">
        <v>1</v>
      </c>
      <c r="T217" s="136"/>
      <c r="U217" s="137"/>
      <c r="V217" s="8" t="n">
        <f aca="false">COUNTA(P217:U217)</f>
        <v>2</v>
      </c>
    </row>
    <row collapsed="false" customFormat="false" customHeight="false" hidden="false" ht="15" outlineLevel="0" r="218">
      <c r="C218" s="19" t="n">
        <v>160</v>
      </c>
      <c r="D218" s="24" t="n">
        <v>168</v>
      </c>
      <c r="E218" s="24" t="n">
        <v>800</v>
      </c>
      <c r="F218" s="85"/>
      <c r="G218" s="85"/>
      <c r="H218" s="85"/>
      <c r="I218" s="85"/>
      <c r="J218" s="85"/>
      <c r="K218" s="85"/>
      <c r="O218" s="134" t="n">
        <v>232</v>
      </c>
      <c r="P218" s="135"/>
      <c r="Q218" s="136"/>
      <c r="R218" s="136"/>
      <c r="S218" s="136"/>
      <c r="T218" s="136"/>
      <c r="U218" s="137"/>
      <c r="V218" s="8" t="n">
        <f aca="false">COUNTA(P218:U218)</f>
        <v>0</v>
      </c>
    </row>
    <row collapsed="false" customFormat="false" customHeight="false" hidden="false" ht="15" outlineLevel="0" r="219">
      <c r="C219" s="19" t="n">
        <v>53</v>
      </c>
      <c r="D219" s="24" t="n">
        <v>55</v>
      </c>
      <c r="E219" s="24" t="n">
        <v>800</v>
      </c>
      <c r="F219" s="85"/>
      <c r="G219" s="85"/>
      <c r="H219" s="85"/>
      <c r="I219" s="85"/>
      <c r="J219" s="85"/>
      <c r="K219" s="85"/>
      <c r="O219" s="134" t="n">
        <v>233</v>
      </c>
      <c r="P219" s="135"/>
      <c r="Q219" s="136"/>
      <c r="R219" s="136"/>
      <c r="S219" s="136"/>
      <c r="T219" s="136"/>
      <c r="U219" s="139" t="n">
        <v>1</v>
      </c>
      <c r="V219" s="8" t="n">
        <f aca="false">COUNTA(P219:U219)</f>
        <v>1</v>
      </c>
    </row>
    <row collapsed="false" customFormat="false" customHeight="false" hidden="false" ht="15" outlineLevel="0" r="220">
      <c r="C220" s="19" t="n">
        <v>102</v>
      </c>
      <c r="D220" s="24" t="n">
        <v>107</v>
      </c>
      <c r="E220" s="24" t="n">
        <v>800</v>
      </c>
      <c r="F220" s="85" t="n">
        <v>800</v>
      </c>
      <c r="G220" s="85" t="n">
        <v>800</v>
      </c>
      <c r="H220" s="85" t="n">
        <v>800</v>
      </c>
      <c r="I220" s="85" t="n">
        <v>800</v>
      </c>
      <c r="J220" s="85"/>
      <c r="K220" s="85" t="n">
        <v>800</v>
      </c>
      <c r="O220" s="134" t="n">
        <v>234</v>
      </c>
      <c r="P220" s="135"/>
      <c r="Q220" s="138" t="n">
        <v>1</v>
      </c>
      <c r="R220" s="136"/>
      <c r="S220" s="136"/>
      <c r="T220" s="136"/>
      <c r="U220" s="137"/>
      <c r="V220" s="8" t="n">
        <f aca="false">COUNTA(P220:U220)</f>
        <v>1</v>
      </c>
    </row>
    <row collapsed="false" customFormat="false" customHeight="false" hidden="false" ht="15" outlineLevel="0" r="221">
      <c r="C221" s="19" t="n">
        <v>174</v>
      </c>
      <c r="D221" s="24" t="n">
        <v>182</v>
      </c>
      <c r="E221" s="24" t="n">
        <v>800</v>
      </c>
      <c r="F221" s="85" t="n">
        <v>1000</v>
      </c>
      <c r="G221" s="85"/>
      <c r="H221" s="85"/>
      <c r="I221" s="85"/>
      <c r="J221" s="85" t="n">
        <v>3000</v>
      </c>
      <c r="K221" s="85"/>
      <c r="O221" s="134" t="n">
        <v>236</v>
      </c>
      <c r="P221" s="135"/>
      <c r="Q221" s="136"/>
      <c r="R221" s="136"/>
      <c r="S221" s="136"/>
      <c r="T221" s="138" t="n">
        <v>1</v>
      </c>
      <c r="U221" s="137"/>
      <c r="V221" s="8" t="n">
        <f aca="false">COUNTA(P221:U221)</f>
        <v>1</v>
      </c>
    </row>
    <row collapsed="false" customFormat="false" customHeight="false" hidden="false" ht="15" outlineLevel="0" r="222">
      <c r="C222" s="19" t="n">
        <v>165</v>
      </c>
      <c r="D222" s="24" t="n">
        <v>173</v>
      </c>
      <c r="E222" s="24" t="n">
        <v>800</v>
      </c>
      <c r="F222" s="85"/>
      <c r="G222" s="85"/>
      <c r="H222" s="85"/>
      <c r="I222" s="85"/>
      <c r="J222" s="85"/>
      <c r="K222" s="85"/>
      <c r="O222" s="134" t="n">
        <v>237</v>
      </c>
      <c r="P222" s="140" t="n">
        <v>1</v>
      </c>
      <c r="Q222" s="136"/>
      <c r="R222" s="138" t="n">
        <v>1</v>
      </c>
      <c r="S222" s="136"/>
      <c r="T222" s="136"/>
      <c r="U222" s="137"/>
      <c r="V222" s="8" t="n">
        <f aca="false">COUNTA(P222:U222)</f>
        <v>2</v>
      </c>
    </row>
    <row collapsed="false" customFormat="false" customHeight="false" hidden="false" ht="15" outlineLevel="0" r="223">
      <c r="C223" s="19" t="n">
        <v>251</v>
      </c>
      <c r="D223" s="24" t="n">
        <v>262</v>
      </c>
      <c r="E223" s="24" t="n">
        <v>800</v>
      </c>
      <c r="F223" s="85"/>
      <c r="G223" s="85"/>
      <c r="H223" s="85"/>
      <c r="I223" s="85"/>
      <c r="J223" s="85"/>
      <c r="K223" s="85"/>
      <c r="O223" s="134" t="n">
        <v>238</v>
      </c>
      <c r="P223" s="135"/>
      <c r="Q223" s="136"/>
      <c r="R223" s="136"/>
      <c r="S223" s="136"/>
      <c r="T223" s="136"/>
      <c r="U223" s="137"/>
      <c r="V223" s="8" t="n">
        <f aca="false">COUNTA(P223:U223)</f>
        <v>0</v>
      </c>
    </row>
    <row collapsed="false" customFormat="false" customHeight="false" hidden="false" ht="15" outlineLevel="0" r="224">
      <c r="C224" s="19" t="n">
        <v>315</v>
      </c>
      <c r="D224" s="24" t="s">
        <v>584</v>
      </c>
      <c r="E224" s="24" t="n">
        <v>800</v>
      </c>
      <c r="F224" s="85"/>
      <c r="G224" s="85"/>
      <c r="H224" s="85"/>
      <c r="I224" s="85"/>
      <c r="J224" s="85"/>
      <c r="K224" s="85"/>
      <c r="O224" s="134" t="n">
        <v>239</v>
      </c>
      <c r="P224" s="135"/>
      <c r="Q224" s="136"/>
      <c r="R224" s="136"/>
      <c r="S224" s="136"/>
      <c r="T224" s="136"/>
      <c r="U224" s="137"/>
      <c r="V224" s="8" t="n">
        <f aca="false">COUNTA(P224:U224)</f>
        <v>0</v>
      </c>
    </row>
    <row collapsed="false" customFormat="false" customHeight="false" hidden="false" ht="15" outlineLevel="0" r="225">
      <c r="C225" s="19" t="n">
        <v>312</v>
      </c>
      <c r="D225" s="24" t="s">
        <v>586</v>
      </c>
      <c r="E225" s="24" t="n">
        <v>800</v>
      </c>
      <c r="F225" s="85" t="n">
        <v>2000</v>
      </c>
      <c r="G225" s="85"/>
      <c r="H225" s="85"/>
      <c r="I225" s="85" t="n">
        <v>2000</v>
      </c>
      <c r="J225" s="85"/>
      <c r="K225" s="85" t="n">
        <v>2000</v>
      </c>
      <c r="O225" s="134" t="n">
        <v>240</v>
      </c>
      <c r="P225" s="135"/>
      <c r="Q225" s="136"/>
      <c r="R225" s="136"/>
      <c r="S225" s="136"/>
      <c r="T225" s="136"/>
      <c r="U225" s="137"/>
      <c r="V225" s="8" t="n">
        <f aca="false">COUNTA(P225:U225)</f>
        <v>0</v>
      </c>
    </row>
    <row collapsed="false" customFormat="false" customHeight="false" hidden="false" ht="15" outlineLevel="0" r="226">
      <c r="C226" s="19" t="n">
        <v>314</v>
      </c>
      <c r="D226" s="24" t="s">
        <v>715</v>
      </c>
      <c r="E226" s="24" t="n">
        <v>800</v>
      </c>
      <c r="F226" s="85"/>
      <c r="G226" s="85"/>
      <c r="H226" s="85"/>
      <c r="I226" s="85"/>
      <c r="J226" s="85"/>
      <c r="K226" s="85"/>
      <c r="O226" s="134" t="n">
        <v>241</v>
      </c>
      <c r="P226" s="140" t="n">
        <v>1</v>
      </c>
      <c r="Q226" s="138" t="n">
        <v>1</v>
      </c>
      <c r="R226" s="138" t="n">
        <v>1</v>
      </c>
      <c r="S226" s="136"/>
      <c r="T226" s="136"/>
      <c r="U226" s="139" t="n">
        <v>1</v>
      </c>
      <c r="V226" s="8" t="n">
        <f aca="false">COUNTA(P226:U226)</f>
        <v>4</v>
      </c>
    </row>
    <row collapsed="false" customFormat="false" customHeight="false" hidden="false" ht="15" outlineLevel="0" r="227">
      <c r="C227" s="19" t="e">
        <f aca="false">{#н/д}</f>
        <v>#N/A</v>
      </c>
      <c r="D227" s="24" t="n">
        <v>203</v>
      </c>
      <c r="E227" s="24" t="n">
        <v>800</v>
      </c>
      <c r="F227" s="85"/>
      <c r="G227" s="85"/>
      <c r="H227" s="85"/>
      <c r="I227" s="85"/>
      <c r="J227" s="85"/>
      <c r="K227" s="85" t="n">
        <v>4000</v>
      </c>
      <c r="O227" s="134" t="n">
        <v>242</v>
      </c>
      <c r="P227" s="135"/>
      <c r="Q227" s="136"/>
      <c r="R227" s="136"/>
      <c r="S227" s="136"/>
      <c r="T227" s="136"/>
      <c r="U227" s="137"/>
      <c r="V227" s="8" t="n">
        <f aca="false">COUNTA(P227:U227)</f>
        <v>0</v>
      </c>
    </row>
    <row collapsed="false" customFormat="false" customHeight="false" hidden="false" ht="15" outlineLevel="0" r="228">
      <c r="C228" s="19" t="n">
        <v>144</v>
      </c>
      <c r="D228" s="24" t="n">
        <v>152</v>
      </c>
      <c r="E228" s="24"/>
      <c r="F228" s="85"/>
      <c r="G228" s="85"/>
      <c r="H228" s="85"/>
      <c r="I228" s="85"/>
      <c r="J228" s="85"/>
      <c r="K228" s="85"/>
      <c r="O228" s="134" t="n">
        <v>243</v>
      </c>
      <c r="P228" s="140" t="n">
        <v>1</v>
      </c>
      <c r="Q228" s="138" t="n">
        <v>1</v>
      </c>
      <c r="R228" s="136"/>
      <c r="S228" s="136"/>
      <c r="T228" s="136"/>
      <c r="U228" s="139" t="n">
        <v>1</v>
      </c>
      <c r="V228" s="8" t="n">
        <f aca="false">COUNTA(P228:U228)</f>
        <v>3</v>
      </c>
    </row>
    <row collapsed="false" customFormat="false" customHeight="false" hidden="false" ht="15" outlineLevel="0" r="229">
      <c r="C229" s="19" t="n">
        <v>144</v>
      </c>
      <c r="D229" s="24" t="n">
        <v>153</v>
      </c>
      <c r="E229" s="24" t="n">
        <v>800</v>
      </c>
      <c r="F229" s="85"/>
      <c r="G229" s="85"/>
      <c r="H229" s="85"/>
      <c r="I229" s="85"/>
      <c r="J229" s="85"/>
      <c r="K229" s="85"/>
      <c r="O229" s="134" t="n">
        <v>245</v>
      </c>
      <c r="P229" s="135"/>
      <c r="Q229" s="136"/>
      <c r="R229" s="136"/>
      <c r="S229" s="136"/>
      <c r="T229" s="136"/>
      <c r="U229" s="139" t="n">
        <v>1</v>
      </c>
      <c r="V229" s="8" t="n">
        <f aca="false">COUNTA(P229:U229)</f>
        <v>1</v>
      </c>
    </row>
    <row collapsed="false" customFormat="false" customHeight="false" hidden="false" ht="15" outlineLevel="0" r="230">
      <c r="C230" s="19" t="n">
        <v>74</v>
      </c>
      <c r="D230" s="24" t="n">
        <v>80</v>
      </c>
      <c r="E230" s="24"/>
      <c r="F230" s="85" t="n">
        <v>6000</v>
      </c>
      <c r="G230" s="85"/>
      <c r="H230" s="85"/>
      <c r="I230" s="85"/>
      <c r="J230" s="85" t="n">
        <v>2400</v>
      </c>
      <c r="K230" s="85"/>
      <c r="O230" s="134" t="n">
        <v>247</v>
      </c>
      <c r="P230" s="135"/>
      <c r="Q230" s="136"/>
      <c r="R230" s="136"/>
      <c r="S230" s="136"/>
      <c r="T230" s="136"/>
      <c r="U230" s="137"/>
      <c r="V230" s="8" t="n">
        <f aca="false">COUNTA(P230:U230)</f>
        <v>0</v>
      </c>
    </row>
    <row collapsed="false" customFormat="false" customHeight="false" hidden="false" ht="15" outlineLevel="0" r="231">
      <c r="C231" s="19" t="n">
        <v>74</v>
      </c>
      <c r="D231" s="24" t="n">
        <v>81</v>
      </c>
      <c r="E231" s="24" t="n">
        <v>800</v>
      </c>
      <c r="F231" s="85"/>
      <c r="G231" s="85"/>
      <c r="H231" s="85"/>
      <c r="I231" s="85"/>
      <c r="J231" s="85"/>
      <c r="K231" s="85"/>
      <c r="O231" s="134" t="n">
        <v>248</v>
      </c>
      <c r="P231" s="135"/>
      <c r="Q231" s="136"/>
      <c r="R231" s="136"/>
      <c r="S231" s="136"/>
      <c r="T231" s="136"/>
      <c r="U231" s="139" t="n">
        <v>1</v>
      </c>
      <c r="V231" s="8" t="n">
        <f aca="false">COUNTA(P231:U231)</f>
        <v>1</v>
      </c>
    </row>
    <row collapsed="false" customFormat="false" customHeight="false" hidden="false" ht="15" outlineLevel="0" r="232">
      <c r="C232" s="19" t="n">
        <v>68</v>
      </c>
      <c r="D232" s="24" t="n">
        <v>70</v>
      </c>
      <c r="E232" s="24" t="n">
        <v>800</v>
      </c>
      <c r="F232" s="85"/>
      <c r="G232" s="85" t="n">
        <v>1600</v>
      </c>
      <c r="H232" s="85" t="n">
        <v>800</v>
      </c>
      <c r="I232" s="85"/>
      <c r="J232" s="85" t="n">
        <v>800</v>
      </c>
      <c r="K232" s="85" t="n">
        <v>800</v>
      </c>
      <c r="O232" s="134" t="n">
        <v>249</v>
      </c>
      <c r="P232" s="135"/>
      <c r="Q232" s="136"/>
      <c r="R232" s="136"/>
      <c r="S232" s="136"/>
      <c r="T232" s="136"/>
      <c r="U232" s="137"/>
      <c r="V232" s="8" t="n">
        <f aca="false">COUNTA(P232:U232)</f>
        <v>0</v>
      </c>
    </row>
    <row collapsed="false" customFormat="false" customHeight="false" hidden="false" ht="15" outlineLevel="0" r="233">
      <c r="C233" s="19" t="n">
        <v>224</v>
      </c>
      <c r="D233" s="24" t="n">
        <v>233</v>
      </c>
      <c r="E233" s="24" t="n">
        <v>800</v>
      </c>
      <c r="F233" s="85"/>
      <c r="G233" s="85"/>
      <c r="H233" s="85"/>
      <c r="I233" s="85"/>
      <c r="J233" s="85"/>
      <c r="K233" s="85"/>
      <c r="O233" s="134" t="n">
        <v>250</v>
      </c>
      <c r="P233" s="135"/>
      <c r="Q233" s="136"/>
      <c r="R233" s="138" t="n">
        <v>1</v>
      </c>
      <c r="S233" s="138" t="n">
        <v>1</v>
      </c>
      <c r="T233" s="138" t="n">
        <v>1</v>
      </c>
      <c r="U233" s="137"/>
      <c r="V233" s="8" t="n">
        <f aca="false">COUNTA(P233:U233)</f>
        <v>3</v>
      </c>
    </row>
    <row collapsed="false" customFormat="false" customHeight="false" hidden="false" ht="15" outlineLevel="0" r="234">
      <c r="C234" s="19" t="n">
        <v>134</v>
      </c>
      <c r="D234" s="24" t="n">
        <v>141</v>
      </c>
      <c r="E234" s="24" t="n">
        <v>800</v>
      </c>
      <c r="F234" s="85" t="n">
        <v>12000</v>
      </c>
      <c r="G234" s="85" t="n">
        <v>4800</v>
      </c>
      <c r="H234" s="85"/>
      <c r="I234" s="85"/>
      <c r="J234" s="85"/>
      <c r="K234" s="85"/>
      <c r="O234" s="134" t="n">
        <v>251</v>
      </c>
      <c r="P234" s="135"/>
      <c r="Q234" s="136"/>
      <c r="R234" s="136"/>
      <c r="S234" s="136"/>
      <c r="T234" s="136"/>
      <c r="U234" s="137"/>
      <c r="V234" s="8" t="n">
        <f aca="false">COUNTA(P234:U234)</f>
        <v>0</v>
      </c>
    </row>
    <row collapsed="false" customFormat="false" customHeight="false" hidden="false" ht="15" outlineLevel="0" r="235">
      <c r="C235" s="19" t="n">
        <v>267</v>
      </c>
      <c r="D235" s="24" t="n">
        <v>280</v>
      </c>
      <c r="E235" s="24" t="n">
        <v>800</v>
      </c>
      <c r="F235" s="85"/>
      <c r="G235" s="85" t="n">
        <v>4000</v>
      </c>
      <c r="H235" s="85" t="n">
        <v>2000</v>
      </c>
      <c r="I235" s="85" t="n">
        <v>2000</v>
      </c>
      <c r="J235" s="85"/>
      <c r="K235" s="85"/>
      <c r="O235" s="134" t="n">
        <v>252</v>
      </c>
      <c r="P235" s="135"/>
      <c r="Q235" s="138" t="n">
        <v>1</v>
      </c>
      <c r="R235" s="138" t="n">
        <v>1</v>
      </c>
      <c r="S235" s="136"/>
      <c r="T235" s="138" t="n">
        <v>1</v>
      </c>
      <c r="U235" s="137"/>
      <c r="V235" s="8" t="n">
        <f aca="false">COUNTA(P235:U235)</f>
        <v>3</v>
      </c>
    </row>
    <row collapsed="false" customFormat="false" customHeight="false" hidden="false" ht="15" outlineLevel="0" r="236">
      <c r="C236" s="19" t="n">
        <v>258</v>
      </c>
      <c r="D236" s="24" t="n">
        <v>271</v>
      </c>
      <c r="E236" s="24" t="n">
        <v>800</v>
      </c>
      <c r="F236" s="85"/>
      <c r="G236" s="85"/>
      <c r="H236" s="85"/>
      <c r="I236" s="85"/>
      <c r="J236" s="85"/>
      <c r="K236" s="85" t="n">
        <v>4800</v>
      </c>
      <c r="O236" s="134" t="n">
        <v>254</v>
      </c>
      <c r="P236" s="135"/>
      <c r="Q236" s="136"/>
      <c r="R236" s="136"/>
      <c r="S236" s="136"/>
      <c r="T236" s="136"/>
      <c r="U236" s="137"/>
      <c r="V236" s="8" t="n">
        <f aca="false">COUNTA(P236:U236)</f>
        <v>0</v>
      </c>
    </row>
    <row collapsed="false" customFormat="false" customHeight="false" hidden="false" ht="15" outlineLevel="0" r="237">
      <c r="C237" s="19" t="n">
        <v>299</v>
      </c>
      <c r="D237" s="24" t="n">
        <v>314</v>
      </c>
      <c r="E237" s="24" t="n">
        <v>800</v>
      </c>
      <c r="F237" s="85"/>
      <c r="G237" s="85"/>
      <c r="H237" s="85"/>
      <c r="I237" s="85"/>
      <c r="J237" s="85"/>
      <c r="K237" s="85"/>
      <c r="O237" s="134" t="n">
        <v>255</v>
      </c>
      <c r="P237" s="135"/>
      <c r="Q237" s="136"/>
      <c r="R237" s="138" t="n">
        <v>1</v>
      </c>
      <c r="S237" s="136"/>
      <c r="T237" s="138" t="n">
        <v>1</v>
      </c>
      <c r="U237" s="137"/>
      <c r="V237" s="8" t="n">
        <f aca="false">COUNTA(P237:U237)</f>
        <v>2</v>
      </c>
    </row>
    <row collapsed="false" customFormat="false" customHeight="false" hidden="false" ht="15" outlineLevel="0" r="238">
      <c r="C238" s="19" t="n">
        <v>210</v>
      </c>
      <c r="D238" s="24" t="n">
        <v>219</v>
      </c>
      <c r="E238" s="24" t="n">
        <v>800</v>
      </c>
      <c r="F238" s="85"/>
      <c r="G238" s="85"/>
      <c r="H238" s="85"/>
      <c r="I238" s="85"/>
      <c r="J238" s="85"/>
      <c r="K238" s="85"/>
      <c r="O238" s="134" t="n">
        <v>256</v>
      </c>
      <c r="P238" s="135"/>
      <c r="Q238" s="136"/>
      <c r="R238" s="136"/>
      <c r="S238" s="136"/>
      <c r="T238" s="136"/>
      <c r="U238" s="137"/>
      <c r="V238" s="8" t="n">
        <f aca="false">COUNTA(P238:U238)</f>
        <v>0</v>
      </c>
    </row>
    <row collapsed="false" customFormat="false" customHeight="false" hidden="false" ht="15" outlineLevel="0" r="239">
      <c r="C239" s="19" t="n">
        <v>239</v>
      </c>
      <c r="D239" s="24" t="n">
        <v>250</v>
      </c>
      <c r="E239" s="24" t="n">
        <v>800</v>
      </c>
      <c r="F239" s="85"/>
      <c r="G239" s="85"/>
      <c r="H239" s="85"/>
      <c r="I239" s="85"/>
      <c r="J239" s="85"/>
      <c r="K239" s="85"/>
      <c r="O239" s="134" t="n">
        <v>257</v>
      </c>
      <c r="P239" s="135"/>
      <c r="Q239" s="136"/>
      <c r="R239" s="136"/>
      <c r="S239" s="136"/>
      <c r="T239" s="136"/>
      <c r="U239" s="137"/>
      <c r="V239" s="8" t="n">
        <f aca="false">COUNTA(P239:U239)</f>
        <v>0</v>
      </c>
    </row>
    <row collapsed="false" customFormat="false" customHeight="false" hidden="false" ht="15" outlineLevel="0" r="240">
      <c r="C240" s="19" t="n">
        <v>238</v>
      </c>
      <c r="D240" s="24" t="n">
        <v>249</v>
      </c>
      <c r="E240" s="24" t="n">
        <v>800</v>
      </c>
      <c r="F240" s="85"/>
      <c r="G240" s="85"/>
      <c r="H240" s="85"/>
      <c r="I240" s="85"/>
      <c r="J240" s="85"/>
      <c r="K240" s="85"/>
      <c r="O240" s="134" t="n">
        <v>258</v>
      </c>
      <c r="P240" s="135"/>
      <c r="Q240" s="136"/>
      <c r="R240" s="136"/>
      <c r="S240" s="136"/>
      <c r="T240" s="136"/>
      <c r="U240" s="139" t="n">
        <v>1</v>
      </c>
      <c r="V240" s="8" t="n">
        <f aca="false">COUNTA(P240:U240)</f>
        <v>1</v>
      </c>
    </row>
    <row collapsed="false" customFormat="false" customHeight="false" hidden="false" ht="15" outlineLevel="0" r="241">
      <c r="C241" s="19" t="n">
        <v>297</v>
      </c>
      <c r="D241" s="24" t="n">
        <v>312</v>
      </c>
      <c r="E241" s="24" t="n">
        <v>800</v>
      </c>
      <c r="F241" s="85"/>
      <c r="G241" s="85"/>
      <c r="H241" s="85"/>
      <c r="I241" s="85"/>
      <c r="J241" s="85"/>
      <c r="K241" s="85"/>
      <c r="O241" s="134" t="n">
        <v>259</v>
      </c>
      <c r="P241" s="135"/>
      <c r="Q241" s="136"/>
      <c r="R241" s="136"/>
      <c r="S241" s="136"/>
      <c r="T241" s="136"/>
      <c r="U241" s="137"/>
      <c r="V241" s="8" t="n">
        <f aca="false">COUNTA(P241:U241)</f>
        <v>0</v>
      </c>
    </row>
    <row collapsed="false" customFormat="false" customHeight="false" hidden="false" ht="15" outlineLevel="0" r="242">
      <c r="C242" s="19" t="n">
        <v>128</v>
      </c>
      <c r="D242" s="24" t="n">
        <v>135</v>
      </c>
      <c r="E242" s="24" t="n">
        <v>800</v>
      </c>
      <c r="F242" s="85" t="n">
        <v>4000</v>
      </c>
      <c r="G242" s="85"/>
      <c r="H242" s="85"/>
      <c r="I242" s="85"/>
      <c r="J242" s="85"/>
      <c r="K242" s="85"/>
      <c r="O242" s="134" t="n">
        <v>260</v>
      </c>
      <c r="P242" s="135"/>
      <c r="Q242" s="138" t="n">
        <v>1</v>
      </c>
      <c r="R242" s="136"/>
      <c r="S242" s="136"/>
      <c r="T242" s="138" t="n">
        <v>1</v>
      </c>
      <c r="U242" s="139" t="n">
        <v>1</v>
      </c>
      <c r="V242" s="8" t="n">
        <f aca="false">COUNTA(P242:U242)</f>
        <v>3</v>
      </c>
    </row>
    <row collapsed="false" customFormat="false" customHeight="false" hidden="false" ht="15" outlineLevel="0" r="243">
      <c r="C243" s="19" t="n">
        <v>67</v>
      </c>
      <c r="D243" s="24" t="n">
        <v>69</v>
      </c>
      <c r="E243" s="24" t="n">
        <v>800</v>
      </c>
      <c r="F243" s="85"/>
      <c r="G243" s="85"/>
      <c r="H243" s="85"/>
      <c r="I243" s="85"/>
      <c r="J243" s="85"/>
      <c r="K243" s="85"/>
      <c r="O243" s="134" t="n">
        <v>261</v>
      </c>
      <c r="P243" s="140" t="n">
        <v>1</v>
      </c>
      <c r="Q243" s="136"/>
      <c r="R243" s="136"/>
      <c r="S243" s="138" t="n">
        <v>1</v>
      </c>
      <c r="T243" s="136"/>
      <c r="U243" s="137"/>
      <c r="V243" s="8" t="n">
        <f aca="false">COUNTA(P243:U243)</f>
        <v>2</v>
      </c>
    </row>
    <row collapsed="false" customFormat="false" customHeight="false" hidden="false" ht="15" outlineLevel="0" r="244">
      <c r="C244" s="19" t="n">
        <v>278</v>
      </c>
      <c r="D244" s="24" t="n">
        <v>290</v>
      </c>
      <c r="E244" s="24" t="n">
        <v>800</v>
      </c>
      <c r="F244" s="85"/>
      <c r="G244" s="85"/>
      <c r="H244" s="85"/>
      <c r="I244" s="85"/>
      <c r="J244" s="85"/>
      <c r="K244" s="85"/>
      <c r="O244" s="134" t="n">
        <v>263</v>
      </c>
      <c r="P244" s="135"/>
      <c r="Q244" s="138" t="n">
        <v>1</v>
      </c>
      <c r="R244" s="138" t="n">
        <v>1</v>
      </c>
      <c r="S244" s="136"/>
      <c r="T244" s="136"/>
      <c r="U244" s="137"/>
      <c r="V244" s="8" t="n">
        <f aca="false">COUNTA(P244:U244)</f>
        <v>2</v>
      </c>
    </row>
    <row collapsed="false" customFormat="false" customHeight="false" hidden="false" ht="15" outlineLevel="0" r="245">
      <c r="C245" s="19" t="n">
        <v>280</v>
      </c>
      <c r="D245" s="24" t="n">
        <v>292</v>
      </c>
      <c r="E245" s="24" t="n">
        <v>800</v>
      </c>
      <c r="F245" s="85"/>
      <c r="G245" s="85"/>
      <c r="H245" s="85"/>
      <c r="I245" s="85"/>
      <c r="J245" s="85"/>
      <c r="K245" s="85"/>
      <c r="O245" s="134" t="n">
        <v>264</v>
      </c>
      <c r="P245" s="140" t="n">
        <v>1</v>
      </c>
      <c r="Q245" s="136"/>
      <c r="R245" s="138" t="n">
        <v>1</v>
      </c>
      <c r="S245" s="136"/>
      <c r="T245" s="136"/>
      <c r="U245" s="137"/>
      <c r="V245" s="8" t="n">
        <f aca="false">COUNTA(P245:U245)</f>
        <v>2</v>
      </c>
    </row>
    <row collapsed="false" customFormat="false" customHeight="false" hidden="false" ht="15" outlineLevel="0" r="246">
      <c r="C246" s="19" t="n">
        <v>215</v>
      </c>
      <c r="D246" s="24" t="n">
        <v>224</v>
      </c>
      <c r="E246" s="24" t="n">
        <v>800</v>
      </c>
      <c r="F246" s="85"/>
      <c r="G246" s="85" t="n">
        <v>7000</v>
      </c>
      <c r="H246" s="85"/>
      <c r="I246" s="85"/>
      <c r="J246" s="85"/>
      <c r="K246" s="85"/>
      <c r="O246" s="134" t="n">
        <v>265</v>
      </c>
      <c r="P246" s="135"/>
      <c r="Q246" s="136"/>
      <c r="R246" s="138" t="n">
        <v>1</v>
      </c>
      <c r="S246" s="136"/>
      <c r="T246" s="136"/>
      <c r="U246" s="137"/>
      <c r="V246" s="8" t="n">
        <f aca="false">COUNTA(P246:U246)</f>
        <v>1</v>
      </c>
    </row>
    <row collapsed="false" customFormat="false" customHeight="false" hidden="false" ht="15" outlineLevel="0" r="247">
      <c r="C247" s="19" t="n">
        <v>241</v>
      </c>
      <c r="D247" s="24" t="n">
        <v>252</v>
      </c>
      <c r="E247" s="24" t="n">
        <v>800</v>
      </c>
      <c r="F247" s="85" t="n">
        <v>3000</v>
      </c>
      <c r="G247" s="85" t="n">
        <v>800</v>
      </c>
      <c r="H247" s="85" t="n">
        <v>800</v>
      </c>
      <c r="I247" s="85"/>
      <c r="J247" s="85"/>
      <c r="K247" s="85" t="n">
        <v>2400</v>
      </c>
      <c r="O247" s="134" t="n">
        <v>266</v>
      </c>
      <c r="P247" s="135"/>
      <c r="Q247" s="136"/>
      <c r="R247" s="136"/>
      <c r="S247" s="136"/>
      <c r="T247" s="136"/>
      <c r="U247" s="137"/>
      <c r="V247" s="8" t="n">
        <f aca="false">COUNTA(P247:U247)</f>
        <v>0</v>
      </c>
    </row>
    <row collapsed="false" customFormat="false" customHeight="false" hidden="false" ht="15" outlineLevel="0" r="248">
      <c r="C248" s="19" t="n">
        <v>161</v>
      </c>
      <c r="D248" s="24" t="n">
        <v>169</v>
      </c>
      <c r="E248" s="24" t="n">
        <v>800</v>
      </c>
      <c r="F248" s="85"/>
      <c r="G248" s="85"/>
      <c r="H248" s="85"/>
      <c r="I248" s="85"/>
      <c r="J248" s="85"/>
      <c r="K248" s="85"/>
      <c r="O248" s="134" t="n">
        <v>267</v>
      </c>
      <c r="P248" s="135"/>
      <c r="Q248" s="138" t="n">
        <v>1</v>
      </c>
      <c r="R248" s="138" t="n">
        <v>1</v>
      </c>
      <c r="S248" s="138" t="n">
        <v>1</v>
      </c>
      <c r="T248" s="136"/>
      <c r="U248" s="137"/>
      <c r="V248" s="8" t="n">
        <f aca="false">COUNTA(P248:U248)</f>
        <v>3</v>
      </c>
    </row>
    <row collapsed="false" customFormat="false" customHeight="false" hidden="false" ht="15" outlineLevel="0" r="249">
      <c r="C249" s="19" t="n">
        <v>272</v>
      </c>
      <c r="D249" s="24" t="n">
        <v>285</v>
      </c>
      <c r="E249" s="24" t="n">
        <v>800</v>
      </c>
      <c r="F249" s="85"/>
      <c r="G249" s="85"/>
      <c r="H249" s="85"/>
      <c r="I249" s="85"/>
      <c r="J249" s="85"/>
      <c r="K249" s="85"/>
      <c r="O249" s="134" t="n">
        <v>268</v>
      </c>
      <c r="P249" s="140" t="n">
        <v>1</v>
      </c>
      <c r="Q249" s="136"/>
      <c r="R249" s="136"/>
      <c r="S249" s="138" t="n">
        <v>1</v>
      </c>
      <c r="T249" s="136"/>
      <c r="U249" s="139" t="n">
        <v>1</v>
      </c>
      <c r="V249" s="8" t="n">
        <f aca="false">COUNTA(P249:U249)</f>
        <v>3</v>
      </c>
    </row>
    <row collapsed="false" customFormat="false" customHeight="false" hidden="false" ht="15" outlineLevel="0" r="250">
      <c r="C250" s="19" t="n">
        <v>19</v>
      </c>
      <c r="D250" s="24" t="n">
        <v>19</v>
      </c>
      <c r="E250" s="24" t="n">
        <v>800</v>
      </c>
      <c r="F250" s="85"/>
      <c r="G250" s="85"/>
      <c r="H250" s="85"/>
      <c r="I250" s="85"/>
      <c r="J250" s="85"/>
      <c r="K250" s="85" t="n">
        <v>4000</v>
      </c>
      <c r="O250" s="134" t="n">
        <v>269</v>
      </c>
      <c r="P250" s="135"/>
      <c r="Q250" s="136"/>
      <c r="R250" s="136"/>
      <c r="S250" s="136"/>
      <c r="T250" s="136"/>
      <c r="U250" s="137"/>
      <c r="V250" s="8" t="n">
        <f aca="false">COUNTA(P250:U250)</f>
        <v>0</v>
      </c>
    </row>
    <row collapsed="false" customFormat="false" customHeight="false" hidden="false" ht="15" outlineLevel="0" r="251">
      <c r="C251" s="19" t="n">
        <v>310</v>
      </c>
      <c r="D251" s="24" t="s">
        <v>610</v>
      </c>
      <c r="E251" s="24" t="n">
        <v>800</v>
      </c>
      <c r="F251" s="85" t="n">
        <v>5000</v>
      </c>
      <c r="G251" s="85"/>
      <c r="H251" s="85" t="n">
        <v>5000</v>
      </c>
      <c r="I251" s="85" t="n">
        <v>4950</v>
      </c>
      <c r="J251" s="85" t="n">
        <v>5000</v>
      </c>
      <c r="K251" s="85"/>
      <c r="O251" s="134" t="n">
        <v>270</v>
      </c>
      <c r="P251" s="135"/>
      <c r="Q251" s="136"/>
      <c r="R251" s="136"/>
      <c r="S251" s="136"/>
      <c r="T251" s="136"/>
      <c r="U251" s="137"/>
      <c r="V251" s="8" t="n">
        <f aca="false">COUNTA(P251:U251)</f>
        <v>0</v>
      </c>
    </row>
    <row collapsed="false" customFormat="false" customHeight="false" hidden="false" ht="15" outlineLevel="0" r="252">
      <c r="C252" s="19" t="n">
        <v>205</v>
      </c>
      <c r="D252" s="24" t="n">
        <v>215</v>
      </c>
      <c r="E252" s="24" t="n">
        <v>800</v>
      </c>
      <c r="F252" s="85"/>
      <c r="G252" s="85"/>
      <c r="H252" s="85"/>
      <c r="I252" s="85"/>
      <c r="J252" s="85"/>
      <c r="K252" s="85"/>
      <c r="O252" s="134" t="n">
        <v>271</v>
      </c>
      <c r="P252" s="135"/>
      <c r="Q252" s="136"/>
      <c r="R252" s="136"/>
      <c r="S252" s="136"/>
      <c r="T252" s="136"/>
      <c r="U252" s="139" t="n">
        <v>1</v>
      </c>
      <c r="V252" s="8" t="n">
        <f aca="false">COUNTA(P252:U252)</f>
        <v>1</v>
      </c>
    </row>
    <row collapsed="false" customFormat="false" customHeight="false" hidden="false" ht="15" outlineLevel="0" r="253">
      <c r="C253" s="19" t="n">
        <v>107</v>
      </c>
      <c r="D253" s="24" t="n">
        <v>112</v>
      </c>
      <c r="E253" s="24" t="n">
        <v>800</v>
      </c>
      <c r="F253" s="85"/>
      <c r="G253" s="85" t="n">
        <v>2000</v>
      </c>
      <c r="H253" s="85" t="n">
        <v>3600</v>
      </c>
      <c r="I253" s="85" t="n">
        <v>1600</v>
      </c>
      <c r="J253" s="85"/>
      <c r="K253" s="85" t="n">
        <v>800</v>
      </c>
      <c r="O253" s="134" t="n">
        <v>272</v>
      </c>
      <c r="P253" s="135"/>
      <c r="Q253" s="136"/>
      <c r="R253" s="136"/>
      <c r="S253" s="136"/>
      <c r="T253" s="136"/>
      <c r="U253" s="137"/>
      <c r="V253" s="8" t="n">
        <f aca="false">COUNTA(P253:U253)</f>
        <v>0</v>
      </c>
    </row>
    <row collapsed="false" customFormat="false" customHeight="false" hidden="false" ht="15" outlineLevel="0" r="254">
      <c r="C254" s="19" t="n">
        <v>48</v>
      </c>
      <c r="D254" s="24" t="n">
        <v>48</v>
      </c>
      <c r="E254" s="24" t="n">
        <v>800</v>
      </c>
      <c r="F254" s="85"/>
      <c r="G254" s="85"/>
      <c r="H254" s="85"/>
      <c r="I254" s="85"/>
      <c r="J254" s="85"/>
      <c r="K254" s="85"/>
      <c r="O254" s="134" t="n">
        <v>273</v>
      </c>
      <c r="P254" s="135"/>
      <c r="Q254" s="136"/>
      <c r="R254" s="136"/>
      <c r="S254" s="136"/>
      <c r="T254" s="136"/>
      <c r="U254" s="139" t="n">
        <v>1</v>
      </c>
      <c r="V254" s="8" t="n">
        <f aca="false">COUNTA(P254:U254)</f>
        <v>1</v>
      </c>
    </row>
    <row collapsed="false" customFormat="false" customHeight="false" hidden="false" ht="15" outlineLevel="0" r="255">
      <c r="C255" s="19" t="n">
        <v>237</v>
      </c>
      <c r="D255" s="24" t="n">
        <v>248</v>
      </c>
      <c r="E255" s="24" t="n">
        <v>800</v>
      </c>
      <c r="F255" s="85" t="n">
        <v>31000</v>
      </c>
      <c r="G255" s="85"/>
      <c r="H255" s="85" t="n">
        <v>2000</v>
      </c>
      <c r="I255" s="85"/>
      <c r="J255" s="85"/>
      <c r="K255" s="85"/>
      <c r="O255" s="134" t="n">
        <v>274</v>
      </c>
      <c r="P255" s="135"/>
      <c r="Q255" s="136"/>
      <c r="R255" s="138" t="n">
        <v>1</v>
      </c>
      <c r="S255" s="136"/>
      <c r="T255" s="136"/>
      <c r="U255" s="139" t="n">
        <v>1</v>
      </c>
      <c r="V255" s="8" t="n">
        <f aca="false">COUNTA(P255:U255)</f>
        <v>2</v>
      </c>
    </row>
    <row collapsed="false" customFormat="false" customHeight="false" hidden="false" ht="15" outlineLevel="0" r="256">
      <c r="C256" s="19" t="n">
        <v>263</v>
      </c>
      <c r="D256" s="24" t="n">
        <v>276</v>
      </c>
      <c r="E256" s="24" t="n">
        <v>800</v>
      </c>
      <c r="F256" s="85"/>
      <c r="G256" s="85" t="n">
        <v>2600</v>
      </c>
      <c r="H256" s="85" t="n">
        <v>800</v>
      </c>
      <c r="I256" s="85"/>
      <c r="J256" s="85"/>
      <c r="K256" s="85"/>
      <c r="O256" s="134" t="n">
        <v>275</v>
      </c>
      <c r="P256" s="135"/>
      <c r="Q256" s="136"/>
      <c r="R256" s="136"/>
      <c r="S256" s="136"/>
      <c r="T256" s="136"/>
      <c r="U256" s="139" t="n">
        <v>1</v>
      </c>
      <c r="V256" s="8" t="n">
        <f aca="false">COUNTA(P256:U256)</f>
        <v>1</v>
      </c>
    </row>
    <row collapsed="false" customFormat="false" customHeight="false" hidden="false" ht="15" outlineLevel="0" r="257">
      <c r="C257" s="19" t="n">
        <v>100</v>
      </c>
      <c r="D257" s="24" t="n">
        <v>105</v>
      </c>
      <c r="E257" s="24" t="n">
        <v>800</v>
      </c>
      <c r="F257" s="85" t="n">
        <v>5050.3</v>
      </c>
      <c r="G257" s="85"/>
      <c r="H257" s="85"/>
      <c r="I257" s="85"/>
      <c r="J257" s="85"/>
      <c r="K257" s="85"/>
      <c r="O257" s="134" t="n">
        <v>276</v>
      </c>
      <c r="P257" s="135"/>
      <c r="Q257" s="136"/>
      <c r="R257" s="136"/>
      <c r="S257" s="136"/>
      <c r="T257" s="136"/>
      <c r="U257" s="139" t="n">
        <v>1</v>
      </c>
      <c r="V257" s="8" t="n">
        <f aca="false">COUNTA(P257:U257)</f>
        <v>1</v>
      </c>
    </row>
    <row collapsed="false" customFormat="false" customHeight="false" hidden="false" ht="15" outlineLevel="0" r="258">
      <c r="C258" s="19" t="n">
        <v>131</v>
      </c>
      <c r="D258" s="24" t="n">
        <v>138</v>
      </c>
      <c r="E258" s="24" t="n">
        <v>800</v>
      </c>
      <c r="F258" s="85"/>
      <c r="G258" s="85"/>
      <c r="H258" s="85"/>
      <c r="I258" s="85" t="n">
        <v>14400</v>
      </c>
      <c r="J258" s="85"/>
      <c r="K258" s="85"/>
      <c r="O258" s="134" t="n">
        <v>277</v>
      </c>
      <c r="P258" s="135"/>
      <c r="Q258" s="136"/>
      <c r="R258" s="136"/>
      <c r="S258" s="136"/>
      <c r="T258" s="136"/>
      <c r="U258" s="137"/>
      <c r="V258" s="8" t="n">
        <f aca="false">COUNTA(P258:U258)</f>
        <v>0</v>
      </c>
    </row>
    <row collapsed="false" customFormat="false" customHeight="false" hidden="false" ht="15" outlineLevel="0" r="259">
      <c r="C259" s="19" t="n">
        <v>183</v>
      </c>
      <c r="D259" s="24" t="n">
        <v>191</v>
      </c>
      <c r="E259" s="24" t="n">
        <v>800</v>
      </c>
      <c r="F259" s="85" t="n">
        <v>20000</v>
      </c>
      <c r="G259" s="85"/>
      <c r="H259" s="85"/>
      <c r="I259" s="85"/>
      <c r="J259" s="85"/>
      <c r="K259" s="85"/>
      <c r="O259" s="134" t="n">
        <v>278</v>
      </c>
      <c r="P259" s="135"/>
      <c r="Q259" s="136"/>
      <c r="R259" s="136"/>
      <c r="S259" s="136"/>
      <c r="T259" s="136"/>
      <c r="U259" s="137"/>
      <c r="V259" s="8" t="n">
        <f aca="false">COUNTA(P259:U259)</f>
        <v>0</v>
      </c>
    </row>
    <row collapsed="false" customFormat="false" customHeight="false" hidden="false" ht="15" outlineLevel="0" r="260">
      <c r="C260" s="19" t="n">
        <v>183</v>
      </c>
      <c r="D260" s="24" t="n">
        <v>192</v>
      </c>
      <c r="E260" s="24"/>
      <c r="F260" s="85"/>
      <c r="G260" s="85"/>
      <c r="H260" s="85"/>
      <c r="I260" s="85"/>
      <c r="J260" s="85"/>
      <c r="K260" s="85"/>
      <c r="O260" s="134" t="n">
        <v>279</v>
      </c>
      <c r="P260" s="135"/>
      <c r="Q260" s="136"/>
      <c r="R260" s="136"/>
      <c r="S260" s="136"/>
      <c r="T260" s="136"/>
      <c r="U260" s="137"/>
      <c r="V260" s="8" t="n">
        <f aca="false">COUNTA(P260:U260)</f>
        <v>0</v>
      </c>
    </row>
    <row collapsed="false" customFormat="false" customHeight="false" hidden="false" ht="15" outlineLevel="0" r="261">
      <c r="C261" s="19" t="n">
        <v>21</v>
      </c>
      <c r="D261" s="24" t="n">
        <v>21</v>
      </c>
      <c r="E261" s="24" t="n">
        <v>800</v>
      </c>
      <c r="F261" s="85"/>
      <c r="G261" s="85"/>
      <c r="H261" s="85"/>
      <c r="I261" s="85"/>
      <c r="J261" s="85"/>
      <c r="K261" s="85"/>
      <c r="O261" s="134" t="n">
        <v>280</v>
      </c>
      <c r="P261" s="135"/>
      <c r="Q261" s="136"/>
      <c r="R261" s="136"/>
      <c r="S261" s="136"/>
      <c r="T261" s="136"/>
      <c r="U261" s="137"/>
      <c r="V261" s="8" t="n">
        <f aca="false">COUNTA(P261:U261)</f>
        <v>0</v>
      </c>
    </row>
    <row collapsed="false" customFormat="false" customHeight="false" hidden="false" ht="15" outlineLevel="0" r="262">
      <c r="C262" s="19" t="n">
        <v>298</v>
      </c>
      <c r="D262" s="24" t="n">
        <v>313</v>
      </c>
      <c r="E262" s="24" t="n">
        <v>800</v>
      </c>
      <c r="F262" s="85"/>
      <c r="G262" s="85" t="n">
        <v>4800</v>
      </c>
      <c r="H262" s="85"/>
      <c r="I262" s="85"/>
      <c r="J262" s="85"/>
      <c r="K262" s="85"/>
      <c r="O262" s="134" t="n">
        <v>281</v>
      </c>
      <c r="P262" s="135"/>
      <c r="Q262" s="136"/>
      <c r="R262" s="136"/>
      <c r="S262" s="136"/>
      <c r="T262" s="136"/>
      <c r="U262" s="137"/>
      <c r="V262" s="8" t="n">
        <f aca="false">COUNTA(P262:U262)</f>
        <v>0</v>
      </c>
    </row>
    <row collapsed="false" customFormat="false" customHeight="false" hidden="false" ht="15" outlineLevel="0" r="263">
      <c r="C263" s="19" t="n">
        <v>91</v>
      </c>
      <c r="D263" s="24" t="n">
        <v>96</v>
      </c>
      <c r="E263" s="24" t="n">
        <v>800</v>
      </c>
      <c r="F263" s="85"/>
      <c r="G263" s="85"/>
      <c r="H263" s="85"/>
      <c r="I263" s="85"/>
      <c r="J263" s="85"/>
      <c r="K263" s="85"/>
      <c r="O263" s="134" t="n">
        <v>282</v>
      </c>
      <c r="P263" s="135"/>
      <c r="Q263" s="136"/>
      <c r="R263" s="136"/>
      <c r="S263" s="136"/>
      <c r="T263" s="136"/>
      <c r="U263" s="137"/>
      <c r="V263" s="8" t="n">
        <f aca="false">COUNTA(P263:U263)</f>
        <v>0</v>
      </c>
    </row>
    <row collapsed="false" customFormat="false" customHeight="false" hidden="false" ht="15" outlineLevel="0" r="264">
      <c r="C264" s="19" t="n">
        <v>54</v>
      </c>
      <c r="D264" s="24" t="n">
        <v>56</v>
      </c>
      <c r="E264" s="24" t="n">
        <v>800</v>
      </c>
      <c r="F264" s="85"/>
      <c r="G264" s="85"/>
      <c r="H264" s="85"/>
      <c r="I264" s="85"/>
      <c r="J264" s="85"/>
      <c r="K264" s="85"/>
      <c r="O264" s="134" t="n">
        <v>284</v>
      </c>
      <c r="P264" s="135"/>
      <c r="Q264" s="136"/>
      <c r="R264" s="138" t="n">
        <v>1</v>
      </c>
      <c r="S264" s="136"/>
      <c r="T264" s="136"/>
      <c r="U264" s="137"/>
      <c r="V264" s="8" t="n">
        <f aca="false">COUNTA(P264:U264)</f>
        <v>1</v>
      </c>
    </row>
    <row collapsed="false" customFormat="false" customHeight="false" hidden="false" ht="15" outlineLevel="0" r="265">
      <c r="C265" s="19" t="n">
        <v>317</v>
      </c>
      <c r="D265" s="24" t="s">
        <v>624</v>
      </c>
      <c r="E265" s="24" t="n">
        <v>800</v>
      </c>
      <c r="F265" s="85"/>
      <c r="G265" s="85"/>
      <c r="H265" s="85"/>
      <c r="I265" s="85"/>
      <c r="J265" s="85"/>
      <c r="K265" s="85"/>
      <c r="O265" s="134" t="n">
        <v>285</v>
      </c>
      <c r="P265" s="135"/>
      <c r="Q265" s="138" t="n">
        <v>1</v>
      </c>
      <c r="R265" s="136"/>
      <c r="S265" s="136"/>
      <c r="T265" s="136"/>
      <c r="U265" s="139" t="n">
        <v>1</v>
      </c>
      <c r="V265" s="8" t="n">
        <f aca="false">COUNTA(P265:U265)</f>
        <v>2</v>
      </c>
    </row>
    <row collapsed="false" customFormat="false" customHeight="false" hidden="false" ht="15" outlineLevel="0" r="266">
      <c r="C266" s="19" t="n">
        <v>268</v>
      </c>
      <c r="D266" s="24" t="n">
        <v>281</v>
      </c>
      <c r="E266" s="24" t="n">
        <v>800</v>
      </c>
      <c r="F266" s="85" t="n">
        <v>3000</v>
      </c>
      <c r="G266" s="85"/>
      <c r="H266" s="85"/>
      <c r="I266" s="85" t="n">
        <v>3000</v>
      </c>
      <c r="J266" s="85"/>
      <c r="K266" s="85" t="n">
        <v>3000</v>
      </c>
      <c r="O266" s="134" t="n">
        <v>286</v>
      </c>
      <c r="P266" s="135"/>
      <c r="Q266" s="138" t="n">
        <v>1</v>
      </c>
      <c r="R266" s="136"/>
      <c r="S266" s="136"/>
      <c r="T266" s="136"/>
      <c r="U266" s="139" t="n">
        <v>1</v>
      </c>
      <c r="V266" s="8" t="n">
        <f aca="false">COUNTA(P266:U266)</f>
        <v>2</v>
      </c>
    </row>
    <row collapsed="false" customFormat="false" customHeight="false" hidden="false" ht="15" outlineLevel="0" r="267">
      <c r="C267" s="19" t="n">
        <v>172</v>
      </c>
      <c r="D267" s="24" t="n">
        <v>180</v>
      </c>
      <c r="E267" s="24" t="n">
        <v>800</v>
      </c>
      <c r="F267" s="85"/>
      <c r="G267" s="85"/>
      <c r="H267" s="85"/>
      <c r="I267" s="85"/>
      <c r="J267" s="85"/>
      <c r="K267" s="85"/>
      <c r="O267" s="134" t="n">
        <v>287</v>
      </c>
      <c r="P267" s="135"/>
      <c r="Q267" s="136"/>
      <c r="R267" s="136"/>
      <c r="S267" s="136"/>
      <c r="T267" s="136"/>
      <c r="U267" s="137"/>
      <c r="V267" s="8" t="n">
        <f aca="false">COUNTA(P267:U267)</f>
        <v>0</v>
      </c>
    </row>
    <row collapsed="false" customFormat="false" customHeight="false" hidden="false" ht="15" outlineLevel="0" r="268">
      <c r="C268" s="19" t="n">
        <v>116</v>
      </c>
      <c r="D268" s="24" t="n">
        <v>121</v>
      </c>
      <c r="E268" s="24" t="n">
        <v>800</v>
      </c>
      <c r="F268" s="85"/>
      <c r="G268" s="85"/>
      <c r="H268" s="85" t="n">
        <v>10000</v>
      </c>
      <c r="I268" s="85"/>
      <c r="J268" s="85"/>
      <c r="K268" s="85"/>
      <c r="O268" s="134" t="n">
        <v>288</v>
      </c>
      <c r="P268" s="135"/>
      <c r="Q268" s="136"/>
      <c r="R268" s="136"/>
      <c r="S268" s="136"/>
      <c r="T268" s="136"/>
      <c r="U268" s="137"/>
      <c r="V268" s="8" t="n">
        <f aca="false">COUNTA(P268:U268)</f>
        <v>0</v>
      </c>
    </row>
    <row collapsed="false" customFormat="false" customHeight="false" hidden="false" ht="15" outlineLevel="0" r="269">
      <c r="C269" s="19" t="n">
        <v>57</v>
      </c>
      <c r="D269" s="24" t="n">
        <v>59</v>
      </c>
      <c r="E269" s="24" t="n">
        <v>800</v>
      </c>
      <c r="F269" s="85"/>
      <c r="G269" s="85"/>
      <c r="H269" s="85"/>
      <c r="I269" s="85"/>
      <c r="J269" s="85"/>
      <c r="K269" s="85"/>
      <c r="O269" s="134" t="n">
        <v>289</v>
      </c>
      <c r="P269" s="135"/>
      <c r="Q269" s="136"/>
      <c r="R269" s="136"/>
      <c r="S269" s="136"/>
      <c r="T269" s="136"/>
      <c r="U269" s="137"/>
      <c r="V269" s="8" t="n">
        <f aca="false">COUNTA(P269:U269)</f>
        <v>0</v>
      </c>
    </row>
    <row collapsed="false" customFormat="false" customHeight="false" hidden="false" ht="15" outlineLevel="0" r="270">
      <c r="C270" s="19" t="n">
        <v>46</v>
      </c>
      <c r="D270" s="24" t="n">
        <v>46</v>
      </c>
      <c r="E270" s="24" t="n">
        <v>800</v>
      </c>
      <c r="F270" s="85"/>
      <c r="G270" s="85"/>
      <c r="H270" s="85"/>
      <c r="I270" s="85"/>
      <c r="J270" s="85"/>
      <c r="K270" s="85"/>
      <c r="O270" s="134" t="n">
        <v>290</v>
      </c>
      <c r="P270" s="135"/>
      <c r="Q270" s="136"/>
      <c r="R270" s="136"/>
      <c r="S270" s="136"/>
      <c r="T270" s="138" t="n">
        <v>1</v>
      </c>
      <c r="U270" s="137"/>
      <c r="V270" s="8" t="n">
        <f aca="false">COUNTA(P270:U270)</f>
        <v>1</v>
      </c>
    </row>
    <row collapsed="false" customFormat="false" customHeight="false" hidden="false" ht="15" outlineLevel="0" r="271">
      <c r="C271" s="19" t="n">
        <v>73</v>
      </c>
      <c r="D271" s="24" t="n">
        <v>79</v>
      </c>
      <c r="E271" s="24" t="n">
        <v>800</v>
      </c>
      <c r="F271" s="85"/>
      <c r="G271" s="85"/>
      <c r="H271" s="85"/>
      <c r="I271" s="85"/>
      <c r="J271" s="85"/>
      <c r="K271" s="85"/>
      <c r="O271" s="134" t="n">
        <v>291</v>
      </c>
      <c r="P271" s="135"/>
      <c r="Q271" s="136"/>
      <c r="R271" s="136"/>
      <c r="S271" s="136"/>
      <c r="T271" s="136"/>
      <c r="U271" s="137"/>
      <c r="V271" s="8" t="n">
        <f aca="false">COUNTA(P271:U271)</f>
        <v>0</v>
      </c>
    </row>
    <row collapsed="false" customFormat="false" customHeight="false" hidden="false" ht="15" outlineLevel="0" r="272">
      <c r="C272" s="19" t="n">
        <v>162</v>
      </c>
      <c r="D272" s="24" t="n">
        <v>170</v>
      </c>
      <c r="E272" s="24" t="n">
        <v>800</v>
      </c>
      <c r="F272" s="85"/>
      <c r="G272" s="85"/>
      <c r="H272" s="85"/>
      <c r="I272" s="85"/>
      <c r="J272" s="85" t="n">
        <v>12000</v>
      </c>
      <c r="K272" s="85"/>
      <c r="O272" s="134" t="n">
        <v>292</v>
      </c>
      <c r="P272" s="135"/>
      <c r="Q272" s="136"/>
      <c r="R272" s="136"/>
      <c r="S272" s="136"/>
      <c r="T272" s="136"/>
      <c r="U272" s="137"/>
      <c r="V272" s="8" t="n">
        <f aca="false">COUNTA(P272:U272)</f>
        <v>0</v>
      </c>
    </row>
    <row collapsed="false" customFormat="false" customHeight="false" hidden="false" ht="15" outlineLevel="0" r="273">
      <c r="C273" s="19" t="n">
        <v>252</v>
      </c>
      <c r="D273" s="24" t="n">
        <v>263</v>
      </c>
      <c r="E273" s="24" t="n">
        <v>800</v>
      </c>
      <c r="F273" s="85"/>
      <c r="G273" s="85" t="n">
        <v>800</v>
      </c>
      <c r="H273" s="85" t="n">
        <v>1600</v>
      </c>
      <c r="I273" s="85"/>
      <c r="J273" s="85" t="n">
        <v>1600</v>
      </c>
      <c r="K273" s="85"/>
      <c r="O273" s="134" t="n">
        <v>293</v>
      </c>
      <c r="P273" s="135"/>
      <c r="Q273" s="136"/>
      <c r="R273" s="136"/>
      <c r="S273" s="136"/>
      <c r="T273" s="136"/>
      <c r="U273" s="137"/>
      <c r="V273" s="8" t="n">
        <f aca="false">COUNTA(P273:U273)</f>
        <v>0</v>
      </c>
    </row>
    <row collapsed="false" customFormat="false" customHeight="false" hidden="false" ht="15" outlineLevel="0" r="274">
      <c r="C274" s="19" t="n">
        <v>252</v>
      </c>
      <c r="D274" s="24" t="n">
        <v>264</v>
      </c>
      <c r="E274" s="24"/>
      <c r="F274" s="85"/>
      <c r="G274" s="85"/>
      <c r="H274" s="85"/>
      <c r="I274" s="85"/>
      <c r="J274" s="85"/>
      <c r="K274" s="85"/>
      <c r="O274" s="134" t="n">
        <v>294</v>
      </c>
      <c r="P274" s="140" t="n">
        <v>1</v>
      </c>
      <c r="Q274" s="136"/>
      <c r="R274" s="136"/>
      <c r="S274" s="136"/>
      <c r="T274" s="136"/>
      <c r="U274" s="137"/>
      <c r="V274" s="8" t="n">
        <f aca="false">COUNTA(P274:U274)</f>
        <v>1</v>
      </c>
    </row>
    <row collapsed="false" customFormat="false" customHeight="false" hidden="false" ht="15" outlineLevel="0" r="275">
      <c r="C275" s="19" t="n">
        <v>45</v>
      </c>
      <c r="D275" s="24" t="n">
        <v>45</v>
      </c>
      <c r="E275" s="24" t="n">
        <v>800</v>
      </c>
      <c r="F275" s="85" t="n">
        <v>800</v>
      </c>
      <c r="G275" s="85" t="n">
        <v>800</v>
      </c>
      <c r="H275" s="85" t="n">
        <v>800</v>
      </c>
      <c r="I275" s="85" t="n">
        <v>800</v>
      </c>
      <c r="J275" s="85" t="n">
        <v>800</v>
      </c>
      <c r="K275" s="85" t="n">
        <v>800</v>
      </c>
      <c r="O275" s="134" t="n">
        <v>295</v>
      </c>
      <c r="P275" s="135"/>
      <c r="Q275" s="136"/>
      <c r="R275" s="136"/>
      <c r="S275" s="136"/>
      <c r="T275" s="136"/>
      <c r="U275" s="137"/>
      <c r="V275" s="8" t="n">
        <f aca="false">COUNTA(P275:U275)</f>
        <v>0</v>
      </c>
    </row>
    <row collapsed="false" customFormat="false" customHeight="false" hidden="false" ht="15" outlineLevel="0" r="276">
      <c r="C276" s="19" t="n">
        <v>319</v>
      </c>
      <c r="D276" s="24" t="s">
        <v>637</v>
      </c>
      <c r="E276" s="24" t="n">
        <v>800</v>
      </c>
      <c r="F276" s="85"/>
      <c r="G276" s="85" t="n">
        <v>2000</v>
      </c>
      <c r="H276" s="85"/>
      <c r="I276" s="85" t="n">
        <v>4000</v>
      </c>
      <c r="J276" s="85" t="n">
        <v>4000</v>
      </c>
      <c r="K276" s="85"/>
      <c r="O276" s="134" t="n">
        <v>296</v>
      </c>
      <c r="P276" s="135"/>
      <c r="Q276" s="136"/>
      <c r="R276" s="136"/>
      <c r="S276" s="136"/>
      <c r="T276" s="136"/>
      <c r="U276" s="137"/>
      <c r="V276" s="8" t="n">
        <f aca="false">COUNTA(P276:U276)</f>
        <v>0</v>
      </c>
    </row>
    <row collapsed="false" customFormat="false" customHeight="false" hidden="false" ht="15" outlineLevel="0" r="277">
      <c r="C277" s="19" t="n">
        <v>93</v>
      </c>
      <c r="D277" s="24" t="n">
        <v>98</v>
      </c>
      <c r="E277" s="24" t="n">
        <v>800</v>
      </c>
      <c r="F277" s="85"/>
      <c r="G277" s="85"/>
      <c r="H277" s="85"/>
      <c r="I277" s="85"/>
      <c r="J277" s="85"/>
      <c r="K277" s="85"/>
      <c r="O277" s="134" t="n">
        <v>297</v>
      </c>
      <c r="P277" s="135"/>
      <c r="Q277" s="136"/>
      <c r="R277" s="136"/>
      <c r="S277" s="136"/>
      <c r="T277" s="136"/>
      <c r="U277" s="137"/>
      <c r="V277" s="8" t="n">
        <f aca="false">COUNTA(P277:U277)</f>
        <v>0</v>
      </c>
    </row>
    <row collapsed="false" customFormat="false" customHeight="false" hidden="false" ht="15" outlineLevel="0" r="278">
      <c r="C278" s="19" t="n">
        <v>255</v>
      </c>
      <c r="D278" s="24" t="n">
        <v>268</v>
      </c>
      <c r="E278" s="24" t="n">
        <v>800</v>
      </c>
      <c r="F278" s="85"/>
      <c r="G278" s="85"/>
      <c r="H278" s="85" t="n">
        <v>3200</v>
      </c>
      <c r="I278" s="85"/>
      <c r="J278" s="85" t="n">
        <v>3200</v>
      </c>
      <c r="K278" s="85"/>
      <c r="O278" s="134" t="n">
        <v>298</v>
      </c>
      <c r="P278" s="135"/>
      <c r="Q278" s="138" t="n">
        <v>1</v>
      </c>
      <c r="R278" s="136"/>
      <c r="S278" s="136"/>
      <c r="T278" s="136"/>
      <c r="U278" s="137"/>
      <c r="V278" s="8" t="n">
        <f aca="false">COUNTA(P278:U278)</f>
        <v>1</v>
      </c>
    </row>
    <row collapsed="false" customFormat="false" customHeight="false" hidden="false" ht="15" outlineLevel="0" r="279">
      <c r="C279" s="19" t="n">
        <v>167</v>
      </c>
      <c r="D279" s="24" t="n">
        <v>175</v>
      </c>
      <c r="E279" s="24" t="n">
        <v>800</v>
      </c>
      <c r="F279" s="85"/>
      <c r="G279" s="85"/>
      <c r="H279" s="85"/>
      <c r="I279" s="85"/>
      <c r="J279" s="85"/>
      <c r="K279" s="85"/>
      <c r="O279" s="134" t="n">
        <v>299</v>
      </c>
      <c r="P279" s="135"/>
      <c r="Q279" s="136"/>
      <c r="R279" s="136"/>
      <c r="S279" s="136"/>
      <c r="T279" s="136"/>
      <c r="U279" s="137"/>
      <c r="V279" s="8" t="n">
        <f aca="false">COUNTA(P279:U279)</f>
        <v>0</v>
      </c>
    </row>
    <row collapsed="false" customFormat="false" customHeight="false" hidden="false" ht="15" outlineLevel="0" r="280">
      <c r="C280" s="19" t="n">
        <v>99</v>
      </c>
      <c r="D280" s="24" t="n">
        <v>104</v>
      </c>
      <c r="E280" s="24" t="n">
        <v>800</v>
      </c>
      <c r="F280" s="85"/>
      <c r="G280" s="85"/>
      <c r="H280" s="85"/>
      <c r="I280" s="85"/>
      <c r="J280" s="85"/>
      <c r="K280" s="85"/>
      <c r="O280" s="134" t="n">
        <v>300</v>
      </c>
      <c r="P280" s="135"/>
      <c r="Q280" s="136"/>
      <c r="R280" s="136"/>
      <c r="S280" s="136"/>
      <c r="T280" s="136"/>
      <c r="U280" s="137"/>
      <c r="V280" s="8" t="n">
        <f aca="false">COUNTA(P280:U280)</f>
        <v>0</v>
      </c>
    </row>
    <row collapsed="false" customFormat="false" customHeight="false" hidden="false" ht="15" outlineLevel="0" r="281">
      <c r="C281" s="19" t="n">
        <v>146</v>
      </c>
      <c r="D281" s="24" t="n">
        <v>154</v>
      </c>
      <c r="E281" s="24" t="n">
        <v>800</v>
      </c>
      <c r="F281" s="85"/>
      <c r="G281" s="85"/>
      <c r="H281" s="85"/>
      <c r="I281" s="85"/>
      <c r="J281" s="85"/>
      <c r="K281" s="85" t="n">
        <v>26000</v>
      </c>
      <c r="O281" s="134" t="n">
        <v>301</v>
      </c>
      <c r="P281" s="135"/>
      <c r="Q281" s="136"/>
      <c r="R281" s="136"/>
      <c r="S281" s="136"/>
      <c r="T281" s="136"/>
      <c r="U281" s="137"/>
      <c r="V281" s="8" t="n">
        <f aca="false">COUNTA(P281:U281)</f>
        <v>0</v>
      </c>
    </row>
    <row collapsed="false" customFormat="false" customHeight="false" hidden="false" ht="15" outlineLevel="0" r="282">
      <c r="C282" s="19" t="n">
        <v>29</v>
      </c>
      <c r="D282" s="24" t="n">
        <v>29</v>
      </c>
      <c r="E282" s="24" t="n">
        <v>800</v>
      </c>
      <c r="F282" s="85" t="n">
        <v>9000</v>
      </c>
      <c r="G282" s="85" t="n">
        <v>1600</v>
      </c>
      <c r="H282" s="85" t="n">
        <v>800</v>
      </c>
      <c r="I282" s="85" t="n">
        <v>1600</v>
      </c>
      <c r="J282" s="85"/>
      <c r="K282" s="85"/>
      <c r="O282" s="134" t="n">
        <v>302</v>
      </c>
      <c r="P282" s="135"/>
      <c r="Q282" s="136"/>
      <c r="R282" s="136"/>
      <c r="S282" s="136"/>
      <c r="T282" s="136"/>
      <c r="U282" s="137"/>
      <c r="V282" s="8" t="n">
        <f aca="false">COUNTA(P282:U282)</f>
        <v>0</v>
      </c>
    </row>
    <row collapsed="false" customFormat="false" customHeight="false" hidden="false" ht="15" outlineLevel="0" r="283">
      <c r="C283" s="19" t="n">
        <v>28</v>
      </c>
      <c r="D283" s="24" t="n">
        <v>28</v>
      </c>
      <c r="E283" s="24" t="n">
        <v>800</v>
      </c>
      <c r="F283" s="85"/>
      <c r="G283" s="85" t="n">
        <v>4000</v>
      </c>
      <c r="H283" s="85"/>
      <c r="I283" s="85" t="n">
        <v>2400</v>
      </c>
      <c r="J283" s="85"/>
      <c r="K283" s="85"/>
      <c r="O283" s="134" t="n">
        <v>303</v>
      </c>
      <c r="P283" s="135"/>
      <c r="Q283" s="136"/>
      <c r="R283" s="136"/>
      <c r="S283" s="136"/>
      <c r="T283" s="136"/>
      <c r="U283" s="137"/>
      <c r="V283" s="8" t="n">
        <f aca="false">COUNTA(P283:U283)</f>
        <v>0</v>
      </c>
    </row>
    <row collapsed="false" customFormat="false" customHeight="false" hidden="false" ht="15" outlineLevel="0" r="284">
      <c r="C284" s="19" t="n">
        <v>27</v>
      </c>
      <c r="D284" s="24" t="n">
        <v>27</v>
      </c>
      <c r="E284" s="24" t="n">
        <v>800</v>
      </c>
      <c r="F284" s="85"/>
      <c r="G284" s="85"/>
      <c r="H284" s="85"/>
      <c r="I284" s="85"/>
      <c r="J284" s="85"/>
      <c r="K284" s="85"/>
      <c r="O284" s="134" t="n">
        <v>305</v>
      </c>
      <c r="P284" s="135"/>
      <c r="Q284" s="136"/>
      <c r="R284" s="136"/>
      <c r="S284" s="136"/>
      <c r="T284" s="136"/>
      <c r="U284" s="137"/>
      <c r="V284" s="8" t="n">
        <f aca="false">COUNTA(P284:U284)</f>
        <v>0</v>
      </c>
    </row>
    <row collapsed="false" customFormat="false" customHeight="false" hidden="false" ht="15" outlineLevel="0" r="285">
      <c r="C285" s="19" t="n">
        <v>135</v>
      </c>
      <c r="D285" s="94" t="n">
        <v>142</v>
      </c>
      <c r="E285" s="94" t="n">
        <v>800</v>
      </c>
      <c r="F285" s="85"/>
      <c r="G285" s="85"/>
      <c r="H285" s="85" t="n">
        <v>8000</v>
      </c>
      <c r="I285" s="85"/>
      <c r="J285" s="85"/>
      <c r="K285" s="85" t="n">
        <v>21000</v>
      </c>
      <c r="O285" s="134" t="n">
        <v>306</v>
      </c>
      <c r="P285" s="135"/>
      <c r="Q285" s="136"/>
      <c r="R285" s="136"/>
      <c r="S285" s="136"/>
      <c r="T285" s="136"/>
      <c r="U285" s="137"/>
      <c r="V285" s="8" t="n">
        <f aca="false">COUNTA(P285:U285)</f>
        <v>0</v>
      </c>
    </row>
    <row collapsed="false" customFormat="false" customHeight="false" hidden="false" ht="15" outlineLevel="0" r="286">
      <c r="C286" s="19" t="n">
        <v>135</v>
      </c>
      <c r="D286" s="94" t="n">
        <v>143</v>
      </c>
      <c r="E286" s="94"/>
      <c r="F286" s="85"/>
      <c r="G286" s="85"/>
      <c r="H286" s="85"/>
      <c r="I286" s="85"/>
      <c r="J286" s="85"/>
      <c r="K286" s="85"/>
      <c r="O286" s="134" t="n">
        <v>307</v>
      </c>
      <c r="P286" s="135"/>
      <c r="Q286" s="136"/>
      <c r="R286" s="136"/>
      <c r="S286" s="136"/>
      <c r="T286" s="138" t="n">
        <v>1</v>
      </c>
      <c r="U286" s="137"/>
      <c r="V286" s="8" t="n">
        <f aca="false">COUNTA(P286:U286)</f>
        <v>1</v>
      </c>
    </row>
    <row collapsed="false" customFormat="false" customHeight="false" hidden="false" ht="15" outlineLevel="0" r="287">
      <c r="C287" s="19" t="n">
        <v>135</v>
      </c>
      <c r="D287" s="94" t="s">
        <v>647</v>
      </c>
      <c r="E287" s="94"/>
      <c r="F287" s="85"/>
      <c r="G287" s="85"/>
      <c r="H287" s="85"/>
      <c r="I287" s="85"/>
      <c r="J287" s="85"/>
      <c r="K287" s="85"/>
      <c r="O287" s="134" t="n">
        <v>308</v>
      </c>
      <c r="P287" s="135"/>
      <c r="Q287" s="136"/>
      <c r="R287" s="136"/>
      <c r="S287" s="136"/>
      <c r="T287" s="136"/>
      <c r="U287" s="137"/>
      <c r="V287" s="8" t="n">
        <f aca="false">COUNTA(P287:U287)</f>
        <v>0</v>
      </c>
    </row>
    <row collapsed="false" customFormat="false" customHeight="false" hidden="false" ht="15" outlineLevel="0" r="288">
      <c r="C288" s="19" t="n">
        <v>59</v>
      </c>
      <c r="D288" s="24" t="n">
        <v>61</v>
      </c>
      <c r="E288" s="24" t="n">
        <v>800</v>
      </c>
      <c r="F288" s="85" t="n">
        <v>2400</v>
      </c>
      <c r="G288" s="85"/>
      <c r="H288" s="85"/>
      <c r="I288" s="85"/>
      <c r="J288" s="85"/>
      <c r="K288" s="85"/>
      <c r="O288" s="134" t="n">
        <v>309</v>
      </c>
      <c r="P288" s="135"/>
      <c r="Q288" s="136"/>
      <c r="R288" s="136"/>
      <c r="S288" s="136"/>
      <c r="T288" s="136"/>
      <c r="U288" s="137"/>
      <c r="V288" s="8" t="n">
        <f aca="false">COUNTA(P288:U288)</f>
        <v>0</v>
      </c>
    </row>
    <row collapsed="false" customFormat="false" customHeight="false" hidden="false" ht="15" outlineLevel="0" r="289">
      <c r="C289" s="19" t="n">
        <v>60</v>
      </c>
      <c r="D289" s="24" t="n">
        <v>62</v>
      </c>
      <c r="E289" s="24" t="n">
        <v>800</v>
      </c>
      <c r="F289" s="85"/>
      <c r="G289" s="85"/>
      <c r="H289" s="85"/>
      <c r="I289" s="85"/>
      <c r="J289" s="85"/>
      <c r="K289" s="85"/>
      <c r="O289" s="134" t="n">
        <v>310</v>
      </c>
      <c r="P289" s="140" t="n">
        <v>1</v>
      </c>
      <c r="Q289" s="136"/>
      <c r="R289" s="138" t="n">
        <v>1</v>
      </c>
      <c r="S289" s="138" t="n">
        <v>1</v>
      </c>
      <c r="T289" s="138" t="n">
        <v>1</v>
      </c>
      <c r="U289" s="137"/>
      <c r="V289" s="8" t="n">
        <f aca="false">COUNTA(P289:U289)</f>
        <v>4</v>
      </c>
    </row>
    <row collapsed="false" customFormat="false" customHeight="false" hidden="false" ht="15" outlineLevel="0" r="290">
      <c r="C290" s="19" t="n">
        <v>248</v>
      </c>
      <c r="D290" s="24" t="n">
        <v>259</v>
      </c>
      <c r="E290" s="24" t="n">
        <v>800</v>
      </c>
      <c r="F290" s="85"/>
      <c r="G290" s="85"/>
      <c r="H290" s="85"/>
      <c r="I290" s="85"/>
      <c r="J290" s="85"/>
      <c r="K290" s="85" t="n">
        <v>1700</v>
      </c>
      <c r="O290" s="134" t="n">
        <v>312</v>
      </c>
      <c r="P290" s="140" t="n">
        <v>1</v>
      </c>
      <c r="Q290" s="136"/>
      <c r="R290" s="136"/>
      <c r="S290" s="138" t="n">
        <v>1</v>
      </c>
      <c r="T290" s="136"/>
      <c r="U290" s="139" t="n">
        <v>1</v>
      </c>
      <c r="V290" s="8" t="n">
        <f aca="false">COUNTA(P290:U290)</f>
        <v>3</v>
      </c>
    </row>
    <row collapsed="false" customFormat="false" customHeight="false" hidden="false" ht="15" outlineLevel="0" r="291">
      <c r="C291" s="19" t="n">
        <v>247</v>
      </c>
      <c r="D291" s="24" t="n">
        <v>258</v>
      </c>
      <c r="E291" s="24" t="n">
        <v>800</v>
      </c>
      <c r="F291" s="85"/>
      <c r="G291" s="85"/>
      <c r="H291" s="85"/>
      <c r="I291" s="85"/>
      <c r="J291" s="85"/>
      <c r="K291" s="85"/>
      <c r="O291" s="134" t="n">
        <v>314</v>
      </c>
      <c r="P291" s="135"/>
      <c r="Q291" s="136"/>
      <c r="R291" s="136"/>
      <c r="S291" s="136"/>
      <c r="T291" s="136"/>
      <c r="U291" s="137"/>
      <c r="V291" s="8" t="n">
        <f aca="false">COUNTA(P291:U291)</f>
        <v>0</v>
      </c>
    </row>
    <row collapsed="false" customFormat="false" customHeight="false" hidden="false" ht="15" outlineLevel="0" r="292">
      <c r="C292" s="19" t="n">
        <v>103</v>
      </c>
      <c r="D292" s="24" t="n">
        <v>108</v>
      </c>
      <c r="E292" s="24" t="n">
        <v>800</v>
      </c>
      <c r="F292" s="85" t="n">
        <v>6000</v>
      </c>
      <c r="G292" s="85"/>
      <c r="H292" s="85" t="n">
        <v>6000</v>
      </c>
      <c r="I292" s="85"/>
      <c r="J292" s="85"/>
      <c r="K292" s="85"/>
      <c r="O292" s="134" t="n">
        <v>315</v>
      </c>
      <c r="P292" s="135"/>
      <c r="Q292" s="136"/>
      <c r="R292" s="136"/>
      <c r="S292" s="136"/>
      <c r="T292" s="136"/>
      <c r="U292" s="137"/>
      <c r="V292" s="8" t="n">
        <f aca="false">COUNTA(P292:U292)</f>
        <v>0</v>
      </c>
    </row>
    <row collapsed="false" customFormat="false" customHeight="false" hidden="false" ht="15" outlineLevel="0" r="293">
      <c r="C293" s="19" t="n">
        <v>275</v>
      </c>
      <c r="D293" s="24" t="n">
        <v>288</v>
      </c>
      <c r="E293" s="24" t="n">
        <v>800</v>
      </c>
      <c r="F293" s="85"/>
      <c r="G293" s="85"/>
      <c r="H293" s="85"/>
      <c r="I293" s="85"/>
      <c r="J293" s="85"/>
      <c r="K293" s="85" t="n">
        <v>16000</v>
      </c>
      <c r="O293" s="134" t="n">
        <v>316</v>
      </c>
      <c r="P293" s="140" t="n">
        <v>1</v>
      </c>
      <c r="Q293" s="136"/>
      <c r="R293" s="136"/>
      <c r="S293" s="136"/>
      <c r="T293" s="136"/>
      <c r="U293" s="137"/>
      <c r="V293" s="8" t="n">
        <f aca="false">COUNTA(P293:U293)</f>
        <v>1</v>
      </c>
    </row>
    <row collapsed="false" customFormat="false" customHeight="false" hidden="false" ht="15" outlineLevel="0" r="294">
      <c r="C294" s="19" t="n">
        <v>22</v>
      </c>
      <c r="D294" s="24" t="n">
        <v>22</v>
      </c>
      <c r="E294" s="24" t="n">
        <v>800</v>
      </c>
      <c r="F294" s="85"/>
      <c r="G294" s="85"/>
      <c r="H294" s="85"/>
      <c r="I294" s="85"/>
      <c r="J294" s="85"/>
      <c r="K294" s="85"/>
      <c r="O294" s="134" t="n">
        <v>317</v>
      </c>
      <c r="P294" s="135"/>
      <c r="Q294" s="136"/>
      <c r="R294" s="136"/>
      <c r="S294" s="136"/>
      <c r="T294" s="136"/>
      <c r="U294" s="137"/>
      <c r="V294" s="8" t="n">
        <f aca="false">COUNTA(P294:U294)</f>
        <v>0</v>
      </c>
    </row>
    <row collapsed="false" customFormat="false" customHeight="false" hidden="false" ht="15" outlineLevel="0" r="295">
      <c r="C295" s="19" t="n">
        <v>20</v>
      </c>
      <c r="D295" s="24" t="n">
        <v>20</v>
      </c>
      <c r="E295" s="24" t="n">
        <v>800</v>
      </c>
      <c r="F295" s="85"/>
      <c r="G295" s="85"/>
      <c r="H295" s="85"/>
      <c r="I295" s="85"/>
      <c r="J295" s="85"/>
      <c r="K295" s="85"/>
      <c r="O295" s="134" t="n">
        <v>318</v>
      </c>
      <c r="P295" s="135"/>
      <c r="Q295" s="138" t="n">
        <v>1</v>
      </c>
      <c r="R295" s="136"/>
      <c r="S295" s="138" t="n">
        <v>1</v>
      </c>
      <c r="T295" s="136"/>
      <c r="U295" s="137"/>
      <c r="V295" s="8" t="n">
        <f aca="false">COUNTA(P295:U295)</f>
        <v>2</v>
      </c>
    </row>
    <row collapsed="false" customFormat="false" customHeight="false" hidden="false" ht="15" outlineLevel="0" r="296">
      <c r="C296" s="19" t="n">
        <v>233</v>
      </c>
      <c r="D296" s="24" t="n">
        <v>242</v>
      </c>
      <c r="E296" s="24" t="n">
        <v>800</v>
      </c>
      <c r="F296" s="85"/>
      <c r="G296" s="85"/>
      <c r="H296" s="85"/>
      <c r="I296" s="85"/>
      <c r="J296" s="85"/>
      <c r="K296" s="85" t="n">
        <v>7000</v>
      </c>
      <c r="O296" s="134" t="n">
        <v>319</v>
      </c>
      <c r="P296" s="135"/>
      <c r="Q296" s="138" t="n">
        <v>1</v>
      </c>
      <c r="R296" s="136"/>
      <c r="S296" s="138" t="n">
        <v>1</v>
      </c>
      <c r="T296" s="138" t="n">
        <v>1</v>
      </c>
      <c r="U296" s="137"/>
      <c r="V296" s="8" t="n">
        <f aca="false">COUNTA(P296:U296)</f>
        <v>3</v>
      </c>
    </row>
    <row collapsed="false" customFormat="false" customHeight="false" hidden="false" ht="15" outlineLevel="0" r="297">
      <c r="C297" s="19" t="n">
        <v>256</v>
      </c>
      <c r="D297" s="24" t="n">
        <v>269</v>
      </c>
      <c r="E297" s="24" t="n">
        <v>800</v>
      </c>
      <c r="F297" s="85"/>
      <c r="G297" s="85"/>
      <c r="H297" s="85"/>
      <c r="I297" s="85"/>
      <c r="J297" s="85"/>
      <c r="K297" s="85"/>
      <c r="O297" s="134" t="n">
        <v>320</v>
      </c>
      <c r="P297" s="135"/>
      <c r="Q297" s="136"/>
      <c r="R297" s="136"/>
      <c r="S297" s="138" t="n">
        <v>1</v>
      </c>
      <c r="T297" s="136"/>
      <c r="U297" s="137"/>
      <c r="V297" s="8" t="n">
        <f aca="false">COUNTA(P297:U297)</f>
        <v>1</v>
      </c>
    </row>
    <row collapsed="false" customFormat="false" customHeight="false" hidden="false" ht="15" outlineLevel="0" r="298">
      <c r="C298" s="19" t="n">
        <v>113</v>
      </c>
      <c r="D298" s="24" t="n">
        <v>118</v>
      </c>
      <c r="E298" s="24" t="n">
        <v>800</v>
      </c>
      <c r="F298" s="85" t="n">
        <v>6000</v>
      </c>
      <c r="G298" s="85"/>
      <c r="H298" s="85"/>
      <c r="I298" s="85"/>
      <c r="J298" s="85"/>
      <c r="K298" s="85"/>
      <c r="O298" s="134" t="s">
        <v>733</v>
      </c>
      <c r="P298" s="141"/>
      <c r="Q298" s="142"/>
      <c r="R298" s="142"/>
      <c r="S298" s="142"/>
      <c r="T298" s="142"/>
      <c r="U298" s="143" t="n">
        <v>1</v>
      </c>
      <c r="V298" s="8" t="n">
        <f aca="false">COUNTA(P298:U298)</f>
        <v>1</v>
      </c>
    </row>
    <row collapsed="false" customFormat="false" customHeight="false" hidden="false" ht="15" outlineLevel="0" r="299">
      <c r="C299" s="19" t="n">
        <v>113</v>
      </c>
      <c r="D299" s="24" t="n">
        <v>120</v>
      </c>
      <c r="E299" s="24"/>
      <c r="F299" s="85"/>
      <c r="G299" s="85"/>
      <c r="H299" s="85"/>
      <c r="I299" s="85"/>
      <c r="J299" s="85"/>
      <c r="K299" s="85"/>
      <c r="O299" s="144" t="s">
        <v>720</v>
      </c>
      <c r="P299" s="145" t="n">
        <v>44</v>
      </c>
      <c r="Q299" s="146" t="n">
        <v>52</v>
      </c>
      <c r="R299" s="146" t="n">
        <v>50</v>
      </c>
      <c r="S299" s="146" t="n">
        <v>38</v>
      </c>
      <c r="T299" s="146" t="n">
        <v>43</v>
      </c>
      <c r="U299" s="147" t="n">
        <v>64</v>
      </c>
    </row>
    <row collapsed="false" customFormat="false" customHeight="false" hidden="false" ht="15" outlineLevel="0" r="300">
      <c r="C300" s="19" t="n">
        <v>113</v>
      </c>
      <c r="D300" s="24" t="n">
        <v>116</v>
      </c>
      <c r="E300" s="24"/>
      <c r="F300" s="85"/>
      <c r="G300" s="85"/>
      <c r="H300" s="85"/>
      <c r="I300" s="85" t="n">
        <v>3000</v>
      </c>
      <c r="J300" s="85"/>
      <c r="K300" s="85" t="n">
        <v>3000</v>
      </c>
    </row>
    <row collapsed="false" customFormat="false" customHeight="false" hidden="false" ht="15" outlineLevel="0" r="301">
      <c r="C301" s="19" t="n">
        <v>180</v>
      </c>
      <c r="D301" s="24" t="n">
        <v>188</v>
      </c>
      <c r="E301" s="24" t="n">
        <v>800</v>
      </c>
      <c r="F301" s="85"/>
      <c r="G301" s="85"/>
      <c r="H301" s="85"/>
      <c r="I301" s="85"/>
      <c r="J301" s="85" t="n">
        <v>4800</v>
      </c>
      <c r="K301" s="85"/>
    </row>
    <row collapsed="false" customFormat="false" customHeight="false" hidden="false" ht="15" outlineLevel="0" r="302">
      <c r="C302" s="19" t="n">
        <v>2</v>
      </c>
      <c r="D302" s="24" t="n">
        <v>2</v>
      </c>
      <c r="E302" s="24" t="n">
        <v>800</v>
      </c>
      <c r="F302" s="85"/>
      <c r="G302" s="85"/>
      <c r="H302" s="85"/>
      <c r="I302" s="85"/>
      <c r="J302" s="85"/>
      <c r="K302" s="85"/>
    </row>
    <row collapsed="false" customFormat="false" customHeight="false" hidden="false" ht="15" outlineLevel="0" r="303">
      <c r="C303" s="19" t="n">
        <v>23</v>
      </c>
      <c r="D303" s="24" t="n">
        <v>23</v>
      </c>
      <c r="E303" s="24" t="n">
        <v>800</v>
      </c>
      <c r="F303" s="85" t="n">
        <v>11600</v>
      </c>
      <c r="G303" s="85"/>
      <c r="H303" s="85"/>
      <c r="I303" s="85"/>
      <c r="J303" s="85"/>
      <c r="K303" s="85"/>
    </row>
    <row collapsed="false" customFormat="false" customHeight="false" hidden="false" ht="15" outlineLevel="0" r="304">
      <c r="C304" s="19" t="n">
        <v>168</v>
      </c>
      <c r="D304" s="24" t="n">
        <v>176</v>
      </c>
      <c r="E304" s="24" t="n">
        <v>800</v>
      </c>
      <c r="F304" s="85"/>
      <c r="G304" s="85" t="n">
        <v>2000</v>
      </c>
      <c r="H304" s="85"/>
      <c r="I304" s="85" t="n">
        <v>2000</v>
      </c>
      <c r="J304" s="85" t="n">
        <v>2000</v>
      </c>
      <c r="K304" s="85"/>
    </row>
    <row collapsed="false" customFormat="false" customHeight="false" hidden="false" ht="15" outlineLevel="0" r="305">
      <c r="C305" s="19" t="n">
        <v>84</v>
      </c>
      <c r="D305" s="24" t="n">
        <v>89</v>
      </c>
      <c r="E305" s="24" t="n">
        <v>800</v>
      </c>
      <c r="F305" s="85"/>
      <c r="G305" s="85"/>
      <c r="H305" s="85"/>
      <c r="I305" s="85"/>
      <c r="J305" s="85"/>
      <c r="K305" s="85" t="n">
        <v>4800</v>
      </c>
    </row>
    <row collapsed="false" customFormat="false" customHeight="false" hidden="false" ht="15" outlineLevel="0" r="306">
      <c r="C306" s="19" t="n">
        <v>88</v>
      </c>
      <c r="D306" s="24" t="n">
        <v>97</v>
      </c>
      <c r="E306" s="24" t="n">
        <v>800</v>
      </c>
      <c r="F306" s="85" t="n">
        <v>8000</v>
      </c>
      <c r="G306" s="85"/>
      <c r="H306" s="85"/>
      <c r="I306" s="85"/>
      <c r="J306" s="85"/>
      <c r="K306" s="85"/>
    </row>
    <row collapsed="false" customFormat="false" customHeight="false" hidden="false" ht="15" outlineLevel="0" r="307">
      <c r="C307" s="19" t="n">
        <v>88</v>
      </c>
      <c r="D307" s="24" t="n">
        <v>93</v>
      </c>
      <c r="E307" s="24" t="n">
        <v>800</v>
      </c>
      <c r="F307" s="85"/>
      <c r="G307" s="85"/>
      <c r="H307" s="85"/>
      <c r="I307" s="85"/>
      <c r="J307" s="85"/>
      <c r="K307" s="85"/>
    </row>
    <row collapsed="false" customFormat="false" customHeight="false" hidden="false" ht="15" outlineLevel="0" r="308">
      <c r="C308" s="19" t="n">
        <v>78</v>
      </c>
      <c r="D308" s="24" t="n">
        <v>83</v>
      </c>
      <c r="E308" s="24" t="n">
        <v>800</v>
      </c>
      <c r="F308" s="85"/>
      <c r="G308" s="85"/>
      <c r="H308" s="85"/>
      <c r="I308" s="85"/>
      <c r="J308" s="85"/>
      <c r="K308" s="85"/>
    </row>
    <row collapsed="false" customFormat="false" customHeight="false" hidden="false" ht="15" outlineLevel="0" r="309">
      <c r="C309" s="19" t="n">
        <v>77</v>
      </c>
      <c r="D309" s="24" t="n">
        <v>83</v>
      </c>
      <c r="E309" s="24" t="n">
        <v>800</v>
      </c>
      <c r="F309" s="85"/>
      <c r="G309" s="85"/>
      <c r="H309" s="85"/>
      <c r="I309" s="85"/>
      <c r="J309" s="85"/>
      <c r="K309" s="85"/>
    </row>
    <row collapsed="false" customFormat="false" customHeight="false" hidden="false" ht="15" outlineLevel="0" r="310">
      <c r="C310" s="19" t="n">
        <v>306</v>
      </c>
      <c r="D310" s="24" t="n">
        <v>321</v>
      </c>
      <c r="E310" s="24" t="n">
        <v>800</v>
      </c>
      <c r="F310" s="85"/>
      <c r="G310" s="85"/>
      <c r="H310" s="85"/>
      <c r="I310" s="85"/>
      <c r="J310" s="85"/>
      <c r="K310" s="85"/>
    </row>
    <row collapsed="false" customFormat="false" customHeight="false" hidden="false" ht="15" outlineLevel="0" r="311">
      <c r="C311" s="19" t="n">
        <v>182</v>
      </c>
      <c r="D311" s="24" t="n">
        <v>190</v>
      </c>
      <c r="E311" s="24" t="n">
        <v>800</v>
      </c>
      <c r="F311" s="85"/>
      <c r="G311" s="85"/>
      <c r="H311" s="85"/>
      <c r="I311" s="85"/>
      <c r="J311" s="85" t="n">
        <v>9200</v>
      </c>
      <c r="K311" s="85"/>
    </row>
    <row collapsed="false" customFormat="false" customHeight="false" hidden="false" ht="15" outlineLevel="0" r="312">
      <c r="C312" s="19" t="n">
        <v>95</v>
      </c>
      <c r="D312" s="24" t="n">
        <v>100</v>
      </c>
      <c r="E312" s="24" t="n">
        <v>800</v>
      </c>
      <c r="F312" s="85"/>
      <c r="G312" s="85"/>
      <c r="H312" s="85"/>
      <c r="I312" s="85"/>
      <c r="J312" s="85"/>
      <c r="K312" s="85" t="n">
        <v>9000</v>
      </c>
    </row>
    <row collapsed="false" customFormat="false" customHeight="false" hidden="false" ht="15" outlineLevel="0" r="313">
      <c r="C313" s="19" t="n">
        <v>108</v>
      </c>
      <c r="D313" s="24" t="n">
        <v>113</v>
      </c>
      <c r="E313" s="24" t="n">
        <v>800</v>
      </c>
      <c r="F313" s="85"/>
      <c r="G313" s="85" t="n">
        <v>4000</v>
      </c>
      <c r="H313" s="85" t="n">
        <v>2400</v>
      </c>
      <c r="I313" s="85"/>
      <c r="J313" s="85"/>
      <c r="K313" s="85" t="n">
        <v>2400</v>
      </c>
    </row>
    <row collapsed="false" customFormat="false" customHeight="false" hidden="false" ht="15" outlineLevel="0" r="314">
      <c r="C314" s="19" t="n">
        <v>41</v>
      </c>
      <c r="D314" s="24" t="n">
        <v>41</v>
      </c>
      <c r="E314" s="24" t="n">
        <v>800</v>
      </c>
      <c r="F314" s="85"/>
      <c r="G314" s="85"/>
      <c r="H314" s="85"/>
      <c r="I314" s="85"/>
      <c r="J314" s="85"/>
      <c r="K314" s="85"/>
    </row>
    <row collapsed="false" customFormat="false" customHeight="false" hidden="false" ht="15" outlineLevel="0" r="315">
      <c r="C315" s="19" t="n">
        <v>152</v>
      </c>
      <c r="D315" s="24" t="n">
        <v>160</v>
      </c>
      <c r="E315" s="24" t="n">
        <v>800</v>
      </c>
      <c r="F315" s="85"/>
      <c r="G315" s="85"/>
      <c r="H315" s="85"/>
      <c r="I315" s="85"/>
      <c r="J315" s="85"/>
      <c r="K315" s="85"/>
    </row>
    <row collapsed="false" customFormat="false" customHeight="false" hidden="false" ht="15" outlineLevel="0" r="316">
      <c r="C316" s="19" t="n">
        <v>227</v>
      </c>
      <c r="D316" s="24" t="n">
        <v>236</v>
      </c>
      <c r="E316" s="24" t="n">
        <v>800</v>
      </c>
      <c r="F316" s="85"/>
      <c r="G316" s="85" t="n">
        <v>3800</v>
      </c>
      <c r="H316" s="85" t="n">
        <v>4800</v>
      </c>
      <c r="I316" s="85"/>
      <c r="J316" s="85"/>
      <c r="K316" s="85"/>
    </row>
    <row collapsed="false" customFormat="false" customHeight="false" hidden="false" ht="15" outlineLevel="0" r="317">
      <c r="C317" s="19" t="n">
        <v>15</v>
      </c>
      <c r="D317" s="24" t="n">
        <v>15</v>
      </c>
      <c r="E317" s="24" t="n">
        <v>800</v>
      </c>
      <c r="F317" s="85"/>
      <c r="G317" s="85" t="n">
        <v>4000</v>
      </c>
      <c r="H317" s="85"/>
      <c r="I317" s="85"/>
      <c r="J317" s="85"/>
      <c r="K317" s="85" t="n">
        <v>4800</v>
      </c>
    </row>
    <row collapsed="false" customFormat="false" customHeight="false" hidden="false" ht="15" outlineLevel="0" r="318">
      <c r="C318" s="19" t="n">
        <v>240</v>
      </c>
      <c r="D318" s="24" t="n">
        <v>251</v>
      </c>
      <c r="E318" s="24" t="n">
        <v>800</v>
      </c>
      <c r="F318" s="85"/>
      <c r="G318" s="85"/>
      <c r="H318" s="85"/>
      <c r="I318" s="85"/>
      <c r="J318" s="85"/>
      <c r="K318" s="85"/>
    </row>
    <row collapsed="false" customFormat="false" customHeight="false" hidden="false" ht="15" outlineLevel="0" r="319">
      <c r="C319" s="19" t="n">
        <v>10</v>
      </c>
      <c r="D319" s="24" t="n">
        <v>10</v>
      </c>
      <c r="E319" s="24" t="n">
        <v>800</v>
      </c>
      <c r="F319" s="85"/>
      <c r="G319" s="85"/>
      <c r="H319" s="85"/>
      <c r="I319" s="85"/>
      <c r="J319" s="85"/>
      <c r="K319" s="85"/>
    </row>
    <row collapsed="false" customFormat="false" customHeight="false" hidden="false" ht="15" outlineLevel="0" r="320">
      <c r="C320" s="19" t="n">
        <v>55</v>
      </c>
      <c r="D320" s="24" t="n">
        <v>57</v>
      </c>
      <c r="E320" s="24" t="n">
        <v>800</v>
      </c>
      <c r="F320" s="85"/>
      <c r="G320" s="85"/>
      <c r="H320" s="85" t="n">
        <v>3200</v>
      </c>
      <c r="I320" s="85"/>
      <c r="J320" s="85"/>
      <c r="K320" s="85"/>
    </row>
    <row collapsed="false" customFormat="false" customHeight="false" hidden="false" ht="15" outlineLevel="0" r="321">
      <c r="C321" s="19" t="n">
        <v>309</v>
      </c>
      <c r="D321" s="24" t="n">
        <v>324</v>
      </c>
      <c r="E321" s="24" t="n">
        <v>800</v>
      </c>
      <c r="F321" s="85"/>
      <c r="G321" s="85"/>
      <c r="H321" s="85"/>
      <c r="I321" s="85"/>
      <c r="J321" s="85"/>
      <c r="K321" s="85"/>
    </row>
    <row collapsed="false" customFormat="false" customHeight="false" hidden="false" ht="15" outlineLevel="0" r="322">
      <c r="C322" s="19" t="n">
        <v>17</v>
      </c>
      <c r="D322" s="24" t="n">
        <v>17</v>
      </c>
      <c r="E322" s="24" t="n">
        <v>800</v>
      </c>
      <c r="F322" s="85" t="n">
        <v>3000</v>
      </c>
      <c r="G322" s="85"/>
      <c r="H322" s="85" t="n">
        <v>2000</v>
      </c>
      <c r="I322" s="85"/>
      <c r="J322" s="85"/>
      <c r="K322" s="85" t="n">
        <v>2000</v>
      </c>
    </row>
    <row collapsed="false" customFormat="false" customHeight="false" hidden="false" ht="15" outlineLevel="0" r="323">
      <c r="C323" s="19" t="n">
        <v>40</v>
      </c>
      <c r="D323" s="24" t="n">
        <v>40</v>
      </c>
      <c r="E323" s="24" t="n">
        <v>800</v>
      </c>
      <c r="F323" s="85"/>
      <c r="G323" s="85"/>
      <c r="H323" s="85"/>
      <c r="I323" s="85"/>
      <c r="J323" s="85"/>
      <c r="K323" s="85"/>
    </row>
    <row collapsed="false" customFormat="false" customHeight="false" hidden="false" ht="15" outlineLevel="0" r="327">
      <c r="C327" s="148" t="s">
        <v>6</v>
      </c>
      <c r="D327" s="149" t="s">
        <v>734</v>
      </c>
    </row>
    <row collapsed="false" customFormat="false" customHeight="false" hidden="false" ht="15" outlineLevel="0" r="329">
      <c r="C329" s="101" t="s">
        <v>4</v>
      </c>
      <c r="D329" s="102"/>
    </row>
    <row collapsed="false" customFormat="false" customHeight="false" hidden="false" ht="15" outlineLevel="0" r="330">
      <c r="C330" s="129" t="n">
        <v>88</v>
      </c>
      <c r="D330" s="105" t="n">
        <v>2</v>
      </c>
    </row>
    <row collapsed="false" customFormat="false" customHeight="false" hidden="false" ht="15" outlineLevel="0" r="331">
      <c r="C331" s="134" t="n">
        <v>29</v>
      </c>
      <c r="D331" s="109" t="n">
        <v>2</v>
      </c>
    </row>
    <row collapsed="false" customFormat="false" customHeight="false" hidden="false" ht="15" outlineLevel="0" r="332">
      <c r="C332" s="134" t="n">
        <v>1</v>
      </c>
      <c r="D332" s="109" t="n">
        <v>1</v>
      </c>
    </row>
    <row collapsed="false" customFormat="false" customHeight="false" hidden="false" ht="15" outlineLevel="0" r="333">
      <c r="C333" s="134" t="n">
        <v>2</v>
      </c>
      <c r="D333" s="109" t="n">
        <v>1</v>
      </c>
    </row>
    <row collapsed="false" customFormat="false" customHeight="false" hidden="false" ht="15" outlineLevel="0" r="334">
      <c r="C334" s="134" t="n">
        <v>3</v>
      </c>
      <c r="D334" s="109" t="n">
        <v>1</v>
      </c>
    </row>
    <row collapsed="false" customFormat="false" customHeight="false" hidden="false" ht="15" outlineLevel="0" r="335">
      <c r="C335" s="134" t="n">
        <v>4</v>
      </c>
      <c r="D335" s="109" t="n">
        <v>1</v>
      </c>
    </row>
    <row collapsed="false" customFormat="false" customHeight="false" hidden="false" ht="15" outlineLevel="0" r="336">
      <c r="C336" s="134" t="n">
        <v>5</v>
      </c>
      <c r="D336" s="109" t="n">
        <v>1</v>
      </c>
    </row>
    <row collapsed="false" customFormat="false" customHeight="false" hidden="false" ht="15" outlineLevel="0" r="337">
      <c r="C337" s="134" t="n">
        <v>6</v>
      </c>
      <c r="D337" s="109" t="n">
        <v>1</v>
      </c>
    </row>
    <row collapsed="false" customFormat="false" customHeight="false" hidden="false" ht="15" outlineLevel="0" r="338">
      <c r="C338" s="134" t="n">
        <v>7</v>
      </c>
      <c r="D338" s="109" t="n">
        <v>1</v>
      </c>
    </row>
    <row collapsed="false" customFormat="false" customHeight="false" hidden="false" ht="15" outlineLevel="0" r="339">
      <c r="C339" s="134" t="n">
        <v>8</v>
      </c>
      <c r="D339" s="109" t="n">
        <v>1</v>
      </c>
    </row>
    <row collapsed="false" customFormat="false" customHeight="false" hidden="false" ht="15" outlineLevel="0" r="340">
      <c r="C340" s="134" t="n">
        <v>9</v>
      </c>
      <c r="D340" s="109" t="n">
        <v>1</v>
      </c>
    </row>
    <row collapsed="false" customFormat="false" customHeight="false" hidden="false" ht="15" outlineLevel="0" r="341">
      <c r="C341" s="134" t="n">
        <v>10</v>
      </c>
      <c r="D341" s="109" t="n">
        <v>1</v>
      </c>
    </row>
    <row collapsed="false" customFormat="false" customHeight="false" hidden="false" ht="15" outlineLevel="0" r="342">
      <c r="C342" s="134" t="n">
        <v>11</v>
      </c>
      <c r="D342" s="109" t="n">
        <v>1</v>
      </c>
    </row>
    <row collapsed="false" customFormat="false" customHeight="false" hidden="false" ht="15" outlineLevel="0" r="343">
      <c r="C343" s="134" t="n">
        <v>12</v>
      </c>
      <c r="D343" s="109" t="n">
        <v>1</v>
      </c>
    </row>
    <row collapsed="false" customFormat="false" customHeight="false" hidden="false" ht="15" outlineLevel="0" r="344">
      <c r="C344" s="134" t="n">
        <v>13</v>
      </c>
      <c r="D344" s="109" t="n">
        <v>1</v>
      </c>
    </row>
    <row collapsed="false" customFormat="false" customHeight="false" hidden="false" ht="15" outlineLevel="0" r="345">
      <c r="C345" s="134" t="n">
        <v>15</v>
      </c>
      <c r="D345" s="109" t="n">
        <v>1</v>
      </c>
    </row>
    <row collapsed="false" customFormat="false" customHeight="false" hidden="false" ht="15" outlineLevel="0" r="346">
      <c r="C346" s="134" t="n">
        <v>16</v>
      </c>
      <c r="D346" s="109" t="n">
        <v>1</v>
      </c>
    </row>
    <row collapsed="false" customFormat="false" customHeight="false" hidden="false" ht="15" outlineLevel="0" r="347">
      <c r="C347" s="134" t="n">
        <v>17</v>
      </c>
      <c r="D347" s="109" t="n">
        <v>1</v>
      </c>
    </row>
    <row collapsed="false" customFormat="false" customHeight="false" hidden="false" ht="15" outlineLevel="0" r="348">
      <c r="C348" s="134" t="n">
        <v>18</v>
      </c>
      <c r="D348" s="109" t="n">
        <v>1</v>
      </c>
    </row>
    <row collapsed="false" customFormat="false" customHeight="false" hidden="false" ht="15" outlineLevel="0" r="349">
      <c r="C349" s="134" t="n">
        <v>19</v>
      </c>
      <c r="D349" s="109" t="n">
        <v>1</v>
      </c>
    </row>
    <row collapsed="false" customFormat="false" customHeight="false" hidden="false" ht="15" outlineLevel="0" r="350">
      <c r="C350" s="134" t="n">
        <v>20</v>
      </c>
      <c r="D350" s="109" t="n">
        <v>1</v>
      </c>
    </row>
    <row collapsed="false" customFormat="false" customHeight="false" hidden="false" ht="15" outlineLevel="0" r="351">
      <c r="C351" s="134" t="n">
        <v>21</v>
      </c>
      <c r="D351" s="109" t="n">
        <v>1</v>
      </c>
    </row>
    <row collapsed="false" customFormat="false" customHeight="false" hidden="false" ht="15" outlineLevel="0" r="352">
      <c r="C352" s="134" t="n">
        <v>22</v>
      </c>
      <c r="D352" s="109" t="n">
        <v>1</v>
      </c>
    </row>
    <row collapsed="false" customFormat="false" customHeight="false" hidden="false" ht="15" outlineLevel="0" r="353">
      <c r="C353" s="134" t="n">
        <v>23</v>
      </c>
      <c r="D353" s="109" t="n">
        <v>1</v>
      </c>
    </row>
    <row collapsed="false" customFormat="false" customHeight="false" hidden="false" ht="15" outlineLevel="0" r="354">
      <c r="C354" s="134" t="n">
        <v>24</v>
      </c>
      <c r="D354" s="109" t="n">
        <v>1</v>
      </c>
    </row>
    <row collapsed="false" customFormat="false" customHeight="false" hidden="false" ht="15" outlineLevel="0" r="355">
      <c r="C355" s="134" t="n">
        <v>25</v>
      </c>
      <c r="D355" s="109" t="n">
        <v>1</v>
      </c>
    </row>
    <row collapsed="false" customFormat="false" customHeight="false" hidden="false" ht="15" outlineLevel="0" r="356">
      <c r="C356" s="134" t="n">
        <v>26</v>
      </c>
      <c r="D356" s="109" t="n">
        <v>1</v>
      </c>
    </row>
    <row collapsed="false" customFormat="false" customHeight="false" hidden="false" ht="15" outlineLevel="0" r="357">
      <c r="C357" s="134" t="n">
        <v>27</v>
      </c>
      <c r="D357" s="109" t="n">
        <v>1</v>
      </c>
    </row>
    <row collapsed="false" customFormat="false" customHeight="false" hidden="false" ht="15" outlineLevel="0" r="358">
      <c r="C358" s="134" t="n">
        <v>28</v>
      </c>
      <c r="D358" s="109" t="n">
        <v>1</v>
      </c>
    </row>
    <row collapsed="false" customFormat="false" customHeight="false" hidden="false" ht="15" outlineLevel="0" r="359">
      <c r="C359" s="134" t="n">
        <v>30</v>
      </c>
      <c r="D359" s="109" t="n">
        <v>1</v>
      </c>
    </row>
    <row collapsed="false" customFormat="false" customHeight="false" hidden="false" ht="15" outlineLevel="0" r="360">
      <c r="C360" s="134" t="n">
        <v>31</v>
      </c>
      <c r="D360" s="109" t="n">
        <v>1</v>
      </c>
    </row>
    <row collapsed="false" customFormat="false" customHeight="false" hidden="false" ht="15" outlineLevel="0" r="361">
      <c r="C361" s="134" t="n">
        <v>32</v>
      </c>
      <c r="D361" s="109" t="n">
        <v>1</v>
      </c>
    </row>
    <row collapsed="false" customFormat="false" customHeight="false" hidden="false" ht="15" outlineLevel="0" r="362">
      <c r="C362" s="134" t="n">
        <v>33</v>
      </c>
      <c r="D362" s="109" t="n">
        <v>1</v>
      </c>
    </row>
    <row collapsed="false" customFormat="false" customHeight="false" hidden="false" ht="15" outlineLevel="0" r="363">
      <c r="C363" s="134" t="n">
        <v>34</v>
      </c>
      <c r="D363" s="109" t="n">
        <v>1</v>
      </c>
    </row>
    <row collapsed="false" customFormat="false" customHeight="false" hidden="false" ht="15" outlineLevel="0" r="364">
      <c r="C364" s="134" t="n">
        <v>35</v>
      </c>
      <c r="D364" s="109" t="n">
        <v>1</v>
      </c>
    </row>
    <row collapsed="false" customFormat="false" customHeight="false" hidden="false" ht="15" outlineLevel="0" r="365">
      <c r="C365" s="134" t="n">
        <v>36</v>
      </c>
      <c r="D365" s="109" t="n">
        <v>1</v>
      </c>
    </row>
    <row collapsed="false" customFormat="false" customHeight="false" hidden="false" ht="15" outlineLevel="0" r="366">
      <c r="C366" s="134" t="n">
        <v>37</v>
      </c>
      <c r="D366" s="109" t="n">
        <v>1</v>
      </c>
    </row>
    <row collapsed="false" customFormat="false" customHeight="false" hidden="false" ht="15" outlineLevel="0" r="367">
      <c r="C367" s="134" t="n">
        <v>38</v>
      </c>
      <c r="D367" s="109" t="n">
        <v>1</v>
      </c>
    </row>
    <row collapsed="false" customFormat="false" customHeight="false" hidden="false" ht="15" outlineLevel="0" r="368">
      <c r="C368" s="134" t="n">
        <v>39</v>
      </c>
      <c r="D368" s="109" t="n">
        <v>1</v>
      </c>
    </row>
    <row collapsed="false" customFormat="false" customHeight="false" hidden="false" ht="15" outlineLevel="0" r="369">
      <c r="C369" s="134" t="n">
        <v>40</v>
      </c>
      <c r="D369" s="109" t="n">
        <v>1</v>
      </c>
    </row>
    <row collapsed="false" customFormat="false" customHeight="false" hidden="false" ht="15" outlineLevel="0" r="370">
      <c r="C370" s="134" t="n">
        <v>41</v>
      </c>
      <c r="D370" s="109" t="n">
        <v>1</v>
      </c>
    </row>
    <row collapsed="false" customFormat="false" customHeight="false" hidden="false" ht="15" outlineLevel="0" r="371">
      <c r="C371" s="134" t="n">
        <v>42</v>
      </c>
      <c r="D371" s="109" t="n">
        <v>1</v>
      </c>
    </row>
    <row collapsed="false" customFormat="false" customHeight="false" hidden="false" ht="15" outlineLevel="0" r="372">
      <c r="C372" s="134" t="n">
        <v>43</v>
      </c>
      <c r="D372" s="109" t="n">
        <v>1</v>
      </c>
    </row>
    <row collapsed="false" customFormat="false" customHeight="false" hidden="false" ht="15" outlineLevel="0" r="373">
      <c r="C373" s="134" t="n">
        <v>44</v>
      </c>
      <c r="D373" s="109" t="n">
        <v>1</v>
      </c>
    </row>
    <row collapsed="false" customFormat="false" customHeight="false" hidden="false" ht="15" outlineLevel="0" r="374">
      <c r="C374" s="134" t="n">
        <v>45</v>
      </c>
      <c r="D374" s="109" t="n">
        <v>1</v>
      </c>
    </row>
    <row collapsed="false" customFormat="false" customHeight="false" hidden="false" ht="15" outlineLevel="0" r="375">
      <c r="C375" s="134" t="n">
        <v>46</v>
      </c>
      <c r="D375" s="109" t="n">
        <v>1</v>
      </c>
    </row>
    <row collapsed="false" customFormat="false" customHeight="false" hidden="false" ht="15" outlineLevel="0" r="376">
      <c r="C376" s="134" t="n">
        <v>47</v>
      </c>
      <c r="D376" s="109" t="n">
        <v>1</v>
      </c>
    </row>
    <row collapsed="false" customFormat="false" customHeight="false" hidden="false" ht="15" outlineLevel="0" r="377">
      <c r="C377" s="134" t="n">
        <v>48</v>
      </c>
      <c r="D377" s="109" t="n">
        <v>1</v>
      </c>
    </row>
    <row collapsed="false" customFormat="false" customHeight="false" hidden="false" ht="15" outlineLevel="0" r="378">
      <c r="C378" s="134" t="n">
        <v>49</v>
      </c>
      <c r="D378" s="109" t="n">
        <v>1</v>
      </c>
    </row>
    <row collapsed="false" customFormat="false" customHeight="false" hidden="false" ht="15" outlineLevel="0" r="379">
      <c r="C379" s="134" t="n">
        <v>50</v>
      </c>
      <c r="D379" s="109" t="n">
        <v>1</v>
      </c>
    </row>
    <row collapsed="false" customFormat="false" customHeight="false" hidden="false" ht="15" outlineLevel="0" r="380">
      <c r="C380" s="134" t="n">
        <v>51</v>
      </c>
      <c r="D380" s="109" t="n">
        <v>1</v>
      </c>
    </row>
    <row collapsed="false" customFormat="false" customHeight="false" hidden="false" ht="15" outlineLevel="0" r="381">
      <c r="C381" s="134" t="n">
        <v>52</v>
      </c>
      <c r="D381" s="109" t="n">
        <v>1</v>
      </c>
    </row>
    <row collapsed="false" customFormat="false" customHeight="false" hidden="false" ht="15" outlineLevel="0" r="382">
      <c r="C382" s="134" t="n">
        <v>53</v>
      </c>
      <c r="D382" s="109" t="n">
        <v>1</v>
      </c>
    </row>
    <row collapsed="false" customFormat="false" customHeight="false" hidden="false" ht="15" outlineLevel="0" r="383">
      <c r="C383" s="134" t="n">
        <v>54</v>
      </c>
      <c r="D383" s="109" t="n">
        <v>1</v>
      </c>
    </row>
    <row collapsed="false" customFormat="false" customHeight="false" hidden="false" ht="15" outlineLevel="0" r="384">
      <c r="C384" s="134" t="n">
        <v>55</v>
      </c>
      <c r="D384" s="109" t="n">
        <v>1</v>
      </c>
    </row>
    <row collapsed="false" customFormat="false" customHeight="false" hidden="false" ht="15" outlineLevel="0" r="385">
      <c r="C385" s="134" t="n">
        <v>56</v>
      </c>
      <c r="D385" s="109" t="n">
        <v>1</v>
      </c>
    </row>
    <row collapsed="false" customFormat="false" customHeight="false" hidden="false" ht="15" outlineLevel="0" r="386">
      <c r="C386" s="134" t="n">
        <v>57</v>
      </c>
      <c r="D386" s="109" t="n">
        <v>1</v>
      </c>
    </row>
    <row collapsed="false" customFormat="false" customHeight="false" hidden="false" ht="15" outlineLevel="0" r="387">
      <c r="C387" s="134" t="n">
        <v>58</v>
      </c>
      <c r="D387" s="109" t="n">
        <v>1</v>
      </c>
    </row>
    <row collapsed="false" customFormat="false" customHeight="false" hidden="false" ht="15" outlineLevel="0" r="388">
      <c r="C388" s="134" t="n">
        <v>59</v>
      </c>
      <c r="D388" s="109" t="n">
        <v>1</v>
      </c>
    </row>
    <row collapsed="false" customFormat="false" customHeight="false" hidden="false" ht="15" outlineLevel="0" r="389">
      <c r="C389" s="134" t="n">
        <v>60</v>
      </c>
      <c r="D389" s="109" t="n">
        <v>1</v>
      </c>
    </row>
    <row collapsed="false" customFormat="false" customHeight="false" hidden="false" ht="15" outlineLevel="0" r="390">
      <c r="C390" s="134" t="n">
        <v>61</v>
      </c>
      <c r="D390" s="109" t="n">
        <v>1</v>
      </c>
    </row>
    <row collapsed="false" customFormat="false" customHeight="false" hidden="false" ht="15" outlineLevel="0" r="391">
      <c r="C391" s="134" t="n">
        <v>62</v>
      </c>
      <c r="D391" s="109" t="n">
        <v>1</v>
      </c>
    </row>
    <row collapsed="false" customFormat="false" customHeight="false" hidden="false" ht="15" outlineLevel="0" r="392">
      <c r="C392" s="134" t="n">
        <v>63</v>
      </c>
      <c r="D392" s="109" t="n">
        <v>1</v>
      </c>
    </row>
    <row collapsed="false" customFormat="false" customHeight="false" hidden="false" ht="15" outlineLevel="0" r="393">
      <c r="C393" s="134" t="n">
        <v>64</v>
      </c>
      <c r="D393" s="109" t="n">
        <v>1</v>
      </c>
    </row>
    <row collapsed="false" customFormat="false" customHeight="false" hidden="false" ht="15" outlineLevel="0" r="394">
      <c r="C394" s="134" t="n">
        <v>65</v>
      </c>
      <c r="D394" s="109" t="n">
        <v>1</v>
      </c>
    </row>
    <row collapsed="false" customFormat="false" customHeight="false" hidden="false" ht="15" outlineLevel="0" r="395">
      <c r="C395" s="134" t="n">
        <v>66</v>
      </c>
      <c r="D395" s="109" t="n">
        <v>1</v>
      </c>
    </row>
    <row collapsed="false" customFormat="false" customHeight="false" hidden="false" ht="15" outlineLevel="0" r="396">
      <c r="C396" s="134" t="n">
        <v>67</v>
      </c>
      <c r="D396" s="109" t="n">
        <v>1</v>
      </c>
    </row>
    <row collapsed="false" customFormat="false" customHeight="false" hidden="false" ht="15" outlineLevel="0" r="397">
      <c r="C397" s="134" t="n">
        <v>68</v>
      </c>
      <c r="D397" s="109" t="n">
        <v>1</v>
      </c>
    </row>
    <row collapsed="false" customFormat="false" customHeight="false" hidden="false" ht="15" outlineLevel="0" r="398">
      <c r="C398" s="134" t="n">
        <v>69</v>
      </c>
      <c r="D398" s="109" t="n">
        <v>1</v>
      </c>
    </row>
    <row collapsed="false" customFormat="false" customHeight="false" hidden="false" ht="15" outlineLevel="0" r="399">
      <c r="C399" s="134" t="n">
        <v>71</v>
      </c>
      <c r="D399" s="109" t="n">
        <v>1</v>
      </c>
    </row>
    <row collapsed="false" customFormat="false" customHeight="false" hidden="false" ht="15" outlineLevel="0" r="400">
      <c r="C400" s="134" t="n">
        <v>72</v>
      </c>
      <c r="D400" s="109" t="n">
        <v>1</v>
      </c>
    </row>
    <row collapsed="false" customFormat="false" customHeight="false" hidden="false" ht="15" outlineLevel="0" r="401">
      <c r="C401" s="134" t="n">
        <v>73</v>
      </c>
      <c r="D401" s="109" t="n">
        <v>1</v>
      </c>
    </row>
    <row collapsed="false" customFormat="false" customHeight="false" hidden="false" ht="15" outlineLevel="0" r="402">
      <c r="C402" s="134" t="n">
        <v>74</v>
      </c>
      <c r="D402" s="109" t="n">
        <v>1</v>
      </c>
    </row>
    <row collapsed="false" customFormat="false" customHeight="false" hidden="false" ht="15" outlineLevel="0" r="403">
      <c r="C403" s="134" t="n">
        <v>76</v>
      </c>
      <c r="D403" s="109" t="n">
        <v>1</v>
      </c>
    </row>
    <row collapsed="false" customFormat="false" customHeight="false" hidden="false" ht="15" outlineLevel="0" r="404">
      <c r="C404" s="134" t="n">
        <v>77</v>
      </c>
      <c r="D404" s="109" t="n">
        <v>1</v>
      </c>
    </row>
    <row collapsed="false" customFormat="false" customHeight="false" hidden="false" ht="15" outlineLevel="0" r="405">
      <c r="C405" s="134" t="n">
        <v>78</v>
      </c>
      <c r="D405" s="109" t="n">
        <v>1</v>
      </c>
    </row>
    <row collapsed="false" customFormat="false" customHeight="false" hidden="false" ht="15" outlineLevel="0" r="406">
      <c r="C406" s="134" t="n">
        <v>79</v>
      </c>
      <c r="D406" s="109" t="n">
        <v>1</v>
      </c>
    </row>
    <row collapsed="false" customFormat="false" customHeight="false" hidden="false" ht="15" outlineLevel="0" r="407">
      <c r="C407" s="134" t="n">
        <v>80</v>
      </c>
      <c r="D407" s="109" t="n">
        <v>1</v>
      </c>
    </row>
    <row collapsed="false" customFormat="false" customHeight="false" hidden="false" ht="15" outlineLevel="0" r="408">
      <c r="C408" s="134" t="n">
        <v>81</v>
      </c>
      <c r="D408" s="109" t="n">
        <v>1</v>
      </c>
    </row>
    <row collapsed="false" customFormat="false" customHeight="false" hidden="false" ht="15" outlineLevel="0" r="409">
      <c r="C409" s="134" t="n">
        <v>82</v>
      </c>
      <c r="D409" s="109" t="n">
        <v>1</v>
      </c>
    </row>
    <row collapsed="false" customFormat="false" customHeight="false" hidden="false" ht="15" outlineLevel="0" r="410">
      <c r="C410" s="134" t="n">
        <v>83</v>
      </c>
      <c r="D410" s="109" t="n">
        <v>1</v>
      </c>
    </row>
    <row collapsed="false" customFormat="false" customHeight="false" hidden="false" ht="15" outlineLevel="0" r="411">
      <c r="C411" s="134" t="n">
        <v>84</v>
      </c>
      <c r="D411" s="109" t="n">
        <v>1</v>
      </c>
    </row>
    <row collapsed="false" customFormat="false" customHeight="false" hidden="false" ht="15" outlineLevel="0" r="412">
      <c r="C412" s="134" t="n">
        <v>85</v>
      </c>
      <c r="D412" s="109" t="n">
        <v>1</v>
      </c>
    </row>
    <row collapsed="false" customFormat="false" customHeight="false" hidden="false" ht="15" outlineLevel="0" r="413">
      <c r="C413" s="134" t="n">
        <v>86</v>
      </c>
      <c r="D413" s="109" t="n">
        <v>1</v>
      </c>
    </row>
    <row collapsed="false" customFormat="false" customHeight="false" hidden="false" ht="15" outlineLevel="0" r="414">
      <c r="C414" s="134" t="n">
        <v>87</v>
      </c>
      <c r="D414" s="109" t="n">
        <v>1</v>
      </c>
    </row>
    <row collapsed="false" customFormat="false" customHeight="false" hidden="false" ht="15" outlineLevel="0" r="415">
      <c r="C415" s="134" t="n">
        <v>89</v>
      </c>
      <c r="D415" s="109" t="n">
        <v>1</v>
      </c>
    </row>
    <row collapsed="false" customFormat="false" customHeight="false" hidden="false" ht="15" outlineLevel="0" r="416">
      <c r="C416" s="134" t="n">
        <v>90</v>
      </c>
      <c r="D416" s="109" t="n">
        <v>1</v>
      </c>
    </row>
    <row collapsed="false" customFormat="false" customHeight="false" hidden="false" ht="15" outlineLevel="0" r="417">
      <c r="C417" s="134" t="n">
        <v>91</v>
      </c>
      <c r="D417" s="109" t="n">
        <v>1</v>
      </c>
    </row>
    <row collapsed="false" customFormat="false" customHeight="false" hidden="false" ht="15" outlineLevel="0" r="418">
      <c r="C418" s="134" t="n">
        <v>93</v>
      </c>
      <c r="D418" s="109" t="n">
        <v>1</v>
      </c>
    </row>
    <row collapsed="false" customFormat="false" customHeight="false" hidden="false" ht="15" outlineLevel="0" r="419">
      <c r="C419" s="134" t="n">
        <v>94</v>
      </c>
      <c r="D419" s="109" t="n">
        <v>1</v>
      </c>
    </row>
    <row collapsed="false" customFormat="false" customHeight="false" hidden="false" ht="15" outlineLevel="0" r="420">
      <c r="C420" s="134" t="n">
        <v>95</v>
      </c>
      <c r="D420" s="109" t="n">
        <v>1</v>
      </c>
    </row>
    <row collapsed="false" customFormat="false" customHeight="false" hidden="false" ht="15" outlineLevel="0" r="421">
      <c r="C421" s="134" t="n">
        <v>96</v>
      </c>
      <c r="D421" s="109" t="n">
        <v>1</v>
      </c>
    </row>
    <row collapsed="false" customFormat="false" customHeight="false" hidden="false" ht="15" outlineLevel="0" r="422">
      <c r="C422" s="134" t="n">
        <v>98</v>
      </c>
      <c r="D422" s="109" t="n">
        <v>1</v>
      </c>
    </row>
    <row collapsed="false" customFormat="false" customHeight="false" hidden="false" ht="15" outlineLevel="0" r="423">
      <c r="C423" s="134" t="n">
        <v>99</v>
      </c>
      <c r="D423" s="109" t="n">
        <v>1</v>
      </c>
    </row>
    <row collapsed="false" customFormat="false" customHeight="false" hidden="false" ht="15" outlineLevel="0" r="424">
      <c r="C424" s="134" t="n">
        <v>100</v>
      </c>
      <c r="D424" s="109" t="n">
        <v>1</v>
      </c>
    </row>
    <row collapsed="false" customFormat="false" customHeight="false" hidden="false" ht="15" outlineLevel="0" r="425">
      <c r="C425" s="134" t="n">
        <v>101</v>
      </c>
      <c r="D425" s="109" t="n">
        <v>1</v>
      </c>
    </row>
    <row collapsed="false" customFormat="false" customHeight="false" hidden="false" ht="15" outlineLevel="0" r="426">
      <c r="C426" s="134" t="n">
        <v>102</v>
      </c>
      <c r="D426" s="109" t="n">
        <v>1</v>
      </c>
    </row>
    <row collapsed="false" customFormat="false" customHeight="false" hidden="false" ht="15" outlineLevel="0" r="427">
      <c r="C427" s="134" t="n">
        <v>103</v>
      </c>
      <c r="D427" s="109" t="n">
        <v>1</v>
      </c>
    </row>
    <row collapsed="false" customFormat="false" customHeight="false" hidden="false" ht="15" outlineLevel="0" r="428">
      <c r="C428" s="134" t="n">
        <v>104</v>
      </c>
      <c r="D428" s="109" t="n">
        <v>1</v>
      </c>
    </row>
    <row collapsed="false" customFormat="false" customHeight="false" hidden="false" ht="15" outlineLevel="0" r="429">
      <c r="C429" s="134" t="n">
        <v>105</v>
      </c>
      <c r="D429" s="109" t="n">
        <v>1</v>
      </c>
    </row>
    <row collapsed="false" customFormat="false" customHeight="false" hidden="false" ht="15" outlineLevel="0" r="430">
      <c r="C430" s="134" t="n">
        <v>106</v>
      </c>
      <c r="D430" s="109" t="n">
        <v>1</v>
      </c>
    </row>
    <row collapsed="false" customFormat="false" customHeight="false" hidden="false" ht="15" outlineLevel="0" r="431">
      <c r="C431" s="134" t="n">
        <v>107</v>
      </c>
      <c r="D431" s="109" t="n">
        <v>1</v>
      </c>
    </row>
    <row collapsed="false" customFormat="false" customHeight="false" hidden="false" ht="15" outlineLevel="0" r="432">
      <c r="C432" s="134" t="n">
        <v>108</v>
      </c>
      <c r="D432" s="109" t="n">
        <v>1</v>
      </c>
    </row>
    <row collapsed="false" customFormat="false" customHeight="false" hidden="false" ht="15" outlineLevel="0" r="433">
      <c r="C433" s="134" t="n">
        <v>109</v>
      </c>
      <c r="D433" s="109" t="n">
        <v>1</v>
      </c>
    </row>
    <row collapsed="false" customFormat="false" customHeight="false" hidden="false" ht="15" outlineLevel="0" r="434">
      <c r="C434" s="134" t="n">
        <v>110</v>
      </c>
      <c r="D434" s="109" t="n">
        <v>1</v>
      </c>
    </row>
    <row collapsed="false" customFormat="false" customHeight="false" hidden="false" ht="15" outlineLevel="0" r="435">
      <c r="C435" s="134" t="n">
        <v>112</v>
      </c>
      <c r="D435" s="109" t="n">
        <v>1</v>
      </c>
    </row>
    <row collapsed="false" customFormat="false" customHeight="false" hidden="false" ht="15" outlineLevel="0" r="436">
      <c r="C436" s="134" t="n">
        <v>113</v>
      </c>
      <c r="D436" s="109" t="n">
        <v>1</v>
      </c>
    </row>
    <row collapsed="false" customFormat="false" customHeight="false" hidden="false" ht="15" outlineLevel="0" r="437">
      <c r="C437" s="134" t="n">
        <v>114</v>
      </c>
      <c r="D437" s="109" t="n">
        <v>1</v>
      </c>
    </row>
    <row collapsed="false" customFormat="false" customHeight="false" hidden="false" ht="15" outlineLevel="0" r="438">
      <c r="C438" s="134" t="n">
        <v>116</v>
      </c>
      <c r="D438" s="109" t="n">
        <v>1</v>
      </c>
    </row>
    <row collapsed="false" customFormat="false" customHeight="false" hidden="false" ht="15" outlineLevel="0" r="439">
      <c r="C439" s="134" t="n">
        <v>117</v>
      </c>
      <c r="D439" s="109" t="n">
        <v>1</v>
      </c>
    </row>
    <row collapsed="false" customFormat="false" customHeight="false" hidden="false" ht="15" outlineLevel="0" r="440">
      <c r="C440" s="134" t="n">
        <v>118</v>
      </c>
      <c r="D440" s="109" t="n">
        <v>1</v>
      </c>
    </row>
    <row collapsed="false" customFormat="false" customHeight="false" hidden="false" ht="15" outlineLevel="0" r="441">
      <c r="C441" s="134" t="n">
        <v>119</v>
      </c>
      <c r="D441" s="109" t="n">
        <v>1</v>
      </c>
    </row>
    <row collapsed="false" customFormat="false" customHeight="false" hidden="false" ht="15" outlineLevel="0" r="442">
      <c r="C442" s="134" t="n">
        <v>120</v>
      </c>
      <c r="D442" s="109" t="n">
        <v>1</v>
      </c>
    </row>
    <row collapsed="false" customFormat="false" customHeight="false" hidden="false" ht="15" outlineLevel="0" r="443">
      <c r="C443" s="134" t="n">
        <v>121</v>
      </c>
      <c r="D443" s="109" t="n">
        <v>1</v>
      </c>
    </row>
    <row collapsed="false" customFormat="false" customHeight="false" hidden="false" ht="15" outlineLevel="0" r="444">
      <c r="C444" s="134" t="n">
        <v>122</v>
      </c>
      <c r="D444" s="109" t="n">
        <v>1</v>
      </c>
    </row>
    <row collapsed="false" customFormat="false" customHeight="false" hidden="false" ht="15" outlineLevel="0" r="445">
      <c r="C445" s="134" t="n">
        <v>123</v>
      </c>
      <c r="D445" s="109" t="n">
        <v>1</v>
      </c>
    </row>
    <row collapsed="false" customFormat="false" customHeight="false" hidden="false" ht="15" outlineLevel="0" r="446">
      <c r="C446" s="134" t="n">
        <v>124</v>
      </c>
      <c r="D446" s="109" t="n">
        <v>1</v>
      </c>
    </row>
    <row collapsed="false" customFormat="false" customHeight="false" hidden="false" ht="15" outlineLevel="0" r="447">
      <c r="C447" s="134" t="n">
        <v>125</v>
      </c>
      <c r="D447" s="109" t="n">
        <v>1</v>
      </c>
    </row>
    <row collapsed="false" customFormat="false" customHeight="false" hidden="false" ht="15" outlineLevel="0" r="448">
      <c r="C448" s="134" t="n">
        <v>126</v>
      </c>
      <c r="D448" s="109" t="n">
        <v>1</v>
      </c>
    </row>
    <row collapsed="false" customFormat="false" customHeight="false" hidden="false" ht="15" outlineLevel="0" r="449">
      <c r="C449" s="134" t="n">
        <v>127</v>
      </c>
      <c r="D449" s="109" t="n">
        <v>1</v>
      </c>
    </row>
    <row collapsed="false" customFormat="false" customHeight="false" hidden="false" ht="15" outlineLevel="0" r="450">
      <c r="C450" s="134" t="n">
        <v>128</v>
      </c>
      <c r="D450" s="109" t="n">
        <v>1</v>
      </c>
    </row>
    <row collapsed="false" customFormat="false" customHeight="false" hidden="false" ht="15" outlineLevel="0" r="451">
      <c r="C451" s="134" t="n">
        <v>129</v>
      </c>
      <c r="D451" s="109" t="n">
        <v>1</v>
      </c>
    </row>
    <row collapsed="false" customFormat="false" customHeight="false" hidden="false" ht="15" outlineLevel="0" r="452">
      <c r="C452" s="134" t="n">
        <v>130</v>
      </c>
      <c r="D452" s="109" t="n">
        <v>1</v>
      </c>
    </row>
    <row collapsed="false" customFormat="false" customHeight="false" hidden="false" ht="15" outlineLevel="0" r="453">
      <c r="C453" s="134" t="n">
        <v>131</v>
      </c>
      <c r="D453" s="109" t="n">
        <v>1</v>
      </c>
    </row>
    <row collapsed="false" customFormat="false" customHeight="false" hidden="false" ht="15" outlineLevel="0" r="454">
      <c r="C454" s="134" t="n">
        <v>132</v>
      </c>
      <c r="D454" s="109" t="n">
        <v>1</v>
      </c>
    </row>
    <row collapsed="false" customFormat="false" customHeight="false" hidden="false" ht="15" outlineLevel="0" r="455">
      <c r="C455" s="134" t="n">
        <v>133</v>
      </c>
      <c r="D455" s="109" t="n">
        <v>1</v>
      </c>
    </row>
    <row collapsed="false" customFormat="false" customHeight="false" hidden="false" ht="15" outlineLevel="0" r="456">
      <c r="C456" s="134" t="n">
        <v>134</v>
      </c>
      <c r="D456" s="109" t="n">
        <v>1</v>
      </c>
    </row>
    <row collapsed="false" customFormat="false" customHeight="false" hidden="false" ht="15" outlineLevel="0" r="457">
      <c r="C457" s="134" t="n">
        <v>135</v>
      </c>
      <c r="D457" s="109" t="n">
        <v>1</v>
      </c>
    </row>
    <row collapsed="false" customFormat="false" customHeight="false" hidden="false" ht="15" outlineLevel="0" r="458">
      <c r="C458" s="134" t="n">
        <v>136</v>
      </c>
      <c r="D458" s="109" t="n">
        <v>1</v>
      </c>
    </row>
    <row collapsed="false" customFormat="false" customHeight="false" hidden="false" ht="15" outlineLevel="0" r="459">
      <c r="C459" s="134" t="n">
        <v>137</v>
      </c>
      <c r="D459" s="109" t="n">
        <v>1</v>
      </c>
    </row>
    <row collapsed="false" customFormat="false" customHeight="false" hidden="false" ht="15" outlineLevel="0" r="460">
      <c r="C460" s="134" t="n">
        <v>138</v>
      </c>
      <c r="D460" s="109" t="n">
        <v>1</v>
      </c>
    </row>
    <row collapsed="false" customFormat="false" customHeight="false" hidden="false" ht="15" outlineLevel="0" r="461">
      <c r="C461" s="134" t="n">
        <v>139</v>
      </c>
      <c r="D461" s="109" t="n">
        <v>1</v>
      </c>
    </row>
    <row collapsed="false" customFormat="false" customHeight="false" hidden="false" ht="15" outlineLevel="0" r="462">
      <c r="C462" s="134" t="n">
        <v>142</v>
      </c>
      <c r="D462" s="109" t="n">
        <v>1</v>
      </c>
    </row>
    <row collapsed="false" customFormat="false" customHeight="false" hidden="false" ht="15" outlineLevel="0" r="463">
      <c r="C463" s="134" t="n">
        <v>143</v>
      </c>
      <c r="D463" s="109" t="n">
        <v>1</v>
      </c>
    </row>
    <row collapsed="false" customFormat="false" customHeight="false" hidden="false" ht="15" outlineLevel="0" r="464">
      <c r="C464" s="134" t="n">
        <v>144</v>
      </c>
      <c r="D464" s="109" t="n">
        <v>1</v>
      </c>
    </row>
    <row collapsed="false" customFormat="false" customHeight="false" hidden="false" ht="15" outlineLevel="0" r="465">
      <c r="C465" s="134" t="n">
        <v>146</v>
      </c>
      <c r="D465" s="109" t="n">
        <v>1</v>
      </c>
    </row>
    <row collapsed="false" customFormat="false" customHeight="false" hidden="false" ht="15" outlineLevel="0" r="466">
      <c r="C466" s="134" t="n">
        <v>147</v>
      </c>
      <c r="D466" s="109" t="n">
        <v>1</v>
      </c>
    </row>
    <row collapsed="false" customFormat="false" customHeight="false" hidden="false" ht="15" outlineLevel="0" r="467">
      <c r="C467" s="134" t="n">
        <v>148</v>
      </c>
      <c r="D467" s="109" t="n">
        <v>1</v>
      </c>
    </row>
    <row collapsed="false" customFormat="false" customHeight="false" hidden="false" ht="15" outlineLevel="0" r="468">
      <c r="C468" s="134" t="n">
        <v>149</v>
      </c>
      <c r="D468" s="109" t="n">
        <v>1</v>
      </c>
    </row>
    <row collapsed="false" customFormat="false" customHeight="false" hidden="false" ht="15" outlineLevel="0" r="469">
      <c r="C469" s="134" t="n">
        <v>150</v>
      </c>
      <c r="D469" s="109" t="n">
        <v>1</v>
      </c>
    </row>
    <row collapsed="false" customFormat="false" customHeight="false" hidden="false" ht="15" outlineLevel="0" r="470">
      <c r="C470" s="134" t="n">
        <v>151</v>
      </c>
      <c r="D470" s="109" t="n">
        <v>1</v>
      </c>
    </row>
    <row collapsed="false" customFormat="false" customHeight="false" hidden="false" ht="15" outlineLevel="0" r="471">
      <c r="C471" s="134" t="n">
        <v>152</v>
      </c>
      <c r="D471" s="109" t="n">
        <v>1</v>
      </c>
    </row>
    <row collapsed="false" customFormat="false" customHeight="false" hidden="false" ht="15" outlineLevel="0" r="472">
      <c r="C472" s="134" t="n">
        <v>153</v>
      </c>
      <c r="D472" s="109" t="n">
        <v>1</v>
      </c>
    </row>
    <row collapsed="false" customFormat="false" customHeight="false" hidden="false" ht="15" outlineLevel="0" r="473">
      <c r="C473" s="134" t="n">
        <v>154</v>
      </c>
      <c r="D473" s="109" t="n">
        <v>1</v>
      </c>
    </row>
    <row collapsed="false" customFormat="false" customHeight="false" hidden="false" ht="15" outlineLevel="0" r="474">
      <c r="C474" s="134" t="n">
        <v>155</v>
      </c>
      <c r="D474" s="109" t="n">
        <v>1</v>
      </c>
    </row>
    <row collapsed="false" customFormat="false" customHeight="false" hidden="false" ht="15" outlineLevel="0" r="475">
      <c r="C475" s="134" t="n">
        <v>156</v>
      </c>
      <c r="D475" s="109" t="n">
        <v>1</v>
      </c>
    </row>
    <row collapsed="false" customFormat="false" customHeight="false" hidden="false" ht="15" outlineLevel="0" r="476">
      <c r="C476" s="134" t="n">
        <v>157</v>
      </c>
      <c r="D476" s="109" t="n">
        <v>1</v>
      </c>
    </row>
    <row collapsed="false" customFormat="false" customHeight="false" hidden="false" ht="15" outlineLevel="0" r="477">
      <c r="C477" s="134" t="n">
        <v>158</v>
      </c>
      <c r="D477" s="109" t="n">
        <v>1</v>
      </c>
    </row>
    <row collapsed="false" customFormat="false" customHeight="false" hidden="false" ht="15" outlineLevel="0" r="478">
      <c r="C478" s="134" t="n">
        <v>159</v>
      </c>
      <c r="D478" s="109" t="n">
        <v>1</v>
      </c>
    </row>
    <row collapsed="false" customFormat="false" customHeight="false" hidden="false" ht="15" outlineLevel="0" r="479">
      <c r="C479" s="134" t="n">
        <v>160</v>
      </c>
      <c r="D479" s="109" t="n">
        <v>1</v>
      </c>
    </row>
    <row collapsed="false" customFormat="false" customHeight="false" hidden="false" ht="15" outlineLevel="0" r="480">
      <c r="C480" s="134" t="n">
        <v>161</v>
      </c>
      <c r="D480" s="109" t="n">
        <v>1</v>
      </c>
    </row>
    <row collapsed="false" customFormat="false" customHeight="false" hidden="false" ht="15" outlineLevel="0" r="481">
      <c r="C481" s="134" t="n">
        <v>162</v>
      </c>
      <c r="D481" s="109" t="n">
        <v>1</v>
      </c>
    </row>
    <row collapsed="false" customFormat="false" customHeight="false" hidden="false" ht="15" outlineLevel="0" r="482">
      <c r="C482" s="134" t="n">
        <v>163</v>
      </c>
      <c r="D482" s="109" t="n">
        <v>1</v>
      </c>
    </row>
    <row collapsed="false" customFormat="false" customHeight="false" hidden="false" ht="15" outlineLevel="0" r="483">
      <c r="C483" s="134" t="n">
        <v>164</v>
      </c>
      <c r="D483" s="109" t="n">
        <v>1</v>
      </c>
    </row>
    <row collapsed="false" customFormat="false" customHeight="false" hidden="false" ht="15" outlineLevel="0" r="484">
      <c r="C484" s="134" t="n">
        <v>165</v>
      </c>
      <c r="D484" s="109" t="n">
        <v>1</v>
      </c>
    </row>
    <row collapsed="false" customFormat="false" customHeight="false" hidden="false" ht="15" outlineLevel="0" r="485">
      <c r="C485" s="134" t="n">
        <v>166</v>
      </c>
      <c r="D485" s="109" t="n">
        <v>1</v>
      </c>
    </row>
    <row collapsed="false" customFormat="false" customHeight="false" hidden="false" ht="15" outlineLevel="0" r="486">
      <c r="C486" s="134" t="n">
        <v>167</v>
      </c>
      <c r="D486" s="109" t="n">
        <v>1</v>
      </c>
    </row>
    <row collapsed="false" customFormat="false" customHeight="false" hidden="false" ht="15" outlineLevel="0" r="487">
      <c r="C487" s="134" t="n">
        <v>168</v>
      </c>
      <c r="D487" s="109" t="n">
        <v>1</v>
      </c>
    </row>
    <row collapsed="false" customFormat="false" customHeight="false" hidden="false" ht="15" outlineLevel="0" r="488">
      <c r="C488" s="134" t="n">
        <v>169</v>
      </c>
      <c r="D488" s="109" t="n">
        <v>1</v>
      </c>
    </row>
    <row collapsed="false" customFormat="false" customHeight="false" hidden="false" ht="15" outlineLevel="0" r="489">
      <c r="C489" s="134" t="n">
        <v>170</v>
      </c>
      <c r="D489" s="109" t="n">
        <v>1</v>
      </c>
    </row>
    <row collapsed="false" customFormat="false" customHeight="false" hidden="false" ht="15" outlineLevel="0" r="490">
      <c r="C490" s="134" t="n">
        <v>172</v>
      </c>
      <c r="D490" s="109" t="n">
        <v>1</v>
      </c>
    </row>
    <row collapsed="false" customFormat="false" customHeight="false" hidden="false" ht="15" outlineLevel="0" r="491">
      <c r="C491" s="134" t="n">
        <v>173</v>
      </c>
      <c r="D491" s="109" t="n">
        <v>1</v>
      </c>
    </row>
    <row collapsed="false" customFormat="false" customHeight="false" hidden="false" ht="15" outlineLevel="0" r="492">
      <c r="C492" s="134" t="n">
        <v>174</v>
      </c>
      <c r="D492" s="109" t="n">
        <v>1</v>
      </c>
    </row>
    <row collapsed="false" customFormat="false" customHeight="false" hidden="false" ht="15" outlineLevel="0" r="493">
      <c r="C493" s="134" t="n">
        <v>175</v>
      </c>
      <c r="D493" s="109" t="n">
        <v>1</v>
      </c>
    </row>
    <row collapsed="false" customFormat="false" customHeight="false" hidden="false" ht="15" outlineLevel="0" r="494">
      <c r="C494" s="134" t="n">
        <v>176</v>
      </c>
      <c r="D494" s="109" t="n">
        <v>1</v>
      </c>
    </row>
    <row collapsed="false" customFormat="false" customHeight="false" hidden="false" ht="15" outlineLevel="0" r="495">
      <c r="C495" s="134" t="n">
        <v>177</v>
      </c>
      <c r="D495" s="109" t="n">
        <v>1</v>
      </c>
    </row>
    <row collapsed="false" customFormat="false" customHeight="false" hidden="false" ht="15" outlineLevel="0" r="496">
      <c r="C496" s="134" t="n">
        <v>178</v>
      </c>
      <c r="D496" s="109" t="n">
        <v>1</v>
      </c>
    </row>
    <row collapsed="false" customFormat="false" customHeight="false" hidden="false" ht="15" outlineLevel="0" r="497">
      <c r="C497" s="134" t="n">
        <v>180</v>
      </c>
      <c r="D497" s="109" t="n">
        <v>1</v>
      </c>
    </row>
    <row collapsed="false" customFormat="false" customHeight="false" hidden="false" ht="15" outlineLevel="0" r="498">
      <c r="C498" s="134" t="n">
        <v>181</v>
      </c>
      <c r="D498" s="109" t="n">
        <v>1</v>
      </c>
    </row>
    <row collapsed="false" customFormat="false" customHeight="false" hidden="false" ht="15" outlineLevel="0" r="499">
      <c r="C499" s="134" t="n">
        <v>182</v>
      </c>
      <c r="D499" s="109" t="n">
        <v>1</v>
      </c>
    </row>
    <row collapsed="false" customFormat="false" customHeight="false" hidden="false" ht="15" outlineLevel="0" r="500">
      <c r="C500" s="134" t="n">
        <v>183</v>
      </c>
      <c r="D500" s="109" t="n">
        <v>1</v>
      </c>
    </row>
    <row collapsed="false" customFormat="false" customHeight="false" hidden="false" ht="15" outlineLevel="0" r="501">
      <c r="C501" s="134" t="n">
        <v>185</v>
      </c>
      <c r="D501" s="109" t="n">
        <v>1</v>
      </c>
    </row>
    <row collapsed="false" customFormat="false" customHeight="false" hidden="false" ht="15" outlineLevel="0" r="502">
      <c r="C502" s="134" t="n">
        <v>186</v>
      </c>
      <c r="D502" s="109" t="n">
        <v>1</v>
      </c>
    </row>
    <row collapsed="false" customFormat="false" customHeight="false" hidden="false" ht="15" outlineLevel="0" r="503">
      <c r="C503" s="134" t="n">
        <v>187</v>
      </c>
      <c r="D503" s="109" t="n">
        <v>1</v>
      </c>
    </row>
    <row collapsed="false" customFormat="false" customHeight="false" hidden="false" ht="15" outlineLevel="0" r="504">
      <c r="C504" s="134" t="n">
        <v>188</v>
      </c>
      <c r="D504" s="109" t="n">
        <v>1</v>
      </c>
    </row>
    <row collapsed="false" customFormat="false" customHeight="false" hidden="false" ht="15" outlineLevel="0" r="505">
      <c r="C505" s="134" t="n">
        <v>190</v>
      </c>
      <c r="D505" s="109" t="n">
        <v>1</v>
      </c>
    </row>
    <row collapsed="false" customFormat="false" customHeight="false" hidden="false" ht="15" outlineLevel="0" r="506">
      <c r="C506" s="134" t="n">
        <v>191</v>
      </c>
      <c r="D506" s="109" t="n">
        <v>1</v>
      </c>
    </row>
    <row collapsed="false" customFormat="false" customHeight="false" hidden="false" ht="15" outlineLevel="0" r="507">
      <c r="C507" s="134" t="n">
        <v>192</v>
      </c>
      <c r="D507" s="109" t="n">
        <v>1</v>
      </c>
    </row>
    <row collapsed="false" customFormat="false" customHeight="false" hidden="false" ht="15" outlineLevel="0" r="508">
      <c r="C508" s="134" t="n">
        <v>193</v>
      </c>
      <c r="D508" s="109" t="n">
        <v>1</v>
      </c>
    </row>
    <row collapsed="false" customFormat="false" customHeight="false" hidden="false" ht="15" outlineLevel="0" r="509">
      <c r="C509" s="134" t="n">
        <v>194</v>
      </c>
      <c r="D509" s="109" t="n">
        <v>1</v>
      </c>
    </row>
    <row collapsed="false" customFormat="false" customHeight="false" hidden="false" ht="15" outlineLevel="0" r="510">
      <c r="C510" s="134" t="n">
        <v>196</v>
      </c>
      <c r="D510" s="109" t="n">
        <v>1</v>
      </c>
    </row>
    <row collapsed="false" customFormat="false" customHeight="false" hidden="false" ht="15" outlineLevel="0" r="511">
      <c r="C511" s="134" t="n">
        <v>197</v>
      </c>
      <c r="D511" s="109" t="n">
        <v>1</v>
      </c>
    </row>
    <row collapsed="false" customFormat="false" customHeight="false" hidden="false" ht="15" outlineLevel="0" r="512">
      <c r="C512" s="134" t="n">
        <v>198</v>
      </c>
      <c r="D512" s="109" t="n">
        <v>1</v>
      </c>
    </row>
    <row collapsed="false" customFormat="false" customHeight="false" hidden="false" ht="15" outlineLevel="0" r="513">
      <c r="C513" s="134" t="n">
        <v>199</v>
      </c>
      <c r="D513" s="109" t="n">
        <v>1</v>
      </c>
    </row>
    <row collapsed="false" customFormat="false" customHeight="false" hidden="false" ht="15" outlineLevel="0" r="514">
      <c r="C514" s="134" t="n">
        <v>201</v>
      </c>
      <c r="D514" s="109" t="n">
        <v>1</v>
      </c>
    </row>
    <row collapsed="false" customFormat="false" customHeight="false" hidden="false" ht="15" outlineLevel="0" r="515">
      <c r="C515" s="134" t="n">
        <v>202</v>
      </c>
      <c r="D515" s="109" t="n">
        <v>1</v>
      </c>
    </row>
    <row collapsed="false" customFormat="false" customHeight="false" hidden="false" ht="15" outlineLevel="0" r="516">
      <c r="C516" s="134" t="n">
        <v>203</v>
      </c>
      <c r="D516" s="109" t="n">
        <v>1</v>
      </c>
    </row>
    <row collapsed="false" customFormat="false" customHeight="false" hidden="false" ht="15" outlineLevel="0" r="517">
      <c r="C517" s="134" t="n">
        <v>204</v>
      </c>
      <c r="D517" s="109" t="n">
        <v>1</v>
      </c>
    </row>
    <row collapsed="false" customFormat="false" customHeight="false" hidden="false" ht="15" outlineLevel="0" r="518">
      <c r="C518" s="134" t="n">
        <v>205</v>
      </c>
      <c r="D518" s="109" t="n">
        <v>1</v>
      </c>
    </row>
    <row collapsed="false" customFormat="false" customHeight="false" hidden="false" ht="15" outlineLevel="0" r="519">
      <c r="C519" s="134" t="n">
        <v>206</v>
      </c>
      <c r="D519" s="109" t="n">
        <v>1</v>
      </c>
    </row>
    <row collapsed="false" customFormat="false" customHeight="false" hidden="false" ht="15" outlineLevel="0" r="520">
      <c r="C520" s="134" t="n">
        <v>207</v>
      </c>
      <c r="D520" s="109" t="n">
        <v>1</v>
      </c>
    </row>
    <row collapsed="false" customFormat="false" customHeight="false" hidden="false" ht="15" outlineLevel="0" r="521">
      <c r="C521" s="134" t="n">
        <v>208</v>
      </c>
      <c r="D521" s="109" t="n">
        <v>1</v>
      </c>
    </row>
    <row collapsed="false" customFormat="false" customHeight="false" hidden="false" ht="15" outlineLevel="0" r="522">
      <c r="C522" s="134" t="n">
        <v>209</v>
      </c>
      <c r="D522" s="109" t="n">
        <v>1</v>
      </c>
    </row>
    <row collapsed="false" customFormat="false" customHeight="false" hidden="false" ht="15" outlineLevel="0" r="523">
      <c r="C523" s="134" t="n">
        <v>210</v>
      </c>
      <c r="D523" s="109" t="n">
        <v>1</v>
      </c>
    </row>
    <row collapsed="false" customFormat="false" customHeight="false" hidden="false" ht="15" outlineLevel="0" r="524">
      <c r="C524" s="134" t="n">
        <v>211</v>
      </c>
      <c r="D524" s="109" t="n">
        <v>1</v>
      </c>
    </row>
    <row collapsed="false" customFormat="false" customHeight="false" hidden="false" ht="15" outlineLevel="0" r="525">
      <c r="C525" s="134" t="n">
        <v>212</v>
      </c>
      <c r="D525" s="109" t="n">
        <v>1</v>
      </c>
    </row>
    <row collapsed="false" customFormat="false" customHeight="false" hidden="false" ht="15" outlineLevel="0" r="526">
      <c r="C526" s="134" t="n">
        <v>213</v>
      </c>
      <c r="D526" s="109" t="n">
        <v>1</v>
      </c>
    </row>
    <row collapsed="false" customFormat="false" customHeight="false" hidden="false" ht="15" outlineLevel="0" r="527">
      <c r="C527" s="134" t="n">
        <v>214</v>
      </c>
      <c r="D527" s="109" t="n">
        <v>1</v>
      </c>
    </row>
    <row collapsed="false" customFormat="false" customHeight="false" hidden="false" ht="15" outlineLevel="0" r="528">
      <c r="C528" s="134" t="n">
        <v>215</v>
      </c>
      <c r="D528" s="109" t="n">
        <v>1</v>
      </c>
    </row>
    <row collapsed="false" customFormat="false" customHeight="false" hidden="false" ht="15" outlineLevel="0" r="529">
      <c r="C529" s="134" t="n">
        <v>216</v>
      </c>
      <c r="D529" s="109" t="n">
        <v>1</v>
      </c>
    </row>
    <row collapsed="false" customFormat="false" customHeight="false" hidden="false" ht="15" outlineLevel="0" r="530">
      <c r="C530" s="134" t="n">
        <v>218</v>
      </c>
      <c r="D530" s="109" t="n">
        <v>1</v>
      </c>
    </row>
    <row collapsed="false" customFormat="false" customHeight="false" hidden="false" ht="15" outlineLevel="0" r="531">
      <c r="C531" s="134" t="n">
        <v>219</v>
      </c>
      <c r="D531" s="109" t="n">
        <v>1</v>
      </c>
    </row>
    <row collapsed="false" customFormat="false" customHeight="false" hidden="false" ht="15" outlineLevel="0" r="532">
      <c r="C532" s="134" t="n">
        <v>220</v>
      </c>
      <c r="D532" s="109" t="n">
        <v>1</v>
      </c>
    </row>
    <row collapsed="false" customFormat="false" customHeight="false" hidden="false" ht="15" outlineLevel="0" r="533">
      <c r="C533" s="134" t="n">
        <v>221</v>
      </c>
      <c r="D533" s="109" t="n">
        <v>1</v>
      </c>
    </row>
    <row collapsed="false" customFormat="false" customHeight="false" hidden="false" ht="15" outlineLevel="0" r="534">
      <c r="C534" s="134" t="n">
        <v>222</v>
      </c>
      <c r="D534" s="109" t="n">
        <v>1</v>
      </c>
    </row>
    <row collapsed="false" customFormat="false" customHeight="false" hidden="false" ht="15" outlineLevel="0" r="535">
      <c r="C535" s="134" t="n">
        <v>223</v>
      </c>
      <c r="D535" s="109" t="n">
        <v>1</v>
      </c>
    </row>
    <row collapsed="false" customFormat="false" customHeight="false" hidden="false" ht="15" outlineLevel="0" r="536">
      <c r="C536" s="134" t="n">
        <v>224</v>
      </c>
      <c r="D536" s="109" t="n">
        <v>1</v>
      </c>
    </row>
    <row collapsed="false" customFormat="false" customHeight="false" hidden="false" ht="15" outlineLevel="0" r="537">
      <c r="C537" s="134" t="n">
        <v>225</v>
      </c>
      <c r="D537" s="109" t="n">
        <v>1</v>
      </c>
    </row>
    <row collapsed="false" customFormat="false" customHeight="false" hidden="false" ht="15" outlineLevel="0" r="538">
      <c r="C538" s="134" t="n">
        <v>226</v>
      </c>
      <c r="D538" s="109" t="n">
        <v>1</v>
      </c>
    </row>
    <row collapsed="false" customFormat="false" customHeight="false" hidden="false" ht="15" outlineLevel="0" r="539">
      <c r="C539" s="134" t="n">
        <v>227</v>
      </c>
      <c r="D539" s="109" t="n">
        <v>1</v>
      </c>
    </row>
    <row collapsed="false" customFormat="false" customHeight="false" hidden="false" ht="15" outlineLevel="0" r="540">
      <c r="C540" s="134" t="n">
        <v>228</v>
      </c>
      <c r="D540" s="109" t="n">
        <v>1</v>
      </c>
    </row>
    <row collapsed="false" customFormat="false" customHeight="false" hidden="false" ht="15" outlineLevel="0" r="541">
      <c r="C541" s="134" t="n">
        <v>229</v>
      </c>
      <c r="D541" s="109" t="n">
        <v>1</v>
      </c>
    </row>
    <row collapsed="false" customFormat="false" customHeight="false" hidden="false" ht="15" outlineLevel="0" r="542">
      <c r="C542" s="134" t="n">
        <v>230</v>
      </c>
      <c r="D542" s="109" t="n">
        <v>1</v>
      </c>
    </row>
    <row collapsed="false" customFormat="false" customHeight="false" hidden="false" ht="15" outlineLevel="0" r="543">
      <c r="C543" s="134" t="n">
        <v>231</v>
      </c>
      <c r="D543" s="109" t="n">
        <v>1</v>
      </c>
    </row>
    <row collapsed="false" customFormat="false" customHeight="false" hidden="false" ht="15" outlineLevel="0" r="544">
      <c r="C544" s="134" t="n">
        <v>232</v>
      </c>
      <c r="D544" s="109" t="n">
        <v>1</v>
      </c>
    </row>
    <row collapsed="false" customFormat="false" customHeight="false" hidden="false" ht="15" outlineLevel="0" r="545">
      <c r="C545" s="134" t="n">
        <v>233</v>
      </c>
      <c r="D545" s="109" t="n">
        <v>1</v>
      </c>
    </row>
    <row collapsed="false" customFormat="false" customHeight="false" hidden="false" ht="15" outlineLevel="0" r="546">
      <c r="C546" s="134" t="n">
        <v>234</v>
      </c>
      <c r="D546" s="109" t="n">
        <v>1</v>
      </c>
    </row>
    <row collapsed="false" customFormat="false" customHeight="false" hidden="false" ht="15" outlineLevel="0" r="547">
      <c r="C547" s="134" t="n">
        <v>236</v>
      </c>
      <c r="D547" s="109" t="n">
        <v>1</v>
      </c>
    </row>
    <row collapsed="false" customFormat="false" customHeight="false" hidden="false" ht="15" outlineLevel="0" r="548">
      <c r="C548" s="134" t="n">
        <v>237</v>
      </c>
      <c r="D548" s="109" t="n">
        <v>1</v>
      </c>
    </row>
    <row collapsed="false" customFormat="false" customHeight="false" hidden="false" ht="15" outlineLevel="0" r="549">
      <c r="C549" s="134" t="n">
        <v>238</v>
      </c>
      <c r="D549" s="109" t="n">
        <v>1</v>
      </c>
    </row>
    <row collapsed="false" customFormat="false" customHeight="false" hidden="false" ht="15" outlineLevel="0" r="550">
      <c r="C550" s="134" t="n">
        <v>239</v>
      </c>
      <c r="D550" s="109" t="n">
        <v>1</v>
      </c>
    </row>
    <row collapsed="false" customFormat="false" customHeight="false" hidden="false" ht="15" outlineLevel="0" r="551">
      <c r="C551" s="134" t="n">
        <v>240</v>
      </c>
      <c r="D551" s="109" t="n">
        <v>1</v>
      </c>
    </row>
    <row collapsed="false" customFormat="false" customHeight="false" hidden="false" ht="15" outlineLevel="0" r="552">
      <c r="C552" s="134" t="n">
        <v>241</v>
      </c>
      <c r="D552" s="109" t="n">
        <v>1</v>
      </c>
    </row>
    <row collapsed="false" customFormat="false" customHeight="false" hidden="false" ht="15" outlineLevel="0" r="553">
      <c r="C553" s="134" t="n">
        <v>242</v>
      </c>
      <c r="D553" s="109" t="n">
        <v>1</v>
      </c>
    </row>
    <row collapsed="false" customFormat="false" customHeight="false" hidden="false" ht="15" outlineLevel="0" r="554">
      <c r="C554" s="134" t="n">
        <v>243</v>
      </c>
      <c r="D554" s="109" t="n">
        <v>1</v>
      </c>
    </row>
    <row collapsed="false" customFormat="false" customHeight="false" hidden="false" ht="15" outlineLevel="0" r="555">
      <c r="C555" s="134" t="n">
        <v>245</v>
      </c>
      <c r="D555" s="109" t="n">
        <v>1</v>
      </c>
    </row>
    <row collapsed="false" customFormat="false" customHeight="false" hidden="false" ht="15" outlineLevel="0" r="556">
      <c r="C556" s="134" t="n">
        <v>247</v>
      </c>
      <c r="D556" s="109" t="n">
        <v>1</v>
      </c>
    </row>
    <row collapsed="false" customFormat="false" customHeight="false" hidden="false" ht="15" outlineLevel="0" r="557">
      <c r="C557" s="134" t="n">
        <v>248</v>
      </c>
      <c r="D557" s="109" t="n">
        <v>1</v>
      </c>
    </row>
    <row collapsed="false" customFormat="false" customHeight="false" hidden="false" ht="15" outlineLevel="0" r="558">
      <c r="C558" s="134" t="n">
        <v>249</v>
      </c>
      <c r="D558" s="109" t="n">
        <v>1</v>
      </c>
    </row>
    <row collapsed="false" customFormat="false" customHeight="false" hidden="false" ht="15" outlineLevel="0" r="559">
      <c r="C559" s="134" t="n">
        <v>250</v>
      </c>
      <c r="D559" s="109" t="n">
        <v>1</v>
      </c>
    </row>
    <row collapsed="false" customFormat="false" customHeight="false" hidden="false" ht="15" outlineLevel="0" r="560">
      <c r="C560" s="134" t="n">
        <v>251</v>
      </c>
      <c r="D560" s="109" t="n">
        <v>1</v>
      </c>
    </row>
    <row collapsed="false" customFormat="false" customHeight="false" hidden="false" ht="15" outlineLevel="0" r="561">
      <c r="C561" s="134" t="n">
        <v>252</v>
      </c>
      <c r="D561" s="109" t="n">
        <v>1</v>
      </c>
    </row>
    <row collapsed="false" customFormat="false" customHeight="false" hidden="false" ht="15" outlineLevel="0" r="562">
      <c r="C562" s="134" t="n">
        <v>254</v>
      </c>
      <c r="D562" s="109" t="n">
        <v>1</v>
      </c>
    </row>
    <row collapsed="false" customFormat="false" customHeight="false" hidden="false" ht="15" outlineLevel="0" r="563">
      <c r="C563" s="134" t="n">
        <v>255</v>
      </c>
      <c r="D563" s="109" t="n">
        <v>1</v>
      </c>
    </row>
    <row collapsed="false" customFormat="false" customHeight="false" hidden="false" ht="15" outlineLevel="0" r="564">
      <c r="C564" s="134" t="n">
        <v>256</v>
      </c>
      <c r="D564" s="109" t="n">
        <v>1</v>
      </c>
    </row>
    <row collapsed="false" customFormat="false" customHeight="false" hidden="false" ht="15" outlineLevel="0" r="565">
      <c r="C565" s="134" t="n">
        <v>257</v>
      </c>
      <c r="D565" s="109" t="n">
        <v>1</v>
      </c>
    </row>
    <row collapsed="false" customFormat="false" customHeight="false" hidden="false" ht="15" outlineLevel="0" r="566">
      <c r="C566" s="134" t="n">
        <v>258</v>
      </c>
      <c r="D566" s="109" t="n">
        <v>1</v>
      </c>
    </row>
    <row collapsed="false" customFormat="false" customHeight="false" hidden="false" ht="15" outlineLevel="0" r="567">
      <c r="C567" s="134" t="n">
        <v>259</v>
      </c>
      <c r="D567" s="109" t="n">
        <v>1</v>
      </c>
    </row>
    <row collapsed="false" customFormat="false" customHeight="false" hidden="false" ht="15" outlineLevel="0" r="568">
      <c r="C568" s="134" t="n">
        <v>260</v>
      </c>
      <c r="D568" s="109" t="n">
        <v>1</v>
      </c>
    </row>
    <row collapsed="false" customFormat="false" customHeight="false" hidden="false" ht="15" outlineLevel="0" r="569">
      <c r="C569" s="134" t="n">
        <v>261</v>
      </c>
      <c r="D569" s="109" t="n">
        <v>1</v>
      </c>
    </row>
    <row collapsed="false" customFormat="false" customHeight="false" hidden="false" ht="15" outlineLevel="0" r="570">
      <c r="C570" s="134" t="n">
        <v>263</v>
      </c>
      <c r="D570" s="109" t="n">
        <v>1</v>
      </c>
    </row>
    <row collapsed="false" customFormat="false" customHeight="false" hidden="false" ht="15" outlineLevel="0" r="571">
      <c r="C571" s="134" t="n">
        <v>264</v>
      </c>
      <c r="D571" s="109" t="n">
        <v>1</v>
      </c>
    </row>
    <row collapsed="false" customFormat="false" customHeight="false" hidden="false" ht="15" outlineLevel="0" r="572">
      <c r="C572" s="134" t="n">
        <v>265</v>
      </c>
      <c r="D572" s="109" t="n">
        <v>1</v>
      </c>
    </row>
    <row collapsed="false" customFormat="false" customHeight="false" hidden="false" ht="15" outlineLevel="0" r="573">
      <c r="C573" s="134" t="n">
        <v>266</v>
      </c>
      <c r="D573" s="109" t="n">
        <v>1</v>
      </c>
    </row>
    <row collapsed="false" customFormat="false" customHeight="false" hidden="false" ht="15" outlineLevel="0" r="574">
      <c r="C574" s="134" t="n">
        <v>267</v>
      </c>
      <c r="D574" s="109" t="n">
        <v>1</v>
      </c>
    </row>
    <row collapsed="false" customFormat="false" customHeight="false" hidden="false" ht="15" outlineLevel="0" r="575">
      <c r="C575" s="134" t="n">
        <v>268</v>
      </c>
      <c r="D575" s="109" t="n">
        <v>1</v>
      </c>
    </row>
    <row collapsed="false" customFormat="false" customHeight="false" hidden="false" ht="15" outlineLevel="0" r="576">
      <c r="C576" s="134" t="n">
        <v>269</v>
      </c>
      <c r="D576" s="109" t="n">
        <v>1</v>
      </c>
    </row>
    <row collapsed="false" customFormat="false" customHeight="false" hidden="false" ht="15" outlineLevel="0" r="577">
      <c r="C577" s="134" t="n">
        <v>270</v>
      </c>
      <c r="D577" s="109" t="n">
        <v>1</v>
      </c>
    </row>
    <row collapsed="false" customFormat="false" customHeight="false" hidden="false" ht="15" outlineLevel="0" r="578">
      <c r="C578" s="134" t="n">
        <v>271</v>
      </c>
      <c r="D578" s="109" t="n">
        <v>1</v>
      </c>
    </row>
    <row collapsed="false" customFormat="false" customHeight="false" hidden="false" ht="15" outlineLevel="0" r="579">
      <c r="C579" s="134" t="n">
        <v>272</v>
      </c>
      <c r="D579" s="109" t="n">
        <v>1</v>
      </c>
    </row>
    <row collapsed="false" customFormat="false" customHeight="false" hidden="false" ht="15" outlineLevel="0" r="580">
      <c r="C580" s="134" t="n">
        <v>273</v>
      </c>
      <c r="D580" s="109" t="n">
        <v>1</v>
      </c>
    </row>
    <row collapsed="false" customFormat="false" customHeight="false" hidden="false" ht="15" outlineLevel="0" r="581">
      <c r="C581" s="134" t="n">
        <v>274</v>
      </c>
      <c r="D581" s="109" t="n">
        <v>1</v>
      </c>
    </row>
    <row collapsed="false" customFormat="false" customHeight="false" hidden="false" ht="15" outlineLevel="0" r="582">
      <c r="C582" s="134" t="n">
        <v>275</v>
      </c>
      <c r="D582" s="109" t="n">
        <v>1</v>
      </c>
    </row>
    <row collapsed="false" customFormat="false" customHeight="false" hidden="false" ht="15" outlineLevel="0" r="583">
      <c r="C583" s="134" t="n">
        <v>276</v>
      </c>
      <c r="D583" s="109" t="n">
        <v>1</v>
      </c>
    </row>
    <row collapsed="false" customFormat="false" customHeight="false" hidden="false" ht="15" outlineLevel="0" r="584">
      <c r="C584" s="134" t="n">
        <v>277</v>
      </c>
      <c r="D584" s="109" t="n">
        <v>1</v>
      </c>
    </row>
    <row collapsed="false" customFormat="false" customHeight="false" hidden="false" ht="15" outlineLevel="0" r="585">
      <c r="C585" s="134" t="n">
        <v>278</v>
      </c>
      <c r="D585" s="109" t="n">
        <v>1</v>
      </c>
    </row>
    <row collapsed="false" customFormat="false" customHeight="false" hidden="false" ht="15" outlineLevel="0" r="586">
      <c r="C586" s="134" t="n">
        <v>279</v>
      </c>
      <c r="D586" s="109" t="n">
        <v>1</v>
      </c>
    </row>
    <row collapsed="false" customFormat="false" customHeight="false" hidden="false" ht="15" outlineLevel="0" r="587">
      <c r="C587" s="134" t="n">
        <v>280</v>
      </c>
      <c r="D587" s="109" t="n">
        <v>1</v>
      </c>
    </row>
    <row collapsed="false" customFormat="false" customHeight="false" hidden="false" ht="15" outlineLevel="0" r="588">
      <c r="C588" s="134" t="n">
        <v>281</v>
      </c>
      <c r="D588" s="109" t="n">
        <v>1</v>
      </c>
    </row>
    <row collapsed="false" customFormat="false" customHeight="false" hidden="false" ht="15" outlineLevel="0" r="589">
      <c r="C589" s="134" t="n">
        <v>282</v>
      </c>
      <c r="D589" s="109" t="n">
        <v>1</v>
      </c>
    </row>
    <row collapsed="false" customFormat="false" customHeight="false" hidden="false" ht="15" outlineLevel="0" r="590">
      <c r="C590" s="134" t="n">
        <v>284</v>
      </c>
      <c r="D590" s="109" t="n">
        <v>1</v>
      </c>
    </row>
    <row collapsed="false" customFormat="false" customHeight="false" hidden="false" ht="15" outlineLevel="0" r="591">
      <c r="C591" s="134" t="n">
        <v>285</v>
      </c>
      <c r="D591" s="109" t="n">
        <v>1</v>
      </c>
    </row>
    <row collapsed="false" customFormat="false" customHeight="false" hidden="false" ht="15" outlineLevel="0" r="592">
      <c r="C592" s="134" t="n">
        <v>286</v>
      </c>
      <c r="D592" s="109" t="n">
        <v>1</v>
      </c>
    </row>
    <row collapsed="false" customFormat="false" customHeight="false" hidden="false" ht="15" outlineLevel="0" r="593">
      <c r="C593" s="134" t="n">
        <v>287</v>
      </c>
      <c r="D593" s="109" t="n">
        <v>1</v>
      </c>
    </row>
    <row collapsed="false" customFormat="false" customHeight="false" hidden="false" ht="15" outlineLevel="0" r="594">
      <c r="C594" s="134" t="n">
        <v>288</v>
      </c>
      <c r="D594" s="109" t="n">
        <v>1</v>
      </c>
    </row>
    <row collapsed="false" customFormat="false" customHeight="false" hidden="false" ht="15" outlineLevel="0" r="595">
      <c r="C595" s="134" t="n">
        <v>289</v>
      </c>
      <c r="D595" s="109" t="n">
        <v>1</v>
      </c>
    </row>
    <row collapsed="false" customFormat="false" customHeight="false" hidden="false" ht="15" outlineLevel="0" r="596">
      <c r="C596" s="134" t="n">
        <v>290</v>
      </c>
      <c r="D596" s="109" t="n">
        <v>1</v>
      </c>
    </row>
    <row collapsed="false" customFormat="false" customHeight="false" hidden="false" ht="15" outlineLevel="0" r="597">
      <c r="C597" s="134" t="n">
        <v>291</v>
      </c>
      <c r="D597" s="109" t="n">
        <v>1</v>
      </c>
    </row>
    <row collapsed="false" customFormat="false" customHeight="false" hidden="false" ht="15" outlineLevel="0" r="598">
      <c r="C598" s="134" t="n">
        <v>292</v>
      </c>
      <c r="D598" s="109" t="n">
        <v>1</v>
      </c>
    </row>
    <row collapsed="false" customFormat="false" customHeight="false" hidden="false" ht="15" outlineLevel="0" r="599">
      <c r="C599" s="134" t="n">
        <v>293</v>
      </c>
      <c r="D599" s="109" t="n">
        <v>1</v>
      </c>
    </row>
    <row collapsed="false" customFormat="false" customHeight="false" hidden="false" ht="15" outlineLevel="0" r="600">
      <c r="C600" s="134" t="n">
        <v>294</v>
      </c>
      <c r="D600" s="109" t="n">
        <v>1</v>
      </c>
    </row>
    <row collapsed="false" customFormat="false" customHeight="false" hidden="false" ht="15" outlineLevel="0" r="601">
      <c r="C601" s="134" t="n">
        <v>295</v>
      </c>
      <c r="D601" s="109" t="n">
        <v>1</v>
      </c>
    </row>
    <row collapsed="false" customFormat="false" customHeight="false" hidden="false" ht="15" outlineLevel="0" r="602">
      <c r="C602" s="134" t="n">
        <v>296</v>
      </c>
      <c r="D602" s="109" t="n">
        <v>1</v>
      </c>
    </row>
    <row collapsed="false" customFormat="false" customHeight="false" hidden="false" ht="15" outlineLevel="0" r="603">
      <c r="C603" s="134" t="n">
        <v>297</v>
      </c>
      <c r="D603" s="109" t="n">
        <v>1</v>
      </c>
    </row>
    <row collapsed="false" customFormat="false" customHeight="false" hidden="false" ht="15" outlineLevel="0" r="604">
      <c r="C604" s="134" t="n">
        <v>298</v>
      </c>
      <c r="D604" s="109" t="n">
        <v>1</v>
      </c>
    </row>
    <row collapsed="false" customFormat="false" customHeight="false" hidden="false" ht="15" outlineLevel="0" r="605">
      <c r="C605" s="134" t="n">
        <v>299</v>
      </c>
      <c r="D605" s="109" t="n">
        <v>1</v>
      </c>
    </row>
    <row collapsed="false" customFormat="false" customHeight="false" hidden="false" ht="15" outlineLevel="0" r="606">
      <c r="C606" s="134" t="n">
        <v>300</v>
      </c>
      <c r="D606" s="109" t="n">
        <v>1</v>
      </c>
    </row>
    <row collapsed="false" customFormat="false" customHeight="false" hidden="false" ht="15" outlineLevel="0" r="607">
      <c r="C607" s="134" t="n">
        <v>301</v>
      </c>
      <c r="D607" s="109" t="n">
        <v>1</v>
      </c>
    </row>
    <row collapsed="false" customFormat="false" customHeight="false" hidden="false" ht="15" outlineLevel="0" r="608">
      <c r="C608" s="134" t="n">
        <v>302</v>
      </c>
      <c r="D608" s="109" t="n">
        <v>1</v>
      </c>
    </row>
    <row collapsed="false" customFormat="false" customHeight="false" hidden="false" ht="15" outlineLevel="0" r="609">
      <c r="C609" s="134" t="n">
        <v>303</v>
      </c>
      <c r="D609" s="109" t="n">
        <v>1</v>
      </c>
    </row>
    <row collapsed="false" customFormat="false" customHeight="false" hidden="false" ht="15" outlineLevel="0" r="610">
      <c r="C610" s="134" t="n">
        <v>305</v>
      </c>
      <c r="D610" s="109" t="n">
        <v>1</v>
      </c>
    </row>
    <row collapsed="false" customFormat="false" customHeight="false" hidden="false" ht="15" outlineLevel="0" r="611">
      <c r="C611" s="134" t="n">
        <v>306</v>
      </c>
      <c r="D611" s="109" t="n">
        <v>1</v>
      </c>
    </row>
    <row collapsed="false" customFormat="false" customHeight="false" hidden="false" ht="15" outlineLevel="0" r="612">
      <c r="C612" s="134" t="n">
        <v>307</v>
      </c>
      <c r="D612" s="109" t="n">
        <v>1</v>
      </c>
    </row>
    <row collapsed="false" customFormat="false" customHeight="false" hidden="false" ht="15" outlineLevel="0" r="613">
      <c r="C613" s="134" t="n">
        <v>308</v>
      </c>
      <c r="D613" s="109" t="n">
        <v>1</v>
      </c>
    </row>
    <row collapsed="false" customFormat="false" customHeight="false" hidden="false" ht="15" outlineLevel="0" r="614">
      <c r="C614" s="134" t="n">
        <v>309</v>
      </c>
      <c r="D614" s="109" t="n">
        <v>1</v>
      </c>
    </row>
    <row collapsed="false" customFormat="false" customHeight="false" hidden="false" ht="15" outlineLevel="0" r="615">
      <c r="C615" s="134" t="n">
        <v>310</v>
      </c>
      <c r="D615" s="109" t="n">
        <v>1</v>
      </c>
    </row>
    <row collapsed="false" customFormat="false" customHeight="false" hidden="false" ht="15" outlineLevel="0" r="616">
      <c r="C616" s="134" t="n">
        <v>312</v>
      </c>
      <c r="D616" s="109" t="n">
        <v>1</v>
      </c>
    </row>
    <row collapsed="false" customFormat="false" customHeight="false" hidden="false" ht="15" outlineLevel="0" r="617">
      <c r="C617" s="134" t="n">
        <v>314</v>
      </c>
      <c r="D617" s="109" t="n">
        <v>1</v>
      </c>
    </row>
    <row collapsed="false" customFormat="false" customHeight="false" hidden="false" ht="15" outlineLevel="0" r="618">
      <c r="C618" s="134" t="n">
        <v>315</v>
      </c>
      <c r="D618" s="109" t="n">
        <v>1</v>
      </c>
    </row>
    <row collapsed="false" customFormat="false" customHeight="false" hidden="false" ht="15" outlineLevel="0" r="619">
      <c r="C619" s="134" t="n">
        <v>316</v>
      </c>
      <c r="D619" s="109" t="n">
        <v>1</v>
      </c>
    </row>
    <row collapsed="false" customFormat="false" customHeight="false" hidden="false" ht="15" outlineLevel="0" r="620">
      <c r="C620" s="134" t="n">
        <v>317</v>
      </c>
      <c r="D620" s="109" t="n">
        <v>1</v>
      </c>
    </row>
    <row collapsed="false" customFormat="false" customHeight="false" hidden="false" ht="15" outlineLevel="0" r="621">
      <c r="C621" s="134" t="n">
        <v>318</v>
      </c>
      <c r="D621" s="109" t="n">
        <v>1</v>
      </c>
    </row>
    <row collapsed="false" customFormat="false" customHeight="false" hidden="false" ht="15" outlineLevel="0" r="622">
      <c r="C622" s="134" t="n">
        <v>319</v>
      </c>
      <c r="D622" s="109" t="n">
        <v>1</v>
      </c>
    </row>
    <row collapsed="false" customFormat="false" customHeight="false" hidden="false" ht="15" outlineLevel="0" r="623">
      <c r="C623" s="134" t="n">
        <v>320</v>
      </c>
      <c r="D623" s="109" t="n">
        <v>1</v>
      </c>
    </row>
    <row collapsed="false" customFormat="false" customHeight="false" hidden="false" ht="15" outlineLevel="0" r="624">
      <c r="C624" s="134" t="s">
        <v>733</v>
      </c>
      <c r="D624" s="114" t="n">
        <v>1</v>
      </c>
    </row>
    <row collapsed="false" customFormat="false" customHeight="false" hidden="false" ht="15" outlineLevel="0" r="625">
      <c r="C625" s="144" t="s">
        <v>720</v>
      </c>
      <c r="D625" s="116" t="n">
        <v>297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LibreOffice/4.1.1.2$Windows_x86 LibreOffice_project/7e4286b58adc75a14f6d83f53a03b6c11fa2903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2016-07-18T16:19:30Z</dcterms:created>
  <dc:creator>Лапшин С.Н.</dc:creator>
  <cp:lastModifiedBy>Admin</cp:lastModifiedBy>
  <dcterms:modified xsi:type="dcterms:W3CDTF">2017-05-10T08:32:52Z</dcterms:modified>
  <cp:revision>0</cp:revision>
</cp:coreProperties>
</file>