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19440" windowHeight="11760" tabRatio="808" firstSheet="5" activeTab="9"/>
  </bookViews>
  <sheets>
    <sheet name="DATOS " sheetId="1" r:id="rId1"/>
    <sheet name="A. PRESUPUESTO DE INVERSION" sheetId="2" r:id="rId2"/>
    <sheet name="B.I. MEMORIAS DE CALCULO" sheetId="3" r:id="rId3"/>
    <sheet name="B. II.  PROYECCION DE COSTOS" sheetId="4" r:id="rId4"/>
    <sheet name="C.I.  COSTOS TOTALES" sheetId="12" r:id="rId5"/>
    <sheet name="C.I.I. PROYECCION DE INGRESOS" sheetId="5" r:id="rId6"/>
    <sheet name="C. III.ESTADO DE RESULTADOS" sheetId="7" r:id="rId7"/>
    <sheet name="C.IV FLUJO DE EFECTIVO" sheetId="6" r:id="rId8"/>
    <sheet name="D.I. PUNTO DE EQUILIBRIO" sheetId="8" r:id="rId9"/>
    <sheet name="D. II ANALISIS DE RENTABILIDAD" sheetId="9" r:id="rId10"/>
    <sheet name="D.III ECA" sheetId="10" r:id="rId11"/>
  </sheets>
  <definedNames>
    <definedName name="formulacion">'A. PRESUPUESTO DE INVERSION'!$B$1:$J$21</definedName>
    <definedName name="ROTACION_AL_AÑO" localSheetId="3">'B.I. MEMORIAS DE CALCULO'!#REF!</definedName>
    <definedName name="ROTACION_AL_AÑO" localSheetId="4">'B.I. MEMORIAS DE CALCULO'!#REF!</definedName>
  </definedNames>
  <calcPr calcId="145621"/>
</workbook>
</file>

<file path=xl/calcChain.xml><?xml version="1.0" encoding="utf-8"?>
<calcChain xmlns="http://schemas.openxmlformats.org/spreadsheetml/2006/main">
  <c r="B19" i="7" l="1"/>
  <c r="B20" i="7"/>
  <c r="B21" i="7"/>
  <c r="B18" i="7"/>
  <c r="B13" i="4"/>
  <c r="B15" i="12" s="1"/>
  <c r="B14" i="4"/>
  <c r="B16" i="12" s="1"/>
  <c r="C44" i="3"/>
  <c r="F44" i="3" s="1"/>
  <c r="C14" i="4" s="1"/>
  <c r="D14" i="4" s="1"/>
  <c r="D43" i="3"/>
  <c r="F43" i="3" s="1"/>
  <c r="C13" i="4" s="1"/>
  <c r="D13" i="4" s="1"/>
  <c r="B7" i="4"/>
  <c r="B5" i="12" s="1"/>
  <c r="B8" i="4"/>
  <c r="B6" i="12" s="1"/>
  <c r="B9" i="4"/>
  <c r="B7" i="12" s="1"/>
  <c r="B10" i="4"/>
  <c r="B8" i="12" s="1"/>
  <c r="B11" i="4"/>
  <c r="B9" i="12" s="1"/>
  <c r="B12" i="4"/>
  <c r="B10" i="12" s="1"/>
  <c r="B6" i="4"/>
  <c r="B4" i="12" s="1"/>
  <c r="F42" i="3"/>
  <c r="C12" i="4" s="1"/>
  <c r="D12" i="4" s="1"/>
  <c r="F38" i="3"/>
  <c r="C8" i="4" s="1"/>
  <c r="D8" i="4" s="1"/>
  <c r="D25" i="3"/>
  <c r="E25" i="3"/>
  <c r="F25" i="3"/>
  <c r="G25" i="3"/>
  <c r="H25" i="3"/>
  <c r="I25" i="3"/>
  <c r="J25" i="3"/>
  <c r="K25" i="3"/>
  <c r="L25" i="3"/>
  <c r="M25" i="3"/>
  <c r="N25" i="3"/>
  <c r="C25" i="3"/>
  <c r="B30" i="3"/>
  <c r="B29" i="3"/>
  <c r="E16" i="3"/>
  <c r="B18" i="3"/>
  <c r="B27" i="3" s="1"/>
  <c r="B19" i="3"/>
  <c r="B28" i="3" s="1"/>
  <c r="B20" i="3"/>
  <c r="B17" i="3"/>
  <c r="B26" i="3" s="1"/>
  <c r="F7" i="3"/>
  <c r="G7" i="3" s="1"/>
  <c r="F8" i="3"/>
  <c r="G8" i="3" s="1"/>
  <c r="F9" i="3"/>
  <c r="G9" i="3" s="1"/>
  <c r="F6" i="3"/>
  <c r="G6" i="3" s="1"/>
  <c r="F10" i="2"/>
  <c r="H10" i="2" s="1"/>
  <c r="I10" i="2" s="1"/>
  <c r="F6" i="2"/>
  <c r="G6" i="2" s="1"/>
  <c r="I6" i="2" s="1"/>
  <c r="F7" i="2"/>
  <c r="G7" i="2" s="1"/>
  <c r="I7" i="2" s="1"/>
  <c r="F8" i="2"/>
  <c r="G8" i="2" s="1"/>
  <c r="I8" i="2" s="1"/>
  <c r="F9" i="2"/>
  <c r="G9" i="2" s="1"/>
  <c r="I9" i="2" s="1"/>
  <c r="B7" i="5"/>
  <c r="B8" i="5"/>
  <c r="B9" i="5"/>
  <c r="B6" i="5"/>
  <c r="F41" i="3"/>
  <c r="C11" i="4" s="1"/>
  <c r="D11" i="4" s="1"/>
  <c r="F40" i="3"/>
  <c r="C10" i="4" s="1"/>
  <c r="D10" i="4" s="1"/>
  <c r="F39" i="3"/>
  <c r="C9" i="4" s="1"/>
  <c r="D9" i="4" s="1"/>
  <c r="F37" i="3"/>
  <c r="C7" i="4" s="1"/>
  <c r="D7" i="4" s="1"/>
  <c r="F36" i="3"/>
  <c r="C6" i="4" s="1"/>
  <c r="E12" i="2"/>
  <c r="B1" i="2"/>
  <c r="B2" i="3" s="1"/>
  <c r="B1" i="4" s="1"/>
  <c r="B1" i="12" s="1"/>
  <c r="B1" i="5" s="1"/>
  <c r="B1" i="7" s="1"/>
  <c r="B1" i="6" s="1"/>
  <c r="B1" i="8" s="1"/>
  <c r="B1" i="9" s="1"/>
  <c r="B1" i="10" s="1"/>
  <c r="C11" i="6"/>
  <c r="C7" i="12" l="1"/>
  <c r="E9" i="4"/>
  <c r="C15" i="12"/>
  <c r="E13" i="4"/>
  <c r="C8" i="12"/>
  <c r="E10" i="4"/>
  <c r="C5" i="12"/>
  <c r="E7" i="4"/>
  <c r="C6" i="12"/>
  <c r="E8" i="4"/>
  <c r="C21" i="7"/>
  <c r="C20" i="7"/>
  <c r="C19" i="7"/>
  <c r="C20" i="3"/>
  <c r="F20" i="3"/>
  <c r="G20" i="3"/>
  <c r="E11" i="4"/>
  <c r="C9" i="12"/>
  <c r="C10" i="12"/>
  <c r="E12" i="4"/>
  <c r="E14" i="4"/>
  <c r="C16" i="12"/>
  <c r="C18" i="3"/>
  <c r="F18" i="3"/>
  <c r="G18" i="3"/>
  <c r="F17" i="3"/>
  <c r="C17" i="3"/>
  <c r="G17" i="3"/>
  <c r="F19" i="3"/>
  <c r="G19" i="3"/>
  <c r="C19" i="3"/>
  <c r="F7" i="4" l="1"/>
  <c r="D5" i="12"/>
  <c r="F13" i="4"/>
  <c r="D15" i="12"/>
  <c r="F8" i="4"/>
  <c r="D6" i="12"/>
  <c r="F10" i="4"/>
  <c r="D8" i="12"/>
  <c r="F9" i="4"/>
  <c r="D7" i="12"/>
  <c r="G29" i="3"/>
  <c r="L20" i="3"/>
  <c r="L29" i="3" s="1"/>
  <c r="C29" i="3"/>
  <c r="D20" i="3"/>
  <c r="F29" i="3"/>
  <c r="I20" i="3"/>
  <c r="F11" i="4"/>
  <c r="D9" i="12"/>
  <c r="F12" i="4"/>
  <c r="D10" i="12"/>
  <c r="F14" i="4"/>
  <c r="D16" i="12"/>
  <c r="G27" i="3"/>
  <c r="L18" i="3"/>
  <c r="L27" i="3" s="1"/>
  <c r="C27" i="3"/>
  <c r="D18" i="3"/>
  <c r="F27" i="3"/>
  <c r="I18" i="3"/>
  <c r="C26" i="3"/>
  <c r="D17" i="3"/>
  <c r="G26" i="3"/>
  <c r="L17" i="3"/>
  <c r="L26" i="3" s="1"/>
  <c r="F26" i="3"/>
  <c r="I17" i="3"/>
  <c r="F21" i="3"/>
  <c r="I19" i="3"/>
  <c r="F28" i="3"/>
  <c r="F30" i="3" s="1"/>
  <c r="C21" i="3"/>
  <c r="D19" i="3"/>
  <c r="C28" i="3"/>
  <c r="G28" i="3"/>
  <c r="G30" i="3" s="1"/>
  <c r="G21" i="3"/>
  <c r="L19" i="3"/>
  <c r="G10" i="4" l="1"/>
  <c r="E8" i="12"/>
  <c r="G13" i="4"/>
  <c r="E15" i="12"/>
  <c r="G9" i="4"/>
  <c r="E7" i="12"/>
  <c r="G8" i="4"/>
  <c r="E6" i="12"/>
  <c r="G7" i="4"/>
  <c r="E5" i="12"/>
  <c r="I29" i="3"/>
  <c r="K20" i="3"/>
  <c r="E20" i="3"/>
  <c r="D29" i="3"/>
  <c r="C30" i="3"/>
  <c r="G11" i="4"/>
  <c r="E9" i="12"/>
  <c r="G12" i="4"/>
  <c r="E10" i="12"/>
  <c r="G14" i="4"/>
  <c r="E16" i="12"/>
  <c r="I27" i="3"/>
  <c r="K18" i="3"/>
  <c r="E18" i="3"/>
  <c r="D27" i="3"/>
  <c r="K17" i="3"/>
  <c r="I26" i="3"/>
  <c r="D26" i="3"/>
  <c r="E17" i="3"/>
  <c r="L21" i="3"/>
  <c r="L28" i="3"/>
  <c r="L30" i="3" s="1"/>
  <c r="E19" i="3"/>
  <c r="D28" i="3"/>
  <c r="D21" i="3"/>
  <c r="I21" i="3"/>
  <c r="I28" i="3"/>
  <c r="K19" i="3"/>
  <c r="E7" i="5"/>
  <c r="E6" i="5"/>
  <c r="F5" i="2"/>
  <c r="F9" i="9"/>
  <c r="F10" i="9"/>
  <c r="F11" i="9"/>
  <c r="F12" i="9"/>
  <c r="F13" i="9"/>
  <c r="F14" i="9"/>
  <c r="E8" i="5"/>
  <c r="E9" i="5"/>
  <c r="C8" i="6"/>
  <c r="C9" i="9" s="1"/>
  <c r="F19" i="7"/>
  <c r="G19" i="7" s="1"/>
  <c r="F20" i="7"/>
  <c r="G20" i="7" s="1"/>
  <c r="F21" i="7"/>
  <c r="G21" i="7" s="1"/>
  <c r="F12" i="2"/>
  <c r="G12" i="2" s="1"/>
  <c r="I12" i="2" s="1"/>
  <c r="I13" i="2"/>
  <c r="I14" i="2"/>
  <c r="G9" i="9" l="1"/>
  <c r="C18" i="7"/>
  <c r="F18" i="7" s="1"/>
  <c r="G18" i="7" s="1"/>
  <c r="H8" i="4"/>
  <c r="G6" i="12" s="1"/>
  <c r="F6" i="12"/>
  <c r="H13" i="4"/>
  <c r="G15" i="12" s="1"/>
  <c r="F15" i="12"/>
  <c r="H7" i="4"/>
  <c r="G5" i="12" s="1"/>
  <c r="F5" i="12"/>
  <c r="H9" i="4"/>
  <c r="G7" i="12" s="1"/>
  <c r="F7" i="12"/>
  <c r="H10" i="4"/>
  <c r="G8" i="12" s="1"/>
  <c r="F8" i="12"/>
  <c r="H20" i="3"/>
  <c r="E29" i="3"/>
  <c r="N20" i="3"/>
  <c r="N29" i="3" s="1"/>
  <c r="K29" i="3"/>
  <c r="I30" i="3"/>
  <c r="H11" i="4"/>
  <c r="G9" i="12" s="1"/>
  <c r="F9" i="12"/>
  <c r="H12" i="4"/>
  <c r="G10" i="12" s="1"/>
  <c r="F10" i="12"/>
  <c r="H14" i="4"/>
  <c r="G16" i="12" s="1"/>
  <c r="F16" i="12"/>
  <c r="E27" i="3"/>
  <c r="H18" i="3"/>
  <c r="K27" i="3"/>
  <c r="N18" i="3"/>
  <c r="N27" i="3" s="1"/>
  <c r="K26" i="3"/>
  <c r="N17" i="3"/>
  <c r="N26" i="3" s="1"/>
  <c r="E26" i="3"/>
  <c r="H17" i="3"/>
  <c r="K28" i="3"/>
  <c r="N19" i="3"/>
  <c r="K21" i="3"/>
  <c r="H19" i="3"/>
  <c r="E28" i="3"/>
  <c r="E21" i="3"/>
  <c r="D30" i="3"/>
  <c r="G5" i="2"/>
  <c r="I5" i="2" s="1"/>
  <c r="C13" i="6"/>
  <c r="C28" i="7"/>
  <c r="C12" i="6"/>
  <c r="D6" i="4"/>
  <c r="E11" i="5"/>
  <c r="B2" i="4"/>
  <c r="A2" i="12"/>
  <c r="A2" i="10"/>
  <c r="A2" i="9"/>
  <c r="B3" i="8"/>
  <c r="B2" i="7"/>
  <c r="B3" i="6"/>
  <c r="B2" i="2"/>
  <c r="E6" i="4" l="1"/>
  <c r="C4" i="12"/>
  <c r="C12" i="12" s="1"/>
  <c r="E30" i="3"/>
  <c r="K30" i="3"/>
  <c r="J20" i="3"/>
  <c r="H29" i="3"/>
  <c r="H27" i="3"/>
  <c r="J18" i="3"/>
  <c r="H26" i="3"/>
  <c r="J17" i="3"/>
  <c r="J19" i="3"/>
  <c r="H28" i="3"/>
  <c r="H21" i="3"/>
  <c r="N28" i="3"/>
  <c r="N30" i="3" s="1"/>
  <c r="N21" i="3"/>
  <c r="F22" i="7"/>
  <c r="G22" i="7" s="1"/>
  <c r="B12" i="10"/>
  <c r="B15" i="10" s="1"/>
  <c r="E9" i="10" s="1"/>
  <c r="G19" i="2"/>
  <c r="D9" i="6"/>
  <c r="C6" i="7"/>
  <c r="C23" i="12"/>
  <c r="C7" i="8"/>
  <c r="F6" i="4" l="1"/>
  <c r="D4" i="12"/>
  <c r="M20" i="3"/>
  <c r="M29" i="3" s="1"/>
  <c r="J29" i="3"/>
  <c r="O29" i="3" s="1"/>
  <c r="F9" i="5" s="1"/>
  <c r="G9" i="5" s="1"/>
  <c r="H9" i="5" s="1"/>
  <c r="I9" i="5" s="1"/>
  <c r="J9" i="5" s="1"/>
  <c r="J27" i="3"/>
  <c r="M18" i="3"/>
  <c r="M27" i="3" s="1"/>
  <c r="J26" i="3"/>
  <c r="M17" i="3"/>
  <c r="M26" i="3" s="1"/>
  <c r="M19" i="3"/>
  <c r="J28" i="3"/>
  <c r="J21" i="3"/>
  <c r="H30" i="3"/>
  <c r="F23" i="7"/>
  <c r="F9" i="10"/>
  <c r="E10" i="10"/>
  <c r="D12" i="12"/>
  <c r="C17" i="4"/>
  <c r="E16" i="2" s="1"/>
  <c r="F16" i="2" s="1"/>
  <c r="H16" i="2" s="1"/>
  <c r="O26" i="3" l="1"/>
  <c r="F6" i="5" s="1"/>
  <c r="G6" i="5" s="1"/>
  <c r="H6" i="5" s="1"/>
  <c r="I6" i="5" s="1"/>
  <c r="J6" i="5" s="1"/>
  <c r="G6" i="4"/>
  <c r="E4" i="12"/>
  <c r="F19" i="2"/>
  <c r="C14" i="6"/>
  <c r="C15" i="6" s="1"/>
  <c r="O27" i="3"/>
  <c r="F7" i="5" s="1"/>
  <c r="G7" i="5" s="1"/>
  <c r="H7" i="5" s="1"/>
  <c r="I7" i="5" s="1"/>
  <c r="J7" i="5" s="1"/>
  <c r="J30" i="3"/>
  <c r="M28" i="3"/>
  <c r="M21" i="3"/>
  <c r="E12" i="12"/>
  <c r="F9" i="6" s="1"/>
  <c r="F24" i="7"/>
  <c r="G24" i="7" s="1"/>
  <c r="G23" i="7"/>
  <c r="F10" i="10"/>
  <c r="E11" i="10"/>
  <c r="E9" i="6"/>
  <c r="D6" i="7"/>
  <c r="D7" i="8"/>
  <c r="D23" i="12"/>
  <c r="C20" i="12"/>
  <c r="D17" i="4"/>
  <c r="H19" i="2"/>
  <c r="I16" i="2"/>
  <c r="I19" i="2" s="1"/>
  <c r="H6" i="4" l="1"/>
  <c r="G4" i="12" s="1"/>
  <c r="F4" i="12"/>
  <c r="D9" i="9"/>
  <c r="H9" i="9" s="1"/>
  <c r="M30" i="3"/>
  <c r="O28" i="3"/>
  <c r="E6" i="7"/>
  <c r="E23" i="12"/>
  <c r="E7" i="8"/>
  <c r="F28" i="7"/>
  <c r="C10" i="7" s="1"/>
  <c r="D10" i="7" s="1"/>
  <c r="E10" i="7" s="1"/>
  <c r="F10" i="7" s="1"/>
  <c r="G10" i="7" s="1"/>
  <c r="G28" i="7"/>
  <c r="H7" i="6" s="1"/>
  <c r="F11" i="10"/>
  <c r="E12" i="10"/>
  <c r="G12" i="12"/>
  <c r="F12" i="12"/>
  <c r="D20" i="12"/>
  <c r="E17" i="4"/>
  <c r="E9" i="9"/>
  <c r="D10" i="6"/>
  <c r="D11" i="6" s="1"/>
  <c r="C8" i="8"/>
  <c r="C7" i="7"/>
  <c r="C8" i="7" s="1"/>
  <c r="C24" i="12"/>
  <c r="C25" i="12" s="1"/>
  <c r="O30" i="3" l="1"/>
  <c r="F8" i="5"/>
  <c r="F12" i="10"/>
  <c r="E13" i="10"/>
  <c r="G9" i="6"/>
  <c r="F7" i="8"/>
  <c r="F6" i="7"/>
  <c r="F23" i="12"/>
  <c r="H9" i="6"/>
  <c r="G23" i="12"/>
  <c r="G7" i="8"/>
  <c r="G6" i="7"/>
  <c r="E20" i="12"/>
  <c r="F17" i="4"/>
  <c r="C9" i="8"/>
  <c r="E10" i="6"/>
  <c r="E11" i="6" s="1"/>
  <c r="D8" i="8"/>
  <c r="D7" i="7"/>
  <c r="D8" i="7" s="1"/>
  <c r="D24" i="12"/>
  <c r="D25" i="12" s="1"/>
  <c r="D10" i="9"/>
  <c r="G8" i="5" l="1"/>
  <c r="F11" i="5"/>
  <c r="F13" i="10"/>
  <c r="H10" i="9"/>
  <c r="D9" i="8"/>
  <c r="F10" i="6"/>
  <c r="F11" i="6" s="1"/>
  <c r="E8" i="8"/>
  <c r="E24" i="12"/>
  <c r="E25" i="12" s="1"/>
  <c r="E7" i="7"/>
  <c r="E8" i="7" s="1"/>
  <c r="D11" i="9"/>
  <c r="F20" i="12"/>
  <c r="G17" i="4"/>
  <c r="D6" i="6" l="1"/>
  <c r="D8" i="6" s="1"/>
  <c r="C5" i="7"/>
  <c r="C9" i="7" s="1"/>
  <c r="C11" i="7" s="1"/>
  <c r="C6" i="8"/>
  <c r="C10" i="8" s="1"/>
  <c r="C11" i="8" s="1"/>
  <c r="H8" i="5"/>
  <c r="G11" i="5"/>
  <c r="G20" i="12"/>
  <c r="H17" i="4"/>
  <c r="H11" i="9"/>
  <c r="E9" i="8"/>
  <c r="G10" i="6"/>
  <c r="G11" i="6" s="1"/>
  <c r="F8" i="8"/>
  <c r="F7" i="7"/>
  <c r="F8" i="7" s="1"/>
  <c r="F24" i="12"/>
  <c r="F25" i="12" s="1"/>
  <c r="D12" i="9"/>
  <c r="I8" i="5" l="1"/>
  <c r="H11" i="5"/>
  <c r="C12" i="7"/>
  <c r="C13" i="7" s="1"/>
  <c r="D5" i="7"/>
  <c r="D9" i="7" s="1"/>
  <c r="D11" i="7" s="1"/>
  <c r="E6" i="6"/>
  <c r="E8" i="6" s="1"/>
  <c r="D6" i="8"/>
  <c r="D10" i="8" s="1"/>
  <c r="D11" i="8" s="1"/>
  <c r="C10" i="9"/>
  <c r="D15" i="6"/>
  <c r="H12" i="9"/>
  <c r="D13" i="9"/>
  <c r="F9" i="8"/>
  <c r="H10" i="6"/>
  <c r="H11" i="6" s="1"/>
  <c r="G8" i="8"/>
  <c r="G24" i="12"/>
  <c r="G25" i="12" s="1"/>
  <c r="G7" i="7"/>
  <c r="G8" i="7" s="1"/>
  <c r="G10" i="9" l="1"/>
  <c r="E10" i="9"/>
  <c r="C11" i="9"/>
  <c r="E15" i="6"/>
  <c r="E5" i="7"/>
  <c r="E9" i="7" s="1"/>
  <c r="E11" i="7" s="1"/>
  <c r="F6" i="6"/>
  <c r="F8" i="6" s="1"/>
  <c r="E6" i="8"/>
  <c r="E10" i="8" s="1"/>
  <c r="E11" i="8" s="1"/>
  <c r="D12" i="7"/>
  <c r="D13" i="7" s="1"/>
  <c r="J8" i="5"/>
  <c r="J11" i="5" s="1"/>
  <c r="I11" i="5"/>
  <c r="G9" i="8"/>
  <c r="D14" i="9"/>
  <c r="D15" i="9" s="1"/>
  <c r="H13" i="9"/>
  <c r="F6" i="8" l="1"/>
  <c r="F10" i="8" s="1"/>
  <c r="F11" i="8" s="1"/>
  <c r="F5" i="7"/>
  <c r="F9" i="7" s="1"/>
  <c r="F11" i="7" s="1"/>
  <c r="G6" i="6"/>
  <c r="G8" i="6" s="1"/>
  <c r="E12" i="7"/>
  <c r="E13" i="7" s="1"/>
  <c r="G11" i="9"/>
  <c r="E11" i="9"/>
  <c r="H6" i="6"/>
  <c r="H8" i="6" s="1"/>
  <c r="G5" i="7"/>
  <c r="G9" i="7" s="1"/>
  <c r="G11" i="7" s="1"/>
  <c r="G6" i="8"/>
  <c r="G10" i="8" s="1"/>
  <c r="G11" i="8" s="1"/>
  <c r="C12" i="9"/>
  <c r="F15" i="6"/>
  <c r="H14" i="9"/>
  <c r="H15" i="9" s="1"/>
  <c r="G12" i="9" l="1"/>
  <c r="E12" i="9"/>
  <c r="G12" i="7"/>
  <c r="G13" i="7" s="1"/>
  <c r="C13" i="9"/>
  <c r="G15" i="6"/>
  <c r="C14" i="9"/>
  <c r="H15" i="6"/>
  <c r="F12" i="7"/>
  <c r="F13" i="7" s="1"/>
  <c r="G14" i="9" l="1"/>
  <c r="E14" i="9"/>
  <c r="G13" i="9"/>
  <c r="E13" i="9"/>
  <c r="C15" i="9"/>
  <c r="F19" i="9"/>
  <c r="G15" i="9"/>
  <c r="F18" i="9" l="1"/>
  <c r="F20" i="9"/>
  <c r="E15" i="9"/>
</calcChain>
</file>

<file path=xl/comments1.xml><?xml version="1.0" encoding="utf-8"?>
<comments xmlns="http://schemas.openxmlformats.org/spreadsheetml/2006/main">
  <authors>
    <author>SAUL BAUTISTA</author>
  </authors>
  <commentList>
    <comment ref="B3" authorId="0">
      <text>
        <r>
          <rPr>
            <b/>
            <sz val="9"/>
            <color indexed="81"/>
            <rFont val="Tahoma"/>
            <family val="2"/>
          </rPr>
          <t>ENLISTARAN TODOS LOS ARTICULOS A ADQUIRIR CON EL RECURSO DEL PROGRAMA.</t>
        </r>
      </text>
    </comment>
    <comment ref="C3" authorId="0">
      <text>
        <r>
          <rPr>
            <b/>
            <sz val="9"/>
            <color indexed="81"/>
            <rFont val="Tahoma"/>
            <family val="2"/>
          </rPr>
          <t>MEDIDA DE COMPRA DE LOS ARTICULOS</t>
        </r>
      </text>
    </comment>
    <comment ref="D3" authorId="0">
      <text>
        <r>
          <rPr>
            <b/>
            <sz val="9"/>
            <color indexed="81"/>
            <rFont val="Tahoma"/>
            <family val="2"/>
          </rPr>
          <t>CANTIDAD DE ARTICULOS ADQUIRIR = A SOLICITADOS EN ANEXO A</t>
        </r>
      </text>
    </comment>
    <comment ref="E3" authorId="0">
      <text>
        <r>
          <rPr>
            <b/>
            <sz val="9"/>
            <color indexed="81"/>
            <rFont val="Tahoma"/>
            <family val="2"/>
          </rPr>
          <t>COSTO DE COMPRA DE LOS ARTICULOS A ADQUIRIR</t>
        </r>
      </text>
    </comment>
    <comment ref="B4" authorId="0">
      <text>
        <r>
          <rPr>
            <b/>
            <sz val="9"/>
            <color indexed="81"/>
            <rFont val="Tahoma"/>
            <family val="2"/>
          </rPr>
          <t>BIENES DURADEROS PARA EL FUNCIONAMIENTO DEL PROYECTO</t>
        </r>
      </text>
    </comment>
    <comment ref="B11" authorId="0">
      <text>
        <r>
          <rPr>
            <b/>
            <sz val="9"/>
            <color indexed="81"/>
            <rFont val="Tahoma"/>
            <family val="2"/>
          </rPr>
          <t>SON GASTOS PAGADOS POR ANTICIPADO PERO NECESARIOS PARA LA APERTURA DEL PROYECTO</t>
        </r>
      </text>
    </comment>
    <comment ref="B15" authorId="0">
      <text>
        <r>
          <rPr>
            <b/>
            <sz val="9"/>
            <color indexed="81"/>
            <rFont val="Tahoma"/>
            <family val="2"/>
          </rPr>
          <t>INSUMOS DE PRONTA UTILIZACION INDISPENSABLES PARA LA OPERACIÓN DEL PROYECTO</t>
        </r>
      </text>
    </comment>
  </commentList>
</comments>
</file>

<file path=xl/comments2.xml><?xml version="1.0" encoding="utf-8"?>
<comments xmlns="http://schemas.openxmlformats.org/spreadsheetml/2006/main">
  <authors>
    <author>usuario01</author>
    <author>SAUL BAUTISTA</author>
  </authors>
  <commentList>
    <comment ref="B2" authorId="0">
      <text>
        <r>
          <rPr>
            <b/>
            <sz val="8"/>
            <color indexed="81"/>
            <rFont val="Tahoma"/>
            <family val="2"/>
          </rPr>
          <t>DOCUMENTO REFLEJADO A 5 AÑOS, CONSIDERANDO  LA FORMULA ESTABLECIDA.</t>
        </r>
      </text>
    </comment>
    <comment ref="B17" authorId="1">
      <text>
        <r>
          <rPr>
            <b/>
            <sz val="9"/>
            <color indexed="81"/>
            <rFont val="Tahoma"/>
            <family val="2"/>
          </rPr>
          <t>BIENES DURADEROS PARA EL FUNCIONAMIENTO DEL PROYECTO</t>
        </r>
      </text>
    </comment>
  </commentList>
</comments>
</file>

<file path=xl/comments3.xml><?xml version="1.0" encoding="utf-8"?>
<comments xmlns="http://schemas.openxmlformats.org/spreadsheetml/2006/main">
  <authors>
    <author>usuario01</author>
  </authors>
  <commentList>
    <comment ref="B3" authorId="0">
      <text>
        <r>
          <rPr>
            <b/>
            <sz val="8"/>
            <color indexed="81"/>
            <rFont val="Tahoma"/>
            <family val="2"/>
          </rPr>
          <t>DOCUMENTO QUE MUESTRA ENTRADAS Y SALIDAS DE EFECTIVO EN UN PERIODO DETERMINADO.</t>
        </r>
      </text>
    </comment>
  </commentList>
</comments>
</file>

<file path=xl/comments4.xml><?xml version="1.0" encoding="utf-8"?>
<comments xmlns="http://schemas.openxmlformats.org/spreadsheetml/2006/main">
  <authors>
    <author>usuario01</author>
  </authors>
  <commentList>
    <comment ref="B3" authorId="0">
      <text>
        <r>
          <rPr>
            <b/>
            <sz val="8"/>
            <color indexed="81"/>
            <rFont val="Tahoma"/>
            <family val="2"/>
          </rPr>
          <t>CALCULAR EL PUNTO DE EQUILIBRIO EN PORCENTAJE DE VENTAS CON LA FORMULA ESTUDIADA.</t>
        </r>
      </text>
    </comment>
  </commentList>
</comments>
</file>

<file path=xl/comments5.xml><?xml version="1.0" encoding="utf-8"?>
<comments xmlns="http://schemas.openxmlformats.org/spreadsheetml/2006/main">
  <authors>
    <author>usuario01</author>
  </authors>
  <commentList>
    <comment ref="E18" authorId="0">
      <text>
        <r>
          <rPr>
            <b/>
            <sz val="8"/>
            <color indexed="81"/>
            <rFont val="Tahoma"/>
            <family val="2"/>
          </rPr>
          <t>VALOR ACTUAL NETO</t>
        </r>
      </text>
    </comment>
    <comment ref="E19" authorId="0">
      <text>
        <r>
          <rPr>
            <b/>
            <sz val="8"/>
            <color indexed="81"/>
            <rFont val="Tahoma"/>
            <family val="2"/>
          </rPr>
          <t>TASA INTERNA DE RETORNO</t>
        </r>
      </text>
    </comment>
    <comment ref="E20" authorId="0">
      <text>
        <r>
          <rPr>
            <b/>
            <sz val="8"/>
            <color indexed="81"/>
            <rFont val="Tahoma"/>
            <family val="2"/>
          </rPr>
          <t>RELACION BENEFICIO-COSTO</t>
        </r>
      </text>
    </comment>
  </commentList>
</comments>
</file>

<file path=xl/sharedStrings.xml><?xml version="1.0" encoding="utf-8"?>
<sst xmlns="http://schemas.openxmlformats.org/spreadsheetml/2006/main" count="235" uniqueCount="162">
  <si>
    <t xml:space="preserve">PRESUPUESTO DE INVERSION </t>
  </si>
  <si>
    <t>CONCEPTOS</t>
  </si>
  <si>
    <t>UNIDAD</t>
  </si>
  <si>
    <t>CANTIDAD</t>
  </si>
  <si>
    <t>COSTO UNITARIO</t>
  </si>
  <si>
    <t>MONTOS</t>
  </si>
  <si>
    <t>SOCIOS</t>
  </si>
  <si>
    <t>TOTAL</t>
  </si>
  <si>
    <t>ACTIVO FIJO</t>
  </si>
  <si>
    <t>ACTIVO DIFERIDO</t>
  </si>
  <si>
    <t>CAPITAL DE TRABAJO</t>
  </si>
  <si>
    <t>TIR</t>
  </si>
  <si>
    <t>VAN</t>
  </si>
  <si>
    <t>B/C</t>
  </si>
  <si>
    <t>ANALISIS DE RENTABILIDAD</t>
  </si>
  <si>
    <t>TASA DE ACTUALIZACION</t>
  </si>
  <si>
    <t>VENTAS</t>
  </si>
  <si>
    <t>A</t>
  </si>
  <si>
    <t>B.I.</t>
  </si>
  <si>
    <t>B. II.</t>
  </si>
  <si>
    <t>C.I.</t>
  </si>
  <si>
    <t>C.II.</t>
  </si>
  <si>
    <t>C.III.</t>
  </si>
  <si>
    <t>C.IV</t>
  </si>
  <si>
    <t>C</t>
  </si>
  <si>
    <t>B</t>
  </si>
  <si>
    <t>CALCULOS TECNICOS</t>
  </si>
  <si>
    <t>PROYECCION FINANCIERA MINIMA A 5 AÑOS.</t>
  </si>
  <si>
    <t>D</t>
  </si>
  <si>
    <t>D.I.</t>
  </si>
  <si>
    <t>D.II.</t>
  </si>
  <si>
    <t>D.III.</t>
  </si>
  <si>
    <t xml:space="preserve">      MEMORIAS DE CALCULO</t>
  </si>
  <si>
    <t xml:space="preserve">      PROYECCION DE COSTOS</t>
  </si>
  <si>
    <t xml:space="preserve">      PROYECCION DE INGRESOS</t>
  </si>
  <si>
    <t xml:space="preserve">      COSTOS TOTALES</t>
  </si>
  <si>
    <t xml:space="preserve">      ESTADO DE RESULTADOS</t>
  </si>
  <si>
    <t xml:space="preserve">      FLUJO DE EFECTIVO</t>
  </si>
  <si>
    <t xml:space="preserve">      PUNTO DE EQUILIBRIO</t>
  </si>
  <si>
    <t xml:space="preserve">     ESQUEMA DE CAPITALIZACION Y AHORRO</t>
  </si>
  <si>
    <t xml:space="preserve">     ANALISIS DE RENTABILIDAD (VAN, TIR, B/C)</t>
  </si>
  <si>
    <t xml:space="preserve">CONCEPTO </t>
  </si>
  <si>
    <t>COSTOS DEL PROYECTO</t>
  </si>
  <si>
    <t>COSTOS</t>
  </si>
  <si>
    <t>AÑO</t>
  </si>
  <si>
    <t>PROYECCION DE INGRESOS</t>
  </si>
  <si>
    <t xml:space="preserve">VOLUMEN </t>
  </si>
  <si>
    <t xml:space="preserve">PRECIO </t>
  </si>
  <si>
    <t>UNITARIO</t>
  </si>
  <si>
    <t>COSTOS FIJOS</t>
  </si>
  <si>
    <t>AÑO 1</t>
  </si>
  <si>
    <t>AÑO 2</t>
  </si>
  <si>
    <t>AÑO 3</t>
  </si>
  <si>
    <t>AÑO 4</t>
  </si>
  <si>
    <t>AÑO 5</t>
  </si>
  <si>
    <t>COSTOS VARIABLES</t>
  </si>
  <si>
    <t xml:space="preserve">COSTOS FIJOS </t>
  </si>
  <si>
    <t>COSTOS TOTALES</t>
  </si>
  <si>
    <t>( = ) UTILIDAD BRUTA</t>
  </si>
  <si>
    <t>( - ) COSTOS TOTALES</t>
  </si>
  <si>
    <t>( - ) DEPRECIACION</t>
  </si>
  <si>
    <t xml:space="preserve">( - ) IMPUESTOS </t>
  </si>
  <si>
    <t>( =  ) UTILIDAD DEL EJERCICIO</t>
  </si>
  <si>
    <t>( + ) VENTAS</t>
  </si>
  <si>
    <t>COSTOS DE DEPRECIACIONES</t>
  </si>
  <si>
    <t>VALOR ORIGINAL</t>
  </si>
  <si>
    <t>TASA</t>
  </si>
  <si>
    <t>AÑOS</t>
  </si>
  <si>
    <t>DEP ANUAL</t>
  </si>
  <si>
    <t>VALOR RESCATE</t>
  </si>
  <si>
    <t>AÑO 0</t>
  </si>
  <si>
    <t>INGRESOS</t>
  </si>
  <si>
    <t>COMPRA ACTIVO FIJO</t>
  </si>
  <si>
    <t>CONCEPTOS / AÑO</t>
  </si>
  <si>
    <t>COMPRA ACTIVO DIFERIDO</t>
  </si>
  <si>
    <t>COMPRA CAPITAL DE TRABAJO</t>
  </si>
  <si>
    <t>( + ) VALOR DE RESCATE</t>
  </si>
  <si>
    <t>( = ) INGRESOS TOTALES</t>
  </si>
  <si>
    <t>( = ) COSTOS TOTALES</t>
  </si>
  <si>
    <t>( = ) SALDO FINAL</t>
  </si>
  <si>
    <t xml:space="preserve">PUNTO DE EQUILIBRIO $ </t>
  </si>
  <si>
    <t>PUNTO DE EQUILIBRIO %</t>
  </si>
  <si>
    <t xml:space="preserve">INTERPRETACION </t>
  </si>
  <si>
    <t xml:space="preserve">COSTOS  </t>
  </si>
  <si>
    <t xml:space="preserve">FLUJO DE </t>
  </si>
  <si>
    <t>EFECTIVO</t>
  </si>
  <si>
    <t xml:space="preserve"> TASA</t>
  </si>
  <si>
    <t xml:space="preserve"> (1+t)-n</t>
  </si>
  <si>
    <t>ACTUALIZADOS</t>
  </si>
  <si>
    <t>EGRESOS</t>
  </si>
  <si>
    <t>De acuerdo a reglas de Operación 10% como minimo y de hasta el 50% de lo solicitado</t>
  </si>
  <si>
    <t>MONTO DE AHORRO</t>
  </si>
  <si>
    <t>PORCENTAJE</t>
  </si>
  <si>
    <t>PAGOS</t>
  </si>
  <si>
    <t xml:space="preserve">CRITERIO DE DECISIÓN </t>
  </si>
  <si>
    <t>( = ) UTILIDAD ANTES DE IMPUESTOS</t>
  </si>
  <si>
    <t>MEMORIAS DE CALCULO</t>
  </si>
  <si>
    <t>CONCEPTO</t>
  </si>
  <si>
    <t>COSTO MENSUAL</t>
  </si>
  <si>
    <t>INGRESO MENSUAL</t>
  </si>
  <si>
    <t>INGRESO ANUAL</t>
  </si>
  <si>
    <t>presupuesto</t>
  </si>
  <si>
    <t>Capacitacion y asistencia tecnica</t>
  </si>
  <si>
    <t>Agua</t>
  </si>
  <si>
    <t>Luz</t>
  </si>
  <si>
    <t>Venta mensual</t>
  </si>
  <si>
    <t>MENSUAL</t>
  </si>
  <si>
    <t>Solicitado</t>
  </si>
  <si>
    <t>Monto a ahorrar</t>
  </si>
  <si>
    <t>El punto de equilibrio indica el porcetaje de ventas que se debe tener para cubrir los costos totales, sin que se tenga ganancias, es lo minimo que se debe vender en porcentaje y en valor ($) para no tener perdidas</t>
  </si>
  <si>
    <t xml:space="preserve">NOMBRE DEL PROYECTO: </t>
  </si>
  <si>
    <t>El proyecto es viable de acuerdo a la evaluacion realizada, con los indicadores presentados, se tiene que el VAN mayor que cero, lo que significa que el proyecto ademas de la recuperacion, las utilidades y ganancias, se tendra al final de los 5 años una ganancia extra, un excedente de dinero. Se tiene un TIR mayor que la tasa de evaluacion, lo que indica viabilidad. Y por ultimo la relacion Beneficio-Costo es mayor que 1, lo que significa, que por cada peso invertido se va a recuperar y se tendra un excedente de .01 pesos</t>
  </si>
  <si>
    <t>PROMUSAG</t>
  </si>
  <si>
    <t>Costos de Aministracion, Ventas, Servicios y Mano de Obra</t>
  </si>
  <si>
    <t>Administrador</t>
  </si>
  <si>
    <t>Encargado de Ventas</t>
  </si>
  <si>
    <t>Telefono</t>
  </si>
  <si>
    <t>Concepto</t>
  </si>
  <si>
    <t>Cantidad</t>
  </si>
  <si>
    <t>Precio Unitario</t>
  </si>
  <si>
    <t>Frecuencia</t>
  </si>
  <si>
    <t>Costo Total</t>
  </si>
  <si>
    <t>Renta de inflables</t>
  </si>
  <si>
    <t>Castillo de 4x6 m con punching bag</t>
  </si>
  <si>
    <t>pieza</t>
  </si>
  <si>
    <t>Escaladora de 7 x 4 m con punching bag</t>
  </si>
  <si>
    <t>Toro mecanico con colchon de 5 x 5 m</t>
  </si>
  <si>
    <t>equipo</t>
  </si>
  <si>
    <t>Rockola con entrada USB 5 mil canciones</t>
  </si>
  <si>
    <t>Renta de Castillo</t>
  </si>
  <si>
    <t>Renta de Escaladora</t>
  </si>
  <si>
    <t>Renta de Toro mecanico</t>
  </si>
  <si>
    <t>Renta de Rockola</t>
  </si>
  <si>
    <t>Precio de Renta/Hora</t>
  </si>
  <si>
    <t>No. De Renta Semanal</t>
  </si>
  <si>
    <t>No. De Horas Semanal</t>
  </si>
  <si>
    <t>No. De Horas Rentadas/Mes</t>
  </si>
  <si>
    <t>Ingreso Mensual</t>
  </si>
  <si>
    <t>Proyeccion de Renta Mensuales</t>
  </si>
  <si>
    <t>Total</t>
  </si>
  <si>
    <t>Ene</t>
  </si>
  <si>
    <t>Feb</t>
  </si>
  <si>
    <t>Mar</t>
  </si>
  <si>
    <t>Abr</t>
  </si>
  <si>
    <t>May</t>
  </si>
  <si>
    <t>Jun</t>
  </si>
  <si>
    <t>Jul</t>
  </si>
  <si>
    <t>Ago</t>
  </si>
  <si>
    <t>Sep</t>
  </si>
  <si>
    <t>Oct</t>
  </si>
  <si>
    <t>Nov</t>
  </si>
  <si>
    <t>Dic</t>
  </si>
  <si>
    <t>Temp Normal</t>
  </si>
  <si>
    <t>Temp Alta (50%)</t>
  </si>
  <si>
    <t>Temp Media (25%)</t>
  </si>
  <si>
    <t>Ingresos por Renta Mensual</t>
  </si>
  <si>
    <t>Renta de local</t>
  </si>
  <si>
    <t>Ayudante general</t>
  </si>
  <si>
    <t>Mantenimiendo de inflables y equipo</t>
  </si>
  <si>
    <t>Fletes</t>
  </si>
  <si>
    <t>Renta de local, servicios, mano de obra, telefono</t>
  </si>
  <si>
    <t>presupuestp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</si>
</sst>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00\ &quot;€&quot;_-;\-* #,##0.00\ &quot;€&quot;_-;_-* &quot;-&quot;??\ &quot;€&quot;_-;_-@_-"/>
    <numFmt numFmtId="165" formatCode="#,##0_ ;\-#,##0\ "/>
    <numFmt numFmtId="166" formatCode="_-[$$-80A]* #,##0.00_-;\-[$$-80A]* #,##0.00_-;_-[$$-80A]* &quot;-&quot;??_-;_-@_-"/>
    <numFmt numFmtId="167" formatCode="#,##0.000"/>
    <numFmt numFmtId="168" formatCode="_-&quot;$&quot;* #,##0.000_-;\-&quot;$&quot;* #,##0.000_-;_-&quot;$&quot;* &quot;-&quot;???_-;_-@_-"/>
    <numFmt numFmtId="169" formatCode="_-* #,##0.0_-;\-* #,##0.0_-;_-* &quot;-&quot;??_-;_-@_-"/>
    <numFmt numFmtId="170" formatCode="_-* #,##0_-;\-* #,##0_-;_-* &quot;-&quot;??_-;_-@_-"/>
  </numFmts>
  <fonts count="37" x14ac:knownFonts="1">
    <font>
      <sz val="11"/>
      <color theme="1"/>
      <name val="Calibri"/>
      <family val="2"/>
      <scheme val="minor"/>
    </font>
    <font>
      <b/>
      <sz val="11"/>
      <color indexed="8"/>
      <name val="Calibri"/>
      <family val="2"/>
    </font>
    <font>
      <b/>
      <sz val="9"/>
      <color indexed="81"/>
      <name val="Tahoma"/>
      <family val="2"/>
    </font>
    <font>
      <sz val="11"/>
      <color indexed="8"/>
      <name val="Calibri"/>
      <family val="2"/>
    </font>
    <font>
      <sz val="11"/>
      <color indexed="9"/>
      <name val="Calibri"/>
      <family val="2"/>
    </font>
    <font>
      <b/>
      <sz val="11"/>
      <color indexed="9"/>
      <name val="Calibri"/>
      <family val="2"/>
    </font>
    <font>
      <sz val="12"/>
      <color indexed="8"/>
      <name val="Calibri"/>
      <family val="2"/>
    </font>
    <font>
      <b/>
      <sz val="11"/>
      <color indexed="8"/>
      <name val="Arial Narrow"/>
      <family val="2"/>
    </font>
    <font>
      <b/>
      <sz val="16"/>
      <color indexed="8"/>
      <name val="Calibri"/>
      <family val="2"/>
    </font>
    <font>
      <b/>
      <i/>
      <sz val="20"/>
      <color indexed="8"/>
      <name val="Calibri"/>
      <family val="2"/>
    </font>
    <font>
      <b/>
      <i/>
      <sz val="11"/>
      <color indexed="8"/>
      <name val="Calibri"/>
      <family val="2"/>
    </font>
    <font>
      <b/>
      <i/>
      <sz val="16"/>
      <color indexed="8"/>
      <name val="Calibri"/>
      <family val="2"/>
    </font>
    <font>
      <b/>
      <i/>
      <sz val="18"/>
      <color indexed="8"/>
      <name val="Calibri"/>
      <family val="2"/>
    </font>
    <font>
      <sz val="12"/>
      <color indexed="9"/>
      <name val="Calibri"/>
      <family val="2"/>
    </font>
    <font>
      <b/>
      <sz val="11"/>
      <name val="Calibri"/>
      <family val="2"/>
    </font>
    <font>
      <b/>
      <i/>
      <u/>
      <sz val="12"/>
      <name val="Arial"/>
      <family val="2"/>
    </font>
    <font>
      <b/>
      <sz val="12"/>
      <color indexed="8"/>
      <name val="Arial"/>
      <family val="2"/>
    </font>
    <font>
      <u/>
      <sz val="12"/>
      <name val="Arial"/>
      <family val="2"/>
    </font>
    <font>
      <sz val="12"/>
      <color indexed="8"/>
      <name val="Arial"/>
      <family val="2"/>
    </font>
    <font>
      <b/>
      <i/>
      <sz val="14"/>
      <color indexed="8"/>
      <name val="Arial"/>
      <family val="2"/>
    </font>
    <font>
      <b/>
      <sz val="8"/>
      <color indexed="81"/>
      <name val="Tahoma"/>
      <family val="2"/>
    </font>
    <font>
      <sz val="11"/>
      <name val="Calibri"/>
      <family val="2"/>
    </font>
    <font>
      <u/>
      <sz val="11"/>
      <color theme="10"/>
      <name val="Calibri"/>
      <family val="2"/>
    </font>
    <font>
      <sz val="11"/>
      <color theme="1"/>
      <name val="Calibri"/>
      <family val="2"/>
      <scheme val="minor"/>
    </font>
    <font>
      <sz val="11"/>
      <name val="Calibri"/>
      <family val="2"/>
      <scheme val="minor"/>
    </font>
    <font>
      <b/>
      <i/>
      <sz val="20"/>
      <name val="Calibri"/>
      <family val="2"/>
    </font>
    <font>
      <b/>
      <sz val="16"/>
      <name val="Calibri"/>
      <family val="2"/>
    </font>
    <font>
      <sz val="12"/>
      <name val="Calibri"/>
      <family val="2"/>
    </font>
    <font>
      <sz val="10"/>
      <name val="Courier"/>
      <family val="3"/>
    </font>
    <font>
      <sz val="10"/>
      <name val="Tahoma"/>
      <family val="2"/>
    </font>
    <font>
      <sz val="10"/>
      <name val="Arial"/>
      <family val="2"/>
    </font>
    <font>
      <b/>
      <sz val="10"/>
      <name val="Tahoma"/>
      <family val="2"/>
    </font>
    <font>
      <u/>
      <sz val="11"/>
      <color theme="1"/>
      <name val="Calibri"/>
      <family val="2"/>
      <scheme val="minor"/>
    </font>
    <font>
      <b/>
      <sz val="11"/>
      <color theme="0"/>
      <name val="Calibri"/>
      <family val="2"/>
      <scheme val="minor"/>
    </font>
    <font>
      <b/>
      <sz val="11"/>
      <name val="Calibri"/>
      <family val="2"/>
      <scheme val="minor"/>
    </font>
    <font>
      <b/>
      <sz val="11"/>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style="medium">
        <color indexed="64"/>
      </left>
      <right style="medium">
        <color indexed="64"/>
      </right>
      <top style="medium">
        <color indexed="64"/>
      </top>
      <bottom/>
      <diagonal/>
    </border>
  </borders>
  <cellStyleXfs count="7">
    <xf numFmtId="0" fontId="0" fillId="0" borderId="0"/>
    <xf numFmtId="0" fontId="22" fillId="0" borderId="0" applyNumberFormat="0" applyFill="0" applyBorder="0" applyAlignment="0" applyProtection="0">
      <alignment vertical="top"/>
      <protection locked="0"/>
    </xf>
    <xf numFmtId="164" fontId="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8" fillId="0" borderId="0"/>
    <xf numFmtId="9" fontId="30" fillId="0" borderId="0" applyFont="0" applyFill="0" applyBorder="0" applyAlignment="0" applyProtection="0"/>
  </cellStyleXfs>
  <cellXfs count="117">
    <xf numFmtId="0" fontId="0" fillId="0" borderId="0" xfId="0"/>
    <xf numFmtId="0" fontId="6" fillId="0" borderId="0" xfId="0" applyFont="1"/>
    <xf numFmtId="0" fontId="7" fillId="0" borderId="0" xfId="0" applyFont="1" applyAlignment="1">
      <alignment horizontal="right"/>
    </xf>
    <xf numFmtId="0" fontId="0" fillId="0" borderId="0" xfId="0" applyFill="1"/>
    <xf numFmtId="0" fontId="10" fillId="0" borderId="0" xfId="0" applyFont="1"/>
    <xf numFmtId="0" fontId="1" fillId="0" borderId="0" xfId="0" applyFont="1" applyFill="1" applyAlignment="1">
      <alignment horizontal="center"/>
    </xf>
    <xf numFmtId="0" fontId="13" fillId="3" borderId="1" xfId="0" applyFont="1" applyFill="1" applyBorder="1" applyAlignment="1">
      <alignment horizontal="center"/>
    </xf>
    <xf numFmtId="44" fontId="13" fillId="3" borderId="1" xfId="2" applyNumberFormat="1" applyFont="1" applyFill="1" applyBorder="1" applyAlignment="1">
      <alignment horizontal="center" wrapText="1"/>
    </xf>
    <xf numFmtId="44" fontId="4" fillId="3" borderId="1" xfId="2" applyNumberFormat="1" applyFont="1" applyFill="1" applyBorder="1"/>
    <xf numFmtId="0" fontId="4" fillId="3" borderId="1" xfId="0" applyFont="1" applyFill="1" applyBorder="1"/>
    <xf numFmtId="9" fontId="14" fillId="2" borderId="2" xfId="0" applyNumberFormat="1" applyFont="1" applyFill="1" applyBorder="1"/>
    <xf numFmtId="0" fontId="4" fillId="3" borderId="1" xfId="0" applyFont="1" applyFill="1" applyBorder="1" applyAlignment="1">
      <alignment vertical="top" wrapText="1"/>
    </xf>
    <xf numFmtId="44" fontId="4" fillId="3" borderId="1" xfId="0" applyNumberFormat="1" applyFont="1" applyFill="1" applyBorder="1"/>
    <xf numFmtId="0" fontId="5" fillId="3" borderId="1" xfId="0" applyFont="1" applyFill="1" applyBorder="1" applyAlignment="1">
      <alignment horizontal="center" wrapText="1"/>
    </xf>
    <xf numFmtId="0" fontId="15" fillId="0" borderId="0" xfId="1" applyFont="1" applyAlignment="1" applyProtection="1"/>
    <xf numFmtId="0" fontId="16" fillId="0" borderId="0" xfId="0" applyFont="1" applyAlignment="1">
      <alignment horizontal="left"/>
    </xf>
    <xf numFmtId="0" fontId="17" fillId="0" borderId="0" xfId="1" applyFont="1" applyAlignment="1" applyProtection="1"/>
    <xf numFmtId="0" fontId="18" fillId="0" borderId="0" xfId="0" applyFont="1" applyAlignment="1">
      <alignment horizontal="left"/>
    </xf>
    <xf numFmtId="0" fontId="19" fillId="0" borderId="0" xfId="0" applyFont="1"/>
    <xf numFmtId="0" fontId="11"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xf>
    <xf numFmtId="0" fontId="0" fillId="4" borderId="1" xfId="0" applyFill="1" applyBorder="1" applyAlignment="1">
      <alignment horizontal="justify" vertical="top" wrapText="1"/>
    </xf>
    <xf numFmtId="0" fontId="0" fillId="4" borderId="1" xfId="0" applyFill="1" applyBorder="1" applyAlignment="1">
      <alignment horizontal="center" vertical="top" wrapText="1"/>
    </xf>
    <xf numFmtId="0" fontId="0" fillId="4" borderId="1" xfId="0" applyFont="1" applyFill="1" applyBorder="1" applyAlignment="1">
      <alignment horizontal="center" vertical="top" wrapText="1"/>
    </xf>
    <xf numFmtId="44" fontId="3" fillId="4" borderId="1" xfId="2" applyNumberFormat="1" applyFont="1" applyFill="1" applyBorder="1" applyAlignment="1">
      <alignment horizontal="center" vertical="top" wrapText="1"/>
    </xf>
    <xf numFmtId="44" fontId="3" fillId="4" borderId="1" xfId="2" applyNumberFormat="1" applyFont="1" applyFill="1" applyBorder="1"/>
    <xf numFmtId="0" fontId="0" fillId="4" borderId="1" xfId="0" applyFont="1" applyFill="1" applyBorder="1" applyAlignment="1">
      <alignment horizontal="justify" vertical="top" wrapText="1"/>
    </xf>
    <xf numFmtId="44" fontId="0" fillId="4" borderId="1" xfId="0" applyNumberFormat="1" applyFont="1" applyFill="1" applyBorder="1"/>
    <xf numFmtId="0" fontId="0" fillId="4" borderId="1" xfId="0" applyFont="1" applyFill="1" applyBorder="1" applyAlignment="1">
      <alignment vertical="top" wrapText="1"/>
    </xf>
    <xf numFmtId="44" fontId="3" fillId="4" borderId="1" xfId="2" applyNumberFormat="1" applyFont="1" applyFill="1" applyBorder="1" applyAlignment="1">
      <alignment vertical="center" wrapText="1"/>
    </xf>
    <xf numFmtId="0" fontId="0" fillId="4" borderId="1" xfId="0" applyFont="1" applyFill="1" applyBorder="1" applyAlignment="1">
      <alignment vertical="center" wrapText="1"/>
    </xf>
    <xf numFmtId="44" fontId="21" fillId="4" borderId="1" xfId="2" applyNumberFormat="1" applyFont="1" applyFill="1" applyBorder="1"/>
    <xf numFmtId="165" fontId="4" fillId="3" borderId="1" xfId="2" applyNumberFormat="1" applyFont="1" applyFill="1" applyBorder="1" applyAlignment="1">
      <alignment horizontal="center"/>
    </xf>
    <xf numFmtId="44" fontId="4" fillId="3" borderId="1" xfId="2" applyNumberFormat="1" applyFont="1" applyFill="1" applyBorder="1" applyAlignment="1">
      <alignment horizontal="center"/>
    </xf>
    <xf numFmtId="0" fontId="0" fillId="0" borderId="0" xfId="0" applyAlignment="1">
      <alignment horizontal="center"/>
    </xf>
    <xf numFmtId="0" fontId="4" fillId="3" borderId="1" xfId="0" applyFont="1" applyFill="1" applyBorder="1" applyAlignment="1">
      <alignment horizontal="center"/>
    </xf>
    <xf numFmtId="0" fontId="13" fillId="3" borderId="1" xfId="0" applyFont="1" applyFill="1" applyBorder="1" applyAlignment="1">
      <alignment horizontal="left"/>
    </xf>
    <xf numFmtId="44" fontId="3" fillId="4" borderId="3" xfId="2" applyNumberFormat="1" applyFont="1" applyFill="1" applyBorder="1"/>
    <xf numFmtId="44" fontId="3" fillId="4" borderId="4" xfId="2" applyNumberFormat="1" applyFont="1" applyFill="1" applyBorder="1"/>
    <xf numFmtId="0" fontId="13" fillId="3" borderId="3" xfId="0" applyFont="1" applyFill="1" applyBorder="1" applyAlignment="1">
      <alignment horizontal="left"/>
    </xf>
    <xf numFmtId="0" fontId="13" fillId="3" borderId="4" xfId="0" applyFont="1" applyFill="1" applyBorder="1" applyAlignment="1">
      <alignment horizontal="left"/>
    </xf>
    <xf numFmtId="0" fontId="13" fillId="3" borderId="5" xfId="0" applyFont="1" applyFill="1" applyBorder="1" applyAlignment="1">
      <alignment horizontal="left"/>
    </xf>
    <xf numFmtId="44" fontId="3" fillId="4" borderId="6" xfId="2" applyNumberFormat="1" applyFont="1" applyFill="1" applyBorder="1"/>
    <xf numFmtId="0" fontId="10" fillId="0" borderId="0" xfId="0" applyFont="1" applyAlignment="1">
      <alignment horizontal="left"/>
    </xf>
    <xf numFmtId="0" fontId="0" fillId="4" borderId="1" xfId="0" applyFill="1" applyBorder="1"/>
    <xf numFmtId="9" fontId="0" fillId="4" borderId="1" xfId="0" applyNumberFormat="1" applyFill="1" applyBorder="1"/>
    <xf numFmtId="0" fontId="24" fillId="0" borderId="0" xfId="0" applyFont="1" applyFill="1"/>
    <xf numFmtId="0" fontId="24" fillId="0" borderId="0" xfId="0" applyFont="1"/>
    <xf numFmtId="0" fontId="24" fillId="0" borderId="0" xfId="0" applyFont="1" applyAlignment="1">
      <alignment horizontal="right"/>
    </xf>
    <xf numFmtId="43" fontId="24" fillId="0" borderId="0" xfId="0" applyNumberFormat="1" applyFont="1"/>
    <xf numFmtId="0" fontId="0" fillId="0" borderId="1" xfId="0" applyBorder="1" applyAlignment="1">
      <alignment horizontal="center" vertical="top" wrapText="1"/>
    </xf>
    <xf numFmtId="44" fontId="3" fillId="0" borderId="1" xfId="2" applyNumberFormat="1" applyFont="1" applyBorder="1" applyAlignment="1">
      <alignment horizontal="center" vertical="top" wrapText="1"/>
    </xf>
    <xf numFmtId="44" fontId="27" fillId="4" borderId="1" xfId="0" applyNumberFormat="1" applyFont="1" applyFill="1" applyBorder="1" applyAlignment="1">
      <alignment horizontal="center"/>
    </xf>
    <xf numFmtId="43" fontId="0" fillId="4" borderId="1" xfId="0" applyNumberFormat="1" applyFill="1" applyBorder="1" applyAlignment="1">
      <alignment horizontal="justify" vertical="top" wrapText="1"/>
    </xf>
    <xf numFmtId="44" fontId="14" fillId="4" borderId="1" xfId="2" applyNumberFormat="1" applyFont="1" applyFill="1" applyBorder="1"/>
    <xf numFmtId="44" fontId="0" fillId="4" borderId="1" xfId="0" applyNumberFormat="1" applyFill="1" applyBorder="1" applyAlignment="1">
      <alignment horizontal="center" vertical="top" wrapText="1"/>
    </xf>
    <xf numFmtId="43" fontId="3" fillId="4" borderId="1" xfId="3" applyFont="1" applyFill="1" applyBorder="1" applyAlignment="1">
      <alignment horizontal="center" vertical="top" wrapText="1"/>
    </xf>
    <xf numFmtId="9" fontId="0" fillId="4" borderId="1" xfId="0" applyNumberFormat="1" applyFont="1" applyFill="1" applyBorder="1" applyAlignment="1">
      <alignment horizontal="center" vertical="top" wrapText="1"/>
    </xf>
    <xf numFmtId="166" fontId="24" fillId="0" borderId="8" xfId="2" applyNumberFormat="1" applyFont="1" applyFill="1" applyBorder="1"/>
    <xf numFmtId="9" fontId="3" fillId="4" borderId="1" xfId="4" applyFont="1" applyFill="1" applyBorder="1" applyAlignment="1">
      <alignment horizontal="center"/>
    </xf>
    <xf numFmtId="168" fontId="27" fillId="4" borderId="1" xfId="0" applyNumberFormat="1" applyFont="1" applyFill="1" applyBorder="1" applyAlignment="1">
      <alignment horizontal="left"/>
    </xf>
    <xf numFmtId="43" fontId="0" fillId="4" borderId="1" xfId="3" applyFont="1" applyFill="1" applyBorder="1"/>
    <xf numFmtId="43" fontId="0" fillId="4" borderId="1" xfId="0" applyNumberFormat="1" applyFill="1" applyBorder="1"/>
    <xf numFmtId="0" fontId="24" fillId="0" borderId="1" xfId="0" applyFont="1" applyBorder="1"/>
    <xf numFmtId="0" fontId="24" fillId="0" borderId="1" xfId="0" applyFont="1" applyBorder="1" applyAlignment="1">
      <alignment horizontal="left"/>
    </xf>
    <xf numFmtId="43" fontId="24" fillId="0" borderId="1" xfId="3" applyFont="1" applyBorder="1" applyAlignment="1">
      <alignment horizontal="right"/>
    </xf>
    <xf numFmtId="0" fontId="33" fillId="5" borderId="1" xfId="0" applyFont="1" applyFill="1" applyBorder="1"/>
    <xf numFmtId="0" fontId="33" fillId="5" borderId="1" xfId="0" applyFont="1" applyFill="1" applyBorder="1" applyAlignment="1">
      <alignment horizontal="right"/>
    </xf>
    <xf numFmtId="0" fontId="0" fillId="0" borderId="1" xfId="0" applyBorder="1"/>
    <xf numFmtId="44" fontId="0" fillId="0" borderId="1" xfId="0" applyNumberFormat="1" applyBorder="1"/>
    <xf numFmtId="10" fontId="31" fillId="0" borderId="1" xfId="6" applyNumberFormat="1" applyFont="1" applyFill="1" applyBorder="1" applyAlignment="1">
      <alignment horizontal="right"/>
    </xf>
    <xf numFmtId="166" fontId="0" fillId="0" borderId="1" xfId="2" applyNumberFormat="1" applyFont="1" applyBorder="1"/>
    <xf numFmtId="0" fontId="11" fillId="0" borderId="0" xfId="0" applyFont="1" applyAlignment="1"/>
    <xf numFmtId="0" fontId="9" fillId="0" borderId="0" xfId="0" applyFont="1" applyAlignment="1"/>
    <xf numFmtId="44" fontId="0" fillId="0" borderId="0" xfId="0" applyNumberFormat="1"/>
    <xf numFmtId="43" fontId="0" fillId="0" borderId="0" xfId="3" applyFont="1"/>
    <xf numFmtId="44" fontId="1" fillId="4" borderId="1" xfId="2" applyNumberFormat="1" applyFont="1" applyFill="1" applyBorder="1"/>
    <xf numFmtId="167" fontId="29" fillId="0" borderId="1" xfId="5" applyNumberFormat="1" applyFont="1" applyFill="1" applyBorder="1" applyAlignment="1">
      <alignment horizontal="center"/>
    </xf>
    <xf numFmtId="166" fontId="24" fillId="0" borderId="1" xfId="2" applyNumberFormat="1" applyFont="1" applyBorder="1" applyAlignment="1">
      <alignment horizontal="right"/>
    </xf>
    <xf numFmtId="166" fontId="34" fillId="0" borderId="0" xfId="0" applyNumberFormat="1" applyFont="1"/>
    <xf numFmtId="43" fontId="34" fillId="0" borderId="0" xfId="0" applyNumberFormat="1" applyFont="1"/>
    <xf numFmtId="9" fontId="24" fillId="0" borderId="1" xfId="3" applyNumberFormat="1" applyFont="1" applyBorder="1" applyAlignment="1">
      <alignment horizontal="center"/>
    </xf>
    <xf numFmtId="0" fontId="34" fillId="0" borderId="0" xfId="0" applyFont="1"/>
    <xf numFmtId="43" fontId="0" fillId="0" borderId="1" xfId="0" applyNumberFormat="1" applyFont="1" applyBorder="1" applyAlignment="1">
      <alignment horizontal="center" vertical="top" wrapText="1"/>
    </xf>
    <xf numFmtId="0" fontId="35" fillId="0" borderId="0" xfId="0" applyFont="1"/>
    <xf numFmtId="0" fontId="36" fillId="0" borderId="0" xfId="0" applyFont="1"/>
    <xf numFmtId="43" fontId="24" fillId="0" borderId="1" xfId="3" applyFont="1" applyBorder="1" applyAlignment="1">
      <alignment horizontal="center"/>
    </xf>
    <xf numFmtId="0" fontId="33" fillId="5" borderId="1" xfId="0" applyFont="1" applyFill="1" applyBorder="1" applyAlignment="1">
      <alignment horizontal="center"/>
    </xf>
    <xf numFmtId="0" fontId="34" fillId="0" borderId="1" xfId="0" applyFont="1" applyBorder="1"/>
    <xf numFmtId="43" fontId="24" fillId="0" borderId="1" xfId="3" applyFont="1" applyBorder="1"/>
    <xf numFmtId="43" fontId="33" fillId="5" borderId="1" xfId="0" applyNumberFormat="1" applyFont="1" applyFill="1" applyBorder="1"/>
    <xf numFmtId="169" fontId="24" fillId="0" borderId="1" xfId="3" applyNumberFormat="1" applyFont="1" applyBorder="1" applyAlignment="1">
      <alignment horizontal="right"/>
    </xf>
    <xf numFmtId="169" fontId="24" fillId="0" borderId="1" xfId="3" applyNumberFormat="1" applyFont="1" applyBorder="1"/>
    <xf numFmtId="170" fontId="24" fillId="0" borderId="1" xfId="3" applyNumberFormat="1" applyFont="1" applyBorder="1" applyAlignment="1">
      <alignment horizontal="right"/>
    </xf>
    <xf numFmtId="170" fontId="24" fillId="0" borderId="1" xfId="3" applyNumberFormat="1" applyFont="1" applyBorder="1"/>
    <xf numFmtId="170" fontId="24" fillId="0" borderId="1" xfId="3" applyNumberFormat="1" applyFont="1" applyFill="1" applyBorder="1"/>
    <xf numFmtId="170" fontId="34" fillId="0" borderId="1" xfId="0" applyNumberFormat="1" applyFont="1" applyBorder="1" applyAlignment="1">
      <alignment horizontal="right"/>
    </xf>
    <xf numFmtId="169" fontId="34" fillId="0" borderId="1" xfId="3" applyNumberFormat="1" applyFont="1" applyBorder="1"/>
    <xf numFmtId="169" fontId="34" fillId="0" borderId="1" xfId="3" applyNumberFormat="1" applyFont="1" applyBorder="1" applyAlignment="1">
      <alignment horizontal="right"/>
    </xf>
    <xf numFmtId="169" fontId="33" fillId="5" borderId="1" xfId="3" applyNumberFormat="1" applyFont="1" applyFill="1" applyBorder="1"/>
    <xf numFmtId="169" fontId="33" fillId="5" borderId="1" xfId="3" applyNumberFormat="1" applyFont="1" applyFill="1" applyBorder="1" applyAlignment="1">
      <alignment horizontal="right"/>
    </xf>
    <xf numFmtId="0" fontId="33" fillId="4" borderId="0" xfId="0" applyFont="1" applyFill="1" applyBorder="1" applyAlignment="1">
      <alignment horizontal="right"/>
    </xf>
    <xf numFmtId="43" fontId="21" fillId="4" borderId="0" xfId="3" applyFont="1" applyFill="1" applyBorder="1" applyAlignment="1">
      <alignment horizontal="right"/>
    </xf>
    <xf numFmtId="43" fontId="24" fillId="4" borderId="0" xfId="3" applyFont="1" applyFill="1" applyBorder="1" applyAlignment="1">
      <alignment horizontal="right"/>
    </xf>
    <xf numFmtId="166" fontId="21" fillId="4" borderId="0" xfId="2" applyNumberFormat="1" applyFont="1" applyFill="1" applyBorder="1" applyAlignment="1">
      <alignment horizontal="right"/>
    </xf>
    <xf numFmtId="166" fontId="24" fillId="4" borderId="0" xfId="2" applyNumberFormat="1" applyFont="1" applyFill="1" applyBorder="1" applyAlignment="1">
      <alignment horizontal="right"/>
    </xf>
    <xf numFmtId="43" fontId="24" fillId="0" borderId="1" xfId="3" applyFont="1" applyBorder="1" applyAlignment="1">
      <alignment horizontal="left"/>
    </xf>
    <xf numFmtId="0" fontId="9" fillId="0" borderId="0" xfId="0" applyFont="1" applyAlignment="1">
      <alignment horizontal="center"/>
    </xf>
    <xf numFmtId="0" fontId="8" fillId="0" borderId="7" xfId="0" applyFont="1" applyBorder="1" applyAlignment="1">
      <alignment horizontal="center"/>
    </xf>
    <xf numFmtId="0" fontId="25" fillId="0" borderId="0" xfId="0" applyFont="1" applyFill="1" applyAlignment="1">
      <alignment horizontal="center"/>
    </xf>
    <xf numFmtId="0" fontId="26" fillId="0" borderId="0" xfId="0" applyFont="1" applyFill="1" applyAlignment="1">
      <alignment horizontal="center"/>
    </xf>
    <xf numFmtId="0" fontId="11" fillId="0" borderId="0" xfId="0" applyFont="1" applyAlignment="1">
      <alignment horizontal="center"/>
    </xf>
    <xf numFmtId="0" fontId="8" fillId="0" borderId="0" xfId="0" applyFont="1" applyAlignment="1">
      <alignment horizontal="center"/>
    </xf>
    <xf numFmtId="0" fontId="13" fillId="3" borderId="7" xfId="0" applyFont="1" applyFill="1" applyBorder="1" applyAlignment="1">
      <alignment horizontal="center"/>
    </xf>
    <xf numFmtId="0" fontId="12" fillId="0" borderId="0" xfId="0" applyFont="1" applyAlignment="1">
      <alignment horizontal="center"/>
    </xf>
    <xf numFmtId="0" fontId="32" fillId="0" borderId="0" xfId="0" applyFont="1" applyAlignment="1">
      <alignment horizontal="left" vertical="center" wrapText="1"/>
    </xf>
  </cellXfs>
  <cellStyles count="7">
    <cellStyle name="Hipervínculo" xfId="1" builtinId="8"/>
    <cellStyle name="Millares" xfId="3" builtinId="3"/>
    <cellStyle name="Moneda" xfId="2" builtinId="4"/>
    <cellStyle name="Normal" xfId="0" builtinId="0"/>
    <cellStyle name="Normal 2" xfId="5"/>
    <cellStyle name="Porcentaje" xfId="4" builtinId="5"/>
    <cellStyle name="Porcentual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Spin" dx="15" fmlaLink="#REF!" max="100" page="10" val="0"/>
</file>

<file path=xl/ctrlProps/ctrlProp2.xml><?xml version="1.0" encoding="utf-8"?>
<formControlPr xmlns="http://schemas.microsoft.com/office/spreadsheetml/2009/9/main" objectType="Spin" dx="15" fmlaLink="#REF!" max="100"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10</xdr:row>
          <xdr:rowOff>0</xdr:rowOff>
        </xdr:from>
        <xdr:to>
          <xdr:col>2</xdr:col>
          <xdr:colOff>0</xdr:colOff>
          <xdr:row>10</xdr:row>
          <xdr:rowOff>0</xdr:rowOff>
        </xdr:to>
        <xdr:sp macro="" textlink="">
          <xdr:nvSpPr>
            <xdr:cNvPr id="3073" name="Spinner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0</xdr:rowOff>
        </xdr:from>
        <xdr:to>
          <xdr:col>2</xdr:col>
          <xdr:colOff>0</xdr:colOff>
          <xdr:row>9</xdr:row>
          <xdr:rowOff>0</xdr:rowOff>
        </xdr:to>
        <xdr:sp macro="" textlink="">
          <xdr:nvSpPr>
            <xdr:cNvPr id="3074" name="Spinner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sz="1100"/>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1"/>
  <sheetViews>
    <sheetView showGridLines="0" workbookViewId="0">
      <selection activeCell="I9" sqref="I9"/>
    </sheetView>
  </sheetViews>
  <sheetFormatPr baseColWidth="10" defaultRowHeight="15" x14ac:dyDescent="0.25"/>
  <cols>
    <col min="1" max="1" width="13.42578125" customWidth="1"/>
  </cols>
  <sheetData>
    <row r="2" spans="1:13" ht="18.75" x14ac:dyDescent="0.3">
      <c r="A2" s="2"/>
      <c r="B2" s="18" t="s">
        <v>110</v>
      </c>
      <c r="F2" s="86" t="s">
        <v>122</v>
      </c>
      <c r="J2" s="3"/>
      <c r="K2" s="3"/>
      <c r="L2" s="3"/>
      <c r="M2" s="3"/>
    </row>
    <row r="3" spans="1:13" ht="16.5" x14ac:dyDescent="0.3">
      <c r="A3" s="2"/>
      <c r="B3" s="4"/>
      <c r="J3" s="3"/>
      <c r="K3" s="3"/>
      <c r="L3" s="3"/>
      <c r="M3" s="3"/>
    </row>
    <row r="4" spans="1:13" ht="16.5" x14ac:dyDescent="0.3">
      <c r="A4" s="2"/>
      <c r="B4" s="14"/>
      <c r="J4" s="3"/>
      <c r="K4" s="3"/>
      <c r="L4" s="3"/>
      <c r="M4" s="3"/>
    </row>
    <row r="5" spans="1:13" ht="15.75" x14ac:dyDescent="0.25">
      <c r="C5" s="15" t="s">
        <v>17</v>
      </c>
      <c r="D5" s="14" t="s">
        <v>0</v>
      </c>
      <c r="J5" s="3"/>
      <c r="K5" s="3"/>
      <c r="L5" s="3"/>
      <c r="M5" s="3"/>
    </row>
    <row r="6" spans="1:13" ht="15.75" x14ac:dyDescent="0.25">
      <c r="C6" s="15" t="s">
        <v>25</v>
      </c>
      <c r="D6" s="14" t="s">
        <v>26</v>
      </c>
      <c r="J6" s="3"/>
      <c r="K6" s="3"/>
      <c r="L6" s="3"/>
      <c r="M6" s="3"/>
    </row>
    <row r="7" spans="1:13" ht="15.75" x14ac:dyDescent="0.25">
      <c r="C7" s="17" t="s">
        <v>18</v>
      </c>
      <c r="D7" s="16" t="s">
        <v>32</v>
      </c>
      <c r="J7" s="5"/>
      <c r="K7" s="3"/>
      <c r="L7" s="3"/>
      <c r="M7" s="3"/>
    </row>
    <row r="8" spans="1:13" ht="15.75" x14ac:dyDescent="0.25">
      <c r="C8" s="17" t="s">
        <v>19</v>
      </c>
      <c r="D8" s="16" t="s">
        <v>33</v>
      </c>
      <c r="J8" s="3"/>
      <c r="K8" s="3"/>
      <c r="L8" s="3"/>
      <c r="M8" s="3"/>
    </row>
    <row r="9" spans="1:13" ht="15.75" x14ac:dyDescent="0.25">
      <c r="C9" s="15" t="s">
        <v>24</v>
      </c>
      <c r="D9" s="14" t="s">
        <v>27</v>
      </c>
      <c r="J9" s="3"/>
      <c r="K9" s="3"/>
      <c r="L9" s="3"/>
      <c r="M9" s="3"/>
    </row>
    <row r="10" spans="1:13" ht="15.75" x14ac:dyDescent="0.25">
      <c r="C10" s="17" t="s">
        <v>20</v>
      </c>
      <c r="D10" s="16" t="s">
        <v>35</v>
      </c>
      <c r="J10" s="3"/>
      <c r="K10" s="3"/>
      <c r="L10" s="3"/>
      <c r="M10" s="3"/>
    </row>
    <row r="11" spans="1:13" ht="15.75" x14ac:dyDescent="0.25">
      <c r="C11" s="17" t="s">
        <v>21</v>
      </c>
      <c r="D11" s="16" t="s">
        <v>34</v>
      </c>
      <c r="J11" s="3"/>
      <c r="K11" s="3"/>
      <c r="L11" s="3"/>
      <c r="M11" s="3"/>
    </row>
    <row r="12" spans="1:13" ht="15.75" x14ac:dyDescent="0.25">
      <c r="C12" s="17" t="s">
        <v>22</v>
      </c>
      <c r="D12" s="16" t="s">
        <v>36</v>
      </c>
      <c r="J12" s="14"/>
    </row>
    <row r="13" spans="1:13" ht="15.75" x14ac:dyDescent="0.25">
      <c r="C13" s="17" t="s">
        <v>23</v>
      </c>
      <c r="D13" s="16" t="s">
        <v>37</v>
      </c>
    </row>
    <row r="14" spans="1:13" ht="15.75" x14ac:dyDescent="0.25">
      <c r="C14" s="15" t="s">
        <v>28</v>
      </c>
      <c r="D14" s="14" t="s">
        <v>14</v>
      </c>
    </row>
    <row r="15" spans="1:13" ht="15.75" x14ac:dyDescent="0.25">
      <c r="C15" s="17" t="s">
        <v>29</v>
      </c>
      <c r="D15" s="16" t="s">
        <v>38</v>
      </c>
    </row>
    <row r="16" spans="1:13" ht="15.75" x14ac:dyDescent="0.25">
      <c r="C16" s="17" t="s">
        <v>30</v>
      </c>
      <c r="D16" s="16" t="s">
        <v>40</v>
      </c>
    </row>
    <row r="17" spans="1:9" ht="15.75" x14ac:dyDescent="0.25">
      <c r="C17" s="17" t="s">
        <v>31</v>
      </c>
      <c r="D17" s="16" t="s">
        <v>39</v>
      </c>
    </row>
    <row r="18" spans="1:9" ht="15.75" x14ac:dyDescent="0.25">
      <c r="A18" s="15"/>
      <c r="B18" s="14"/>
    </row>
    <row r="21" spans="1:9" ht="15.75" x14ac:dyDescent="0.25">
      <c r="I21" s="14"/>
    </row>
  </sheetData>
  <phoneticPr fontId="0" type="noConversion"/>
  <hyperlinks>
    <hyperlink ref="D5" location="'A. PRESUPUESTO DE INVERSION'!A1" display="PRESUPUESTO DE INVERSION "/>
    <hyperlink ref="D7" location="'B.I. MEMORIAS DE CALCULO'!A1" display="      MEMORIAS DE CALCULO"/>
    <hyperlink ref="D8" location="'B. II.  PROYECCION DE COSTOS'!A1" display="      PROYECCION DE COSTOS"/>
    <hyperlink ref="D11" location="'C.I.I. PROYECCION DE INGRESOS'!A1" display="      PROYECCION DE INGRESOS"/>
    <hyperlink ref="D13" location="'C.IV FLUJO DE EFECTIVO'!A1" display="      FLUJO DE EFECTIVO"/>
    <hyperlink ref="D12" location="'C. III.ESTADO DE RESULTADOS'!A1" display="      ESTADO DE RESULTADOS"/>
    <hyperlink ref="D15" location="'D.I. PUNTO DE EQUILIBRIO'!A1" display="      PUNTO DE EQUILIBRIO"/>
    <hyperlink ref="D16" location="'D. II ANALISIS DE RENTABILIDAD'!A1" display="     ANALISIS DE RENTABILIDAD"/>
    <hyperlink ref="D17" location="'D.III ECA'!A1" display="     ESQUEMA DE CAPITALIZACION Y AHORRO"/>
    <hyperlink ref="D10" location="'C.I.  COSTOS TOTALES'!A1" display="      COSTOS TOTALES"/>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
  <sheetViews>
    <sheetView showGridLines="0" tabSelected="1" workbookViewId="0">
      <selection activeCell="H20" sqref="H20"/>
    </sheetView>
  </sheetViews>
  <sheetFormatPr baseColWidth="10" defaultRowHeight="15" x14ac:dyDescent="0.25"/>
  <cols>
    <col min="1" max="1" width="2" customWidth="1"/>
    <col min="2" max="2" width="12.140625" customWidth="1"/>
    <col min="3" max="3" width="19.7109375" customWidth="1"/>
    <col min="4" max="4" width="17.5703125" customWidth="1"/>
    <col min="5" max="5" width="15.85546875" customWidth="1"/>
    <col min="6" max="6" width="23.28515625" customWidth="1"/>
    <col min="7" max="7" width="19.42578125" bestFit="1" customWidth="1"/>
    <col min="8" max="8" width="20" bestFit="1" customWidth="1"/>
  </cols>
  <sheetData>
    <row r="1" spans="1:8" ht="26.25" x14ac:dyDescent="0.4">
      <c r="B1" s="74" t="str">
        <f>'D.I. PUNTO DE EQUILIBRIO'!B1:H1</f>
        <v>Renta de inflables</v>
      </c>
      <c r="C1" s="74"/>
      <c r="D1" s="74"/>
      <c r="E1" s="74"/>
      <c r="F1" s="74"/>
      <c r="G1" s="74"/>
      <c r="H1" s="74"/>
    </row>
    <row r="2" spans="1:8" ht="21" x14ac:dyDescent="0.35">
      <c r="A2" s="113" t="str">
        <f>'DATOS '!D16</f>
        <v xml:space="preserve">     ANALISIS DE RENTABILIDAD (VAN, TIR, B/C)</v>
      </c>
      <c r="B2" s="113"/>
      <c r="C2" s="113"/>
      <c r="D2" s="113"/>
      <c r="E2" s="113"/>
      <c r="F2" s="113"/>
      <c r="G2" s="113"/>
      <c r="H2" s="113"/>
    </row>
    <row r="3" spans="1:8" ht="15.75" thickBot="1" x14ac:dyDescent="0.3"/>
    <row r="4" spans="1:8" ht="15.75" thickBot="1" x14ac:dyDescent="0.3">
      <c r="B4" s="44" t="s">
        <v>15</v>
      </c>
      <c r="D4" s="10">
        <v>0.1</v>
      </c>
    </row>
    <row r="7" spans="1:8" ht="15.75" x14ac:dyDescent="0.25">
      <c r="B7" s="6" t="s">
        <v>44</v>
      </c>
      <c r="C7" s="6" t="s">
        <v>71</v>
      </c>
      <c r="D7" s="6" t="s">
        <v>83</v>
      </c>
      <c r="E7" s="6" t="s">
        <v>84</v>
      </c>
      <c r="F7" s="6" t="s">
        <v>86</v>
      </c>
      <c r="G7" s="6" t="s">
        <v>71</v>
      </c>
      <c r="H7" s="6" t="s">
        <v>89</v>
      </c>
    </row>
    <row r="8" spans="1:8" ht="15.75" x14ac:dyDescent="0.25">
      <c r="B8" s="6"/>
      <c r="C8" s="6"/>
      <c r="D8" s="6"/>
      <c r="E8" s="6" t="s">
        <v>85</v>
      </c>
      <c r="F8" s="6" t="s">
        <v>87</v>
      </c>
      <c r="G8" s="6" t="s">
        <v>88</v>
      </c>
      <c r="H8" s="6" t="s">
        <v>88</v>
      </c>
    </row>
    <row r="9" spans="1:8" ht="15.75" x14ac:dyDescent="0.25">
      <c r="B9" s="37">
        <v>0</v>
      </c>
      <c r="C9" s="26">
        <f>'C.IV FLUJO DE EFECTIVO'!C8</f>
        <v>0</v>
      </c>
      <c r="D9" s="26">
        <f>SUM('C.IV FLUJO DE EFECTIVO'!C11:C14)</f>
        <v>225360</v>
      </c>
      <c r="E9" s="26">
        <f>C9-D9</f>
        <v>-225360</v>
      </c>
      <c r="F9" s="78">
        <f>1/(1+$D$4)^B9</f>
        <v>1</v>
      </c>
      <c r="G9" s="26">
        <f>F9*C9</f>
        <v>0</v>
      </c>
      <c r="H9" s="61">
        <f>F9*D9</f>
        <v>225360</v>
      </c>
    </row>
    <row r="10" spans="1:8" ht="15.75" x14ac:dyDescent="0.25">
      <c r="B10" s="37">
        <v>1</v>
      </c>
      <c r="C10" s="26">
        <f>'C.IV FLUJO DE EFECTIVO'!D8</f>
        <v>788800</v>
      </c>
      <c r="D10" s="26">
        <f>SUM('C.IV FLUJO DE EFECTIVO'!D11:D14)</f>
        <v>328320</v>
      </c>
      <c r="E10" s="26">
        <f t="shared" ref="E10:E14" si="0">C10-D10</f>
        <v>460480</v>
      </c>
      <c r="F10" s="78">
        <f t="shared" ref="F10:F14" si="1">1/(1+$D$4)^B10</f>
        <v>0.90909090909090906</v>
      </c>
      <c r="G10" s="26">
        <f t="shared" ref="G10:G14" si="2">F10*C10</f>
        <v>717090.90909090906</v>
      </c>
      <c r="H10" s="61">
        <f t="shared" ref="H10:H14" si="3">F10*D10</f>
        <v>298472.72727272724</v>
      </c>
    </row>
    <row r="11" spans="1:8" ht="15.75" x14ac:dyDescent="0.25">
      <c r="B11" s="37">
        <v>2</v>
      </c>
      <c r="C11" s="26">
        <f>'C.IV FLUJO DE EFECTIVO'!E8</f>
        <v>796688</v>
      </c>
      <c r="D11" s="26">
        <f>SUM('C.IV FLUJO DE EFECTIVO'!E11:E14)</f>
        <v>344736</v>
      </c>
      <c r="E11" s="26">
        <f t="shared" si="0"/>
        <v>451952</v>
      </c>
      <c r="F11" s="78">
        <f t="shared" si="1"/>
        <v>0.82644628099173545</v>
      </c>
      <c r="G11" s="26">
        <f t="shared" si="2"/>
        <v>658419.83471074374</v>
      </c>
      <c r="H11" s="61">
        <f t="shared" si="3"/>
        <v>284905.78512396693</v>
      </c>
    </row>
    <row r="12" spans="1:8" ht="15.75" x14ac:dyDescent="0.25">
      <c r="B12" s="37">
        <v>3</v>
      </c>
      <c r="C12" s="26">
        <f>'C.IV FLUJO DE EFECTIVO'!F8</f>
        <v>804654.87999999989</v>
      </c>
      <c r="D12" s="26">
        <f>SUM('C.IV FLUJO DE EFECTIVO'!F11:F14)</f>
        <v>361972.8</v>
      </c>
      <c r="E12" s="26">
        <f t="shared" si="0"/>
        <v>442682.0799999999</v>
      </c>
      <c r="F12" s="78">
        <f t="shared" si="1"/>
        <v>0.75131480090157754</v>
      </c>
      <c r="G12" s="26">
        <f t="shared" si="2"/>
        <v>604549.12096168264</v>
      </c>
      <c r="H12" s="61">
        <f t="shared" si="3"/>
        <v>271955.52216378652</v>
      </c>
    </row>
    <row r="13" spans="1:8" ht="15.75" x14ac:dyDescent="0.25">
      <c r="B13" s="37">
        <v>4</v>
      </c>
      <c r="C13" s="26">
        <f>'C.IV FLUJO DE EFECTIVO'!G8</f>
        <v>812701.42879999999</v>
      </c>
      <c r="D13" s="26">
        <f>SUM('C.IV FLUJO DE EFECTIVO'!G11:G14)</f>
        <v>380071.44000000006</v>
      </c>
      <c r="E13" s="26">
        <f t="shared" si="0"/>
        <v>432629.98879999993</v>
      </c>
      <c r="F13" s="78">
        <f t="shared" si="1"/>
        <v>0.68301345536507052</v>
      </c>
      <c r="G13" s="26">
        <f t="shared" si="2"/>
        <v>555086.01106481778</v>
      </c>
      <c r="H13" s="61">
        <f t="shared" si="3"/>
        <v>259593.90751997812</v>
      </c>
    </row>
    <row r="14" spans="1:8" ht="15.75" x14ac:dyDescent="0.25">
      <c r="B14" s="37">
        <v>5</v>
      </c>
      <c r="C14" s="26">
        <f>'C.IV FLUJO DE EFECTIVO'!H8</f>
        <v>874978.44308799994</v>
      </c>
      <c r="D14" s="26">
        <f>SUM('C.IV FLUJO DE EFECTIVO'!H11:H14)</f>
        <v>399075.01199999999</v>
      </c>
      <c r="E14" s="26">
        <f t="shared" si="0"/>
        <v>475903.43108799995</v>
      </c>
      <c r="F14" s="78">
        <f t="shared" si="1"/>
        <v>0.62092132305915493</v>
      </c>
      <c r="G14" s="26">
        <f t="shared" si="2"/>
        <v>543292.77253044047</v>
      </c>
      <c r="H14" s="61">
        <f t="shared" si="3"/>
        <v>247794.18445088813</v>
      </c>
    </row>
    <row r="15" spans="1:8" ht="15.75" x14ac:dyDescent="0.25">
      <c r="B15" s="6" t="s">
        <v>7</v>
      </c>
      <c r="C15" s="53">
        <f>SUM(C9:C14)</f>
        <v>4077822.7518879995</v>
      </c>
      <c r="D15" s="53">
        <f>SUM(D9:D14)</f>
        <v>2039535.2520000003</v>
      </c>
      <c r="E15" s="53">
        <f>SUM(E9:E14)</f>
        <v>2038287.4998879996</v>
      </c>
      <c r="F15" s="78"/>
      <c r="G15" s="53">
        <f>SUM(G9:G14)</f>
        <v>3078438.6483585937</v>
      </c>
      <c r="H15" s="53">
        <f>SUM(H9:H14)</f>
        <v>1588082.1265313467</v>
      </c>
    </row>
    <row r="18" spans="2:6" x14ac:dyDescent="0.25">
      <c r="E18" s="69" t="s">
        <v>12</v>
      </c>
      <c r="F18" s="70">
        <f>G15-H15</f>
        <v>1490356.521827247</v>
      </c>
    </row>
    <row r="19" spans="2:6" x14ac:dyDescent="0.25">
      <c r="E19" s="69" t="s">
        <v>11</v>
      </c>
      <c r="F19" s="71">
        <f>IRR((C9:C14)-(D9:D14))</f>
        <v>2.0185216889766626</v>
      </c>
    </row>
    <row r="20" spans="2:6" x14ac:dyDescent="0.25">
      <c r="E20" s="69" t="s">
        <v>13</v>
      </c>
      <c r="F20" s="72">
        <f>G15/H15</f>
        <v>1.9384631291597307</v>
      </c>
    </row>
    <row r="22" spans="2:6" x14ac:dyDescent="0.25">
      <c r="B22" t="s">
        <v>94</v>
      </c>
    </row>
    <row r="24" spans="2:6" x14ac:dyDescent="0.25">
      <c r="B24" s="116" t="s">
        <v>111</v>
      </c>
      <c r="C24" s="116"/>
      <c r="D24" s="116"/>
      <c r="E24" s="116"/>
      <c r="F24" s="116"/>
    </row>
    <row r="25" spans="2:6" x14ac:dyDescent="0.25">
      <c r="B25" s="116"/>
      <c r="C25" s="116"/>
      <c r="D25" s="116"/>
      <c r="E25" s="116"/>
      <c r="F25" s="116"/>
    </row>
    <row r="26" spans="2:6" x14ac:dyDescent="0.25">
      <c r="B26" s="116"/>
      <c r="C26" s="116"/>
      <c r="D26" s="116"/>
      <c r="E26" s="116"/>
      <c r="F26" s="116"/>
    </row>
    <row r="27" spans="2:6" x14ac:dyDescent="0.25">
      <c r="B27" s="116"/>
      <c r="C27" s="116"/>
      <c r="D27" s="116"/>
      <c r="E27" s="116"/>
      <c r="F27" s="116"/>
    </row>
    <row r="28" spans="2:6" x14ac:dyDescent="0.25">
      <c r="B28" s="116"/>
      <c r="C28" s="116"/>
      <c r="D28" s="116"/>
      <c r="E28" s="116"/>
      <c r="F28" s="116"/>
    </row>
    <row r="29" spans="2:6" x14ac:dyDescent="0.25">
      <c r="B29" s="116"/>
      <c r="C29" s="116"/>
      <c r="D29" s="116"/>
      <c r="E29" s="116"/>
      <c r="F29" s="116"/>
    </row>
  </sheetData>
  <mergeCells count="2">
    <mergeCell ref="A2:H2"/>
    <mergeCell ref="B24:F29"/>
  </mergeCells>
  <phoneticPr fontId="0" type="noConversion"/>
  <pageMargins left="0.7" right="0.7" top="0.75" bottom="0.75" header="0.3" footer="0.3"/>
  <pageSetup paperSize="9" scale="99" orientation="landscape" horizontalDpi="300" verticalDpi="300"/>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J14" sqref="J14"/>
    </sheetView>
  </sheetViews>
  <sheetFormatPr baseColWidth="10" defaultRowHeight="15" x14ac:dyDescent="0.25"/>
  <cols>
    <col min="1" max="1" width="2.85546875" customWidth="1"/>
    <col min="2" max="2" width="13" customWidth="1"/>
    <col min="3" max="3" width="14.42578125" customWidth="1"/>
    <col min="4" max="4" width="11.42578125" bestFit="1" customWidth="1"/>
    <col min="5" max="5" width="19.42578125" bestFit="1" customWidth="1"/>
    <col min="6" max="6" width="21.140625" customWidth="1"/>
  </cols>
  <sheetData>
    <row r="1" spans="1:9" ht="26.25" x14ac:dyDescent="0.4">
      <c r="B1" s="74" t="str">
        <f>'D. II ANALISIS DE RENTABILIDAD'!B1:H1</f>
        <v>Renta de inflables</v>
      </c>
      <c r="C1" s="74"/>
      <c r="D1" s="74"/>
      <c r="E1" s="74"/>
      <c r="F1" s="74"/>
      <c r="G1" s="74"/>
      <c r="H1" s="74"/>
      <c r="I1" s="74"/>
    </row>
    <row r="2" spans="1:9" ht="21" x14ac:dyDescent="0.35">
      <c r="A2" s="113" t="str">
        <f>'DATOS '!D17</f>
        <v xml:space="preserve">     ESQUEMA DE CAPITALIZACION Y AHORRO</v>
      </c>
      <c r="B2" s="113"/>
      <c r="C2" s="113"/>
      <c r="D2" s="113"/>
      <c r="E2" s="113"/>
      <c r="F2" s="113"/>
      <c r="G2" s="113"/>
      <c r="H2" s="113"/>
      <c r="I2" s="113"/>
    </row>
    <row r="3" spans="1:9" ht="21" x14ac:dyDescent="0.35">
      <c r="A3" s="20"/>
      <c r="B3" s="20"/>
      <c r="C3" s="20"/>
      <c r="D3" s="20"/>
      <c r="E3" s="20"/>
      <c r="F3" s="20"/>
      <c r="G3" s="20"/>
      <c r="H3" s="20"/>
      <c r="I3" s="20"/>
    </row>
    <row r="5" spans="1:9" x14ac:dyDescent="0.25">
      <c r="B5" t="s">
        <v>90</v>
      </c>
    </row>
    <row r="8" spans="1:9" x14ac:dyDescent="0.25">
      <c r="B8" s="13" t="s">
        <v>92</v>
      </c>
      <c r="D8" s="13" t="s">
        <v>44</v>
      </c>
      <c r="E8" s="13" t="s">
        <v>93</v>
      </c>
      <c r="F8" s="13" t="s">
        <v>91</v>
      </c>
    </row>
    <row r="9" spans="1:9" x14ac:dyDescent="0.25">
      <c r="B9" s="46">
        <v>0.15</v>
      </c>
      <c r="D9" s="45">
        <v>1</v>
      </c>
      <c r="E9" s="62">
        <f>B15/5</f>
        <v>5400</v>
      </c>
      <c r="F9" s="63">
        <f>E9</f>
        <v>5400</v>
      </c>
    </row>
    <row r="10" spans="1:9" x14ac:dyDescent="0.25">
      <c r="D10" s="45">
        <v>2</v>
      </c>
      <c r="E10" s="62">
        <f>E9</f>
        <v>5400</v>
      </c>
      <c r="F10" s="63">
        <f>E10+F9</f>
        <v>10800</v>
      </c>
    </row>
    <row r="11" spans="1:9" x14ac:dyDescent="0.25">
      <c r="B11" t="s">
        <v>107</v>
      </c>
      <c r="D11" s="45">
        <v>3</v>
      </c>
      <c r="E11" s="62">
        <f t="shared" ref="E11:E13" si="0">E10</f>
        <v>5400</v>
      </c>
      <c r="F11" s="63">
        <f t="shared" ref="F11:F13" si="1">E11+F10</f>
        <v>16200</v>
      </c>
    </row>
    <row r="12" spans="1:9" x14ac:dyDescent="0.25">
      <c r="B12" s="75">
        <f>SUM('A. PRESUPUESTO DE INVERSION'!G5:G10)+SUM('A. PRESUPUESTO DE INVERSION'!G16:G18)</f>
        <v>180000</v>
      </c>
      <c r="D12" s="45">
        <v>4</v>
      </c>
      <c r="E12" s="62">
        <f t="shared" si="0"/>
        <v>5400</v>
      </c>
      <c r="F12" s="63">
        <f t="shared" si="1"/>
        <v>21600</v>
      </c>
    </row>
    <row r="13" spans="1:9" x14ac:dyDescent="0.25">
      <c r="D13" s="45">
        <v>5</v>
      </c>
      <c r="E13" s="62">
        <f t="shared" si="0"/>
        <v>5400</v>
      </c>
      <c r="F13" s="63">
        <f t="shared" si="1"/>
        <v>27000</v>
      </c>
    </row>
    <row r="14" spans="1:9" x14ac:dyDescent="0.25">
      <c r="B14" t="s">
        <v>108</v>
      </c>
    </row>
    <row r="15" spans="1:9" x14ac:dyDescent="0.25">
      <c r="B15" s="76">
        <f>B12*B9</f>
        <v>27000</v>
      </c>
    </row>
  </sheetData>
  <mergeCells count="1">
    <mergeCell ref="A2:I2"/>
  </mergeCells>
  <phoneticPr fontId="0" type="noConversion"/>
  <pageMargins left="0.7" right="0.7" top="0.75" bottom="0.75" header="0.3" footer="0.3"/>
  <pageSetup paperSize="9" orientation="landscape" horizontalDpi="300" verticalDpi="30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27"/>
  <sheetViews>
    <sheetView showGridLines="0" zoomScale="81" zoomScaleNormal="81" workbookViewId="0">
      <selection activeCell="B24" sqref="B24"/>
    </sheetView>
  </sheetViews>
  <sheetFormatPr baseColWidth="10" defaultRowHeight="15" x14ac:dyDescent="0.25"/>
  <cols>
    <col min="1" max="1" width="5.42578125" customWidth="1"/>
    <col min="2" max="2" width="71" bestFit="1" customWidth="1"/>
    <col min="3" max="3" width="13.42578125" bestFit="1" customWidth="1"/>
    <col min="4" max="4" width="11" bestFit="1" customWidth="1"/>
    <col min="5" max="5" width="18.42578125" bestFit="1" customWidth="1"/>
    <col min="6" max="6" width="19.7109375" customWidth="1"/>
    <col min="7" max="8" width="19.42578125" customWidth="1"/>
    <col min="9" max="9" width="19.7109375" customWidth="1"/>
  </cols>
  <sheetData>
    <row r="1" spans="2:9" ht="35.25" customHeight="1" x14ac:dyDescent="0.4">
      <c r="B1" s="108" t="str">
        <f>'DATOS '!F2</f>
        <v>Renta de inflables</v>
      </c>
      <c r="C1" s="108"/>
      <c r="D1" s="108"/>
      <c r="E1" s="108"/>
      <c r="F1" s="108"/>
      <c r="G1" s="108"/>
      <c r="H1" s="108"/>
      <c r="I1" s="108"/>
    </row>
    <row r="2" spans="2:9" ht="21" x14ac:dyDescent="0.35">
      <c r="B2" s="109" t="str">
        <f>'DATOS '!D5</f>
        <v xml:space="preserve">PRESUPUESTO DE INVERSION </v>
      </c>
      <c r="C2" s="109"/>
      <c r="D2" s="109"/>
      <c r="E2" s="109"/>
      <c r="F2" s="109"/>
      <c r="G2" s="109"/>
      <c r="H2" s="109"/>
      <c r="I2" s="109"/>
    </row>
    <row r="3" spans="2:9" s="1" customFormat="1" ht="15.75" x14ac:dyDescent="0.25">
      <c r="B3" s="6" t="s">
        <v>1</v>
      </c>
      <c r="C3" s="6" t="s">
        <v>2</v>
      </c>
      <c r="D3" s="6" t="s">
        <v>3</v>
      </c>
      <c r="E3" s="7" t="s">
        <v>4</v>
      </c>
      <c r="F3" s="6" t="s">
        <v>5</v>
      </c>
      <c r="G3" s="6" t="s">
        <v>112</v>
      </c>
      <c r="H3" s="6" t="s">
        <v>6</v>
      </c>
      <c r="I3" s="6" t="s">
        <v>7</v>
      </c>
    </row>
    <row r="4" spans="2:9" x14ac:dyDescent="0.25">
      <c r="B4" s="9" t="s">
        <v>8</v>
      </c>
      <c r="C4" s="9"/>
      <c r="D4" s="9"/>
      <c r="E4" s="8"/>
      <c r="F4" s="8"/>
      <c r="G4" s="8"/>
      <c r="H4" s="8"/>
      <c r="I4" s="8"/>
    </row>
    <row r="5" spans="2:9" ht="20.25" customHeight="1" x14ac:dyDescent="0.25">
      <c r="B5" s="64" t="s">
        <v>123</v>
      </c>
      <c r="C5" s="51" t="s">
        <v>124</v>
      </c>
      <c r="D5" s="84">
        <v>2</v>
      </c>
      <c r="E5" s="52">
        <v>24950</v>
      </c>
      <c r="F5" s="26">
        <f>E5*D5</f>
        <v>49900</v>
      </c>
      <c r="G5" s="26">
        <f>F5</f>
        <v>49900</v>
      </c>
      <c r="H5" s="26"/>
      <c r="I5" s="26">
        <f>SUM(G5:H5)</f>
        <v>49900</v>
      </c>
    </row>
    <row r="6" spans="2:9" ht="20.25" customHeight="1" x14ac:dyDescent="0.25">
      <c r="B6" s="64" t="s">
        <v>125</v>
      </c>
      <c r="C6" s="51" t="s">
        <v>124</v>
      </c>
      <c r="D6" s="84">
        <v>1</v>
      </c>
      <c r="E6" s="52">
        <v>21800</v>
      </c>
      <c r="F6" s="26">
        <f t="shared" ref="F6:F9" si="0">E6*D6</f>
        <v>21800</v>
      </c>
      <c r="G6" s="26">
        <f t="shared" ref="G6:G9" si="1">F6</f>
        <v>21800</v>
      </c>
      <c r="H6" s="26"/>
      <c r="I6" s="26">
        <f t="shared" ref="I6:I10" si="2">SUM(G6:H6)</f>
        <v>21800</v>
      </c>
    </row>
    <row r="7" spans="2:9" ht="20.25" customHeight="1" x14ac:dyDescent="0.25">
      <c r="B7" s="64" t="s">
        <v>126</v>
      </c>
      <c r="C7" s="51" t="s">
        <v>127</v>
      </c>
      <c r="D7" s="84">
        <v>1</v>
      </c>
      <c r="E7" s="52">
        <v>56900</v>
      </c>
      <c r="F7" s="26">
        <f t="shared" si="0"/>
        <v>56900</v>
      </c>
      <c r="G7" s="26">
        <f t="shared" si="1"/>
        <v>56900</v>
      </c>
      <c r="H7" s="26"/>
      <c r="I7" s="26">
        <f t="shared" si="2"/>
        <v>56900</v>
      </c>
    </row>
    <row r="8" spans="2:9" ht="20.25" customHeight="1" x14ac:dyDescent="0.25">
      <c r="B8" s="64" t="s">
        <v>128</v>
      </c>
      <c r="C8" s="51" t="s">
        <v>127</v>
      </c>
      <c r="D8" s="84">
        <v>2</v>
      </c>
      <c r="E8" s="52">
        <v>25700</v>
      </c>
      <c r="F8" s="26">
        <f t="shared" si="0"/>
        <v>51400</v>
      </c>
      <c r="G8" s="26">
        <f t="shared" si="1"/>
        <v>51400</v>
      </c>
      <c r="H8" s="26"/>
      <c r="I8" s="26">
        <f t="shared" si="2"/>
        <v>51400</v>
      </c>
    </row>
    <row r="9" spans="2:9" ht="20.25" customHeight="1" x14ac:dyDescent="0.25">
      <c r="B9" s="64"/>
      <c r="C9" s="51"/>
      <c r="D9" s="84"/>
      <c r="E9" s="52"/>
      <c r="F9" s="26">
        <f t="shared" si="0"/>
        <v>0</v>
      </c>
      <c r="G9" s="26">
        <f t="shared" si="1"/>
        <v>0</v>
      </c>
      <c r="H9" s="26"/>
      <c r="I9" s="26">
        <f t="shared" si="2"/>
        <v>0</v>
      </c>
    </row>
    <row r="10" spans="2:9" ht="20.25" customHeight="1" x14ac:dyDescent="0.25">
      <c r="B10" s="22"/>
      <c r="C10" s="23"/>
      <c r="D10" s="24"/>
      <c r="E10" s="25"/>
      <c r="F10" s="26">
        <f>E10*D10</f>
        <v>0</v>
      </c>
      <c r="G10" s="26"/>
      <c r="H10" s="26">
        <f>F10</f>
        <v>0</v>
      </c>
      <c r="I10" s="26">
        <f t="shared" si="2"/>
        <v>0</v>
      </c>
    </row>
    <row r="11" spans="2:9" x14ac:dyDescent="0.25">
      <c r="B11" s="11" t="s">
        <v>9</v>
      </c>
      <c r="C11" s="9"/>
      <c r="D11" s="9"/>
      <c r="E11" s="8"/>
      <c r="F11" s="8"/>
      <c r="G11" s="12"/>
      <c r="H11" s="12"/>
      <c r="I11" s="8"/>
    </row>
    <row r="12" spans="2:9" ht="20.25" customHeight="1" x14ac:dyDescent="0.25">
      <c r="B12" s="22" t="s">
        <v>102</v>
      </c>
      <c r="C12" s="23" t="s">
        <v>101</v>
      </c>
      <c r="D12" s="24">
        <v>1</v>
      </c>
      <c r="E12" s="25">
        <f>180000*10%</f>
        <v>18000</v>
      </c>
      <c r="F12" s="26">
        <f>E12*D12</f>
        <v>18000</v>
      </c>
      <c r="G12" s="26">
        <f>F12</f>
        <v>18000</v>
      </c>
      <c r="H12" s="26"/>
      <c r="I12" s="26">
        <f t="shared" ref="I12:I16" si="3">SUM(G12:H12)</f>
        <v>18000</v>
      </c>
    </row>
    <row r="13" spans="2:9" ht="20.25" customHeight="1" x14ac:dyDescent="0.25">
      <c r="B13" s="22"/>
      <c r="C13" s="23"/>
      <c r="D13" s="24"/>
      <c r="E13" s="25"/>
      <c r="F13" s="26"/>
      <c r="G13" s="26"/>
      <c r="H13" s="26"/>
      <c r="I13" s="26">
        <f t="shared" si="3"/>
        <v>0</v>
      </c>
    </row>
    <row r="14" spans="2:9" ht="20.25" customHeight="1" x14ac:dyDescent="0.25">
      <c r="B14" s="22"/>
      <c r="C14" s="23"/>
      <c r="D14" s="24"/>
      <c r="E14" s="25"/>
      <c r="F14" s="26"/>
      <c r="G14" s="26"/>
      <c r="H14" s="26"/>
      <c r="I14" s="26">
        <f t="shared" si="3"/>
        <v>0</v>
      </c>
    </row>
    <row r="15" spans="2:9" x14ac:dyDescent="0.25">
      <c r="B15" s="11" t="s">
        <v>10</v>
      </c>
      <c r="C15" s="9"/>
      <c r="D15" s="9"/>
      <c r="E15" s="8"/>
      <c r="F15" s="8"/>
      <c r="G15" s="12"/>
      <c r="H15" s="12"/>
      <c r="I15" s="8"/>
    </row>
    <row r="16" spans="2:9" ht="20.25" customHeight="1" x14ac:dyDescent="0.25">
      <c r="B16" s="22" t="s">
        <v>160</v>
      </c>
      <c r="C16" s="23" t="s">
        <v>161</v>
      </c>
      <c r="D16" s="24">
        <v>1</v>
      </c>
      <c r="E16" s="25">
        <f>'B. II.  PROYECCION DE COSTOS'!C17</f>
        <v>27360</v>
      </c>
      <c r="F16" s="26">
        <f>E16*D16</f>
        <v>27360</v>
      </c>
      <c r="G16" s="26"/>
      <c r="H16" s="26">
        <f>F16</f>
        <v>27360</v>
      </c>
      <c r="I16" s="26">
        <f t="shared" si="3"/>
        <v>27360</v>
      </c>
    </row>
    <row r="17" spans="2:9" ht="20.25" customHeight="1" x14ac:dyDescent="0.25">
      <c r="B17" s="22"/>
      <c r="C17" s="23"/>
      <c r="D17" s="24"/>
      <c r="E17" s="25"/>
      <c r="F17" s="26"/>
      <c r="G17" s="26"/>
      <c r="H17" s="26"/>
      <c r="I17" s="26"/>
    </row>
    <row r="18" spans="2:9" ht="20.25" customHeight="1" x14ac:dyDescent="0.25">
      <c r="B18" s="22"/>
      <c r="C18" s="23"/>
      <c r="D18" s="24"/>
      <c r="E18" s="25"/>
      <c r="F18" s="26"/>
      <c r="G18" s="26"/>
      <c r="H18" s="26"/>
      <c r="I18" s="26"/>
    </row>
    <row r="19" spans="2:9" ht="24.75" customHeight="1" x14ac:dyDescent="0.25">
      <c r="B19" s="9" t="s">
        <v>7</v>
      </c>
      <c r="C19" s="9"/>
      <c r="D19" s="9"/>
      <c r="E19" s="8"/>
      <c r="F19" s="32">
        <f>SUM(F5:F18)</f>
        <v>225360</v>
      </c>
      <c r="G19" s="32">
        <f>SUM(G5:G18)</f>
        <v>198000</v>
      </c>
      <c r="H19" s="32">
        <f>SUM(H5:H18)</f>
        <v>27360</v>
      </c>
      <c r="I19" s="32">
        <f>SUM(I5:I18)</f>
        <v>225360</v>
      </c>
    </row>
    <row r="21" spans="2:9" x14ac:dyDescent="0.25">
      <c r="G21" s="75"/>
    </row>
    <row r="22" spans="2:9" x14ac:dyDescent="0.25">
      <c r="B22" s="85"/>
      <c r="G22" s="75"/>
    </row>
    <row r="23" spans="2:9" x14ac:dyDescent="0.25">
      <c r="B23" s="85"/>
    </row>
    <row r="24" spans="2:9" x14ac:dyDescent="0.25">
      <c r="B24" s="85"/>
    </row>
    <row r="26" spans="2:9" x14ac:dyDescent="0.25">
      <c r="B26" s="85"/>
    </row>
    <row r="27" spans="2:9" x14ac:dyDescent="0.25">
      <c r="B27" s="85"/>
    </row>
  </sheetData>
  <sheetProtection selectLockedCells="1" selectUnlockedCells="1"/>
  <mergeCells count="2">
    <mergeCell ref="B1:I1"/>
    <mergeCell ref="B2:I2"/>
  </mergeCells>
  <phoneticPr fontId="0" type="noConversion"/>
  <pageMargins left="0.7" right="0.7" top="0.75" bottom="0.75" header="0.3" footer="0.3"/>
  <pageSetup paperSize="9" scale="80" orientation="landscape" verticalDpi="30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53"/>
  <sheetViews>
    <sheetView showGridLines="0" workbookViewId="0">
      <selection activeCell="D24" sqref="D24"/>
    </sheetView>
  </sheetViews>
  <sheetFormatPr baseColWidth="10" defaultRowHeight="15" x14ac:dyDescent="0.25"/>
  <cols>
    <col min="1" max="1" width="6" style="47" customWidth="1"/>
    <col min="2" max="2" width="27.140625" style="47" bestFit="1" customWidth="1"/>
    <col min="3" max="3" width="20.140625" style="47" customWidth="1"/>
    <col min="4" max="4" width="20.85546875" style="47" bestFit="1" customWidth="1"/>
    <col min="5" max="5" width="21.28515625" style="47" customWidth="1"/>
    <col min="6" max="6" width="26.28515625" style="47" customWidth="1"/>
    <col min="7" max="7" width="18.42578125" style="47" customWidth="1"/>
    <col min="8" max="8" width="18.5703125" style="47" bestFit="1" customWidth="1"/>
    <col min="9" max="9" width="15.7109375" style="47" customWidth="1"/>
    <col min="10" max="10" width="11.5703125" style="47" bestFit="1" customWidth="1"/>
    <col min="11" max="11" width="15.7109375" style="47" customWidth="1"/>
    <col min="12" max="14" width="11.5703125" style="47" bestFit="1" customWidth="1"/>
    <col min="15" max="15" width="13.140625" style="47" bestFit="1" customWidth="1"/>
    <col min="16" max="16384" width="11.42578125" style="47"/>
  </cols>
  <sheetData>
    <row r="1" spans="2:14" ht="26.25" x14ac:dyDescent="0.4">
      <c r="B1" s="110" t="s">
        <v>96</v>
      </c>
      <c r="C1" s="110"/>
      <c r="D1" s="110"/>
      <c r="E1" s="110"/>
      <c r="F1" s="110"/>
      <c r="G1" s="110"/>
      <c r="H1" s="110"/>
      <c r="I1" s="110"/>
    </row>
    <row r="2" spans="2:14" ht="21" x14ac:dyDescent="0.35">
      <c r="B2" s="111" t="str">
        <f>'A. PRESUPUESTO DE INVERSION'!B1:I1</f>
        <v>Renta de inflables</v>
      </c>
      <c r="C2" s="111"/>
      <c r="D2" s="111"/>
      <c r="E2" s="111"/>
      <c r="F2" s="111"/>
      <c r="G2" s="111"/>
      <c r="H2" s="111"/>
      <c r="I2" s="111"/>
    </row>
    <row r="3" spans="2:14" x14ac:dyDescent="0.25">
      <c r="B3" s="48" t="s">
        <v>96</v>
      </c>
      <c r="C3" s="48"/>
      <c r="D3" s="48"/>
      <c r="E3" s="48"/>
      <c r="F3" s="48"/>
      <c r="G3" s="48"/>
      <c r="H3" s="48"/>
      <c r="I3" s="48"/>
    </row>
    <row r="4" spans="2:14" x14ac:dyDescent="0.25">
      <c r="B4" s="67" t="s">
        <v>97</v>
      </c>
      <c r="C4" s="67" t="s">
        <v>133</v>
      </c>
      <c r="D4" s="67" t="s">
        <v>134</v>
      </c>
      <c r="E4" s="88" t="s">
        <v>135</v>
      </c>
      <c r="F4" s="88" t="s">
        <v>136</v>
      </c>
      <c r="G4" s="68" t="s">
        <v>137</v>
      </c>
      <c r="H4" s="102" t="s">
        <v>99</v>
      </c>
      <c r="I4" s="102" t="s">
        <v>100</v>
      </c>
    </row>
    <row r="5" spans="2:14" x14ac:dyDescent="0.25">
      <c r="B5" s="65"/>
      <c r="C5" s="66"/>
      <c r="D5" s="66"/>
      <c r="E5" s="66"/>
      <c r="F5" s="66"/>
      <c r="G5" s="66"/>
      <c r="H5" s="103"/>
      <c r="I5" s="104"/>
    </row>
    <row r="6" spans="2:14" x14ac:dyDescent="0.25">
      <c r="B6" s="65" t="s">
        <v>129</v>
      </c>
      <c r="C6" s="79">
        <v>800</v>
      </c>
      <c r="D6" s="66">
        <v>4</v>
      </c>
      <c r="E6" s="66">
        <v>1</v>
      </c>
      <c r="F6" s="87">
        <f>E6*D6*4</f>
        <v>16</v>
      </c>
      <c r="G6" s="79">
        <f>F6*C6</f>
        <v>12800</v>
      </c>
      <c r="H6" s="105"/>
      <c r="I6" s="106"/>
    </row>
    <row r="7" spans="2:14" x14ac:dyDescent="0.25">
      <c r="B7" s="65" t="s">
        <v>130</v>
      </c>
      <c r="C7" s="79">
        <v>600</v>
      </c>
      <c r="D7" s="66">
        <v>4</v>
      </c>
      <c r="E7" s="66">
        <v>1</v>
      </c>
      <c r="F7" s="87">
        <f t="shared" ref="F7:F9" si="0">E7*D7*4</f>
        <v>16</v>
      </c>
      <c r="G7" s="79">
        <f t="shared" ref="G7:G9" si="1">F7*C7</f>
        <v>9600</v>
      </c>
      <c r="H7" s="105"/>
      <c r="I7" s="106"/>
    </row>
    <row r="8" spans="2:14" x14ac:dyDescent="0.25">
      <c r="B8" s="65" t="s">
        <v>131</v>
      </c>
      <c r="C8" s="79">
        <v>2000</v>
      </c>
      <c r="D8" s="66">
        <v>1</v>
      </c>
      <c r="E8" s="66">
        <v>1</v>
      </c>
      <c r="F8" s="87">
        <f t="shared" si="0"/>
        <v>4</v>
      </c>
      <c r="G8" s="79">
        <f t="shared" si="1"/>
        <v>8000</v>
      </c>
      <c r="H8" s="105"/>
      <c r="I8" s="106"/>
    </row>
    <row r="9" spans="2:14" x14ac:dyDescent="0.25">
      <c r="B9" s="65" t="s">
        <v>132</v>
      </c>
      <c r="C9" s="79">
        <v>500</v>
      </c>
      <c r="D9" s="66">
        <v>3</v>
      </c>
      <c r="E9" s="66">
        <v>4</v>
      </c>
      <c r="F9" s="87">
        <f t="shared" si="0"/>
        <v>48</v>
      </c>
      <c r="G9" s="79">
        <f t="shared" si="1"/>
        <v>24000</v>
      </c>
      <c r="H9" s="105"/>
      <c r="I9" s="106"/>
    </row>
    <row r="10" spans="2:14" x14ac:dyDescent="0.25">
      <c r="B10" s="65"/>
      <c r="C10" s="79"/>
      <c r="D10" s="66"/>
      <c r="E10" s="66"/>
      <c r="F10" s="82"/>
      <c r="G10" s="79"/>
      <c r="H10" s="105"/>
      <c r="I10" s="106"/>
    </row>
    <row r="11" spans="2:14" x14ac:dyDescent="0.25">
      <c r="B11" s="65"/>
      <c r="C11" s="66"/>
      <c r="D11" s="66"/>
      <c r="E11" s="66"/>
      <c r="F11" s="66"/>
      <c r="G11" s="66"/>
      <c r="H11" s="103"/>
      <c r="I11" s="104"/>
    </row>
    <row r="12" spans="2:14" x14ac:dyDescent="0.25">
      <c r="B12" s="48"/>
      <c r="C12" s="49"/>
      <c r="D12" s="48"/>
      <c r="E12" s="81"/>
      <c r="F12" s="50"/>
      <c r="G12" s="48"/>
      <c r="H12" s="80"/>
      <c r="I12" s="80"/>
    </row>
    <row r="13" spans="2:14" x14ac:dyDescent="0.25">
      <c r="B13" s="83" t="s">
        <v>138</v>
      </c>
      <c r="C13" s="49"/>
      <c r="D13" s="48"/>
      <c r="E13" s="81"/>
      <c r="F13" s="50"/>
      <c r="G13" s="48"/>
      <c r="H13" s="80"/>
      <c r="I13" s="80"/>
    </row>
    <row r="14" spans="2:14" x14ac:dyDescent="0.25">
      <c r="B14" s="48"/>
      <c r="C14" s="49"/>
      <c r="D14" s="48"/>
      <c r="E14" s="81"/>
      <c r="F14" s="50"/>
      <c r="G14" s="48"/>
      <c r="H14" s="80"/>
      <c r="I14" s="80"/>
    </row>
    <row r="15" spans="2:14" x14ac:dyDescent="0.25">
      <c r="B15" s="67" t="s">
        <v>117</v>
      </c>
      <c r="C15" s="68" t="s">
        <v>140</v>
      </c>
      <c r="D15" s="67" t="s">
        <v>141</v>
      </c>
      <c r="E15" s="91" t="s">
        <v>142</v>
      </c>
      <c r="F15" s="67" t="s">
        <v>143</v>
      </c>
      <c r="G15" s="91" t="s">
        <v>144</v>
      </c>
      <c r="H15" s="67" t="s">
        <v>145</v>
      </c>
      <c r="I15" s="91" t="s">
        <v>146</v>
      </c>
      <c r="J15" s="67" t="s">
        <v>147</v>
      </c>
      <c r="K15" s="91" t="s">
        <v>148</v>
      </c>
      <c r="L15" s="67" t="s">
        <v>149</v>
      </c>
      <c r="M15" s="91" t="s">
        <v>150</v>
      </c>
      <c r="N15" s="67" t="s">
        <v>151</v>
      </c>
    </row>
    <row r="16" spans="2:14" x14ac:dyDescent="0.25">
      <c r="B16" s="67"/>
      <c r="C16" s="68" t="s">
        <v>152</v>
      </c>
      <c r="D16" s="67" t="s">
        <v>152</v>
      </c>
      <c r="E16" s="91" t="str">
        <f>D16</f>
        <v>Temp Normal</v>
      </c>
      <c r="F16" s="67" t="s">
        <v>153</v>
      </c>
      <c r="G16" s="91" t="s">
        <v>154</v>
      </c>
      <c r="H16" s="67" t="s">
        <v>152</v>
      </c>
      <c r="I16" s="91" t="s">
        <v>153</v>
      </c>
      <c r="J16" s="67" t="s">
        <v>152</v>
      </c>
      <c r="K16" s="91" t="s">
        <v>153</v>
      </c>
      <c r="L16" s="67" t="s">
        <v>154</v>
      </c>
      <c r="M16" s="91" t="s">
        <v>152</v>
      </c>
      <c r="N16" s="67" t="s">
        <v>153</v>
      </c>
    </row>
    <row r="17" spans="2:15" x14ac:dyDescent="0.25">
      <c r="B17" s="64" t="str">
        <f>B6</f>
        <v>Renta de Castillo</v>
      </c>
      <c r="C17" s="94">
        <f>F6</f>
        <v>16</v>
      </c>
      <c r="D17" s="95">
        <f>C17</f>
        <v>16</v>
      </c>
      <c r="E17" s="95">
        <f>D17</f>
        <v>16</v>
      </c>
      <c r="F17" s="95">
        <f>F6+(F6*50%)</f>
        <v>24</v>
      </c>
      <c r="G17" s="95">
        <f>F6+(F6*25%)</f>
        <v>20</v>
      </c>
      <c r="H17" s="95">
        <f>E17</f>
        <v>16</v>
      </c>
      <c r="I17" s="95">
        <f>F17</f>
        <v>24</v>
      </c>
      <c r="J17" s="96">
        <f>H17</f>
        <v>16</v>
      </c>
      <c r="K17" s="96">
        <f>I17</f>
        <v>24</v>
      </c>
      <c r="L17" s="96">
        <f>G17</f>
        <v>20</v>
      </c>
      <c r="M17" s="96">
        <f>J17</f>
        <v>16</v>
      </c>
      <c r="N17" s="96">
        <f>K17</f>
        <v>24</v>
      </c>
    </row>
    <row r="18" spans="2:15" x14ac:dyDescent="0.25">
      <c r="B18" s="64" t="str">
        <f>B7</f>
        <v>Renta de Escaladora</v>
      </c>
      <c r="C18" s="94">
        <f t="shared" ref="C18:C20" si="2">F7</f>
        <v>16</v>
      </c>
      <c r="D18" s="95">
        <f t="shared" ref="D18:E20" si="3">C18</f>
        <v>16</v>
      </c>
      <c r="E18" s="95">
        <f t="shared" si="3"/>
        <v>16</v>
      </c>
      <c r="F18" s="95">
        <f t="shared" ref="F18:F20" si="4">F7+(F7*50%)</f>
        <v>24</v>
      </c>
      <c r="G18" s="95">
        <f>F7+(F7*25%)</f>
        <v>20</v>
      </c>
      <c r="H18" s="95">
        <f t="shared" ref="H18:H20" si="5">E18</f>
        <v>16</v>
      </c>
      <c r="I18" s="95">
        <f t="shared" ref="I18:I20" si="6">F18</f>
        <v>24</v>
      </c>
      <c r="J18" s="96">
        <f t="shared" ref="J18:J20" si="7">H18</f>
        <v>16</v>
      </c>
      <c r="K18" s="96">
        <f t="shared" ref="K18:K20" si="8">I18</f>
        <v>24</v>
      </c>
      <c r="L18" s="96">
        <f t="shared" ref="L18:L20" si="9">G18</f>
        <v>20</v>
      </c>
      <c r="M18" s="96">
        <f t="shared" ref="M18:M20" si="10">J18</f>
        <v>16</v>
      </c>
      <c r="N18" s="96">
        <f t="shared" ref="N18:N20" si="11">K18</f>
        <v>24</v>
      </c>
    </row>
    <row r="19" spans="2:15" x14ac:dyDescent="0.25">
      <c r="B19" s="64" t="str">
        <f>B8</f>
        <v>Renta de Toro mecanico</v>
      </c>
      <c r="C19" s="94">
        <f t="shared" si="2"/>
        <v>4</v>
      </c>
      <c r="D19" s="95">
        <f t="shared" si="3"/>
        <v>4</v>
      </c>
      <c r="E19" s="95">
        <f t="shared" si="3"/>
        <v>4</v>
      </c>
      <c r="F19" s="95">
        <f t="shared" si="4"/>
        <v>6</v>
      </c>
      <c r="G19" s="95">
        <f>F8+(F8*25%)</f>
        <v>5</v>
      </c>
      <c r="H19" s="95">
        <f t="shared" si="5"/>
        <v>4</v>
      </c>
      <c r="I19" s="95">
        <f t="shared" si="6"/>
        <v>6</v>
      </c>
      <c r="J19" s="96">
        <f t="shared" si="7"/>
        <v>4</v>
      </c>
      <c r="K19" s="96">
        <f t="shared" si="8"/>
        <v>6</v>
      </c>
      <c r="L19" s="96">
        <f t="shared" si="9"/>
        <v>5</v>
      </c>
      <c r="M19" s="96">
        <f t="shared" si="10"/>
        <v>4</v>
      </c>
      <c r="N19" s="96">
        <f t="shared" si="11"/>
        <v>6</v>
      </c>
    </row>
    <row r="20" spans="2:15" x14ac:dyDescent="0.25">
      <c r="B20" s="64" t="str">
        <f>B9</f>
        <v>Renta de Rockola</v>
      </c>
      <c r="C20" s="94">
        <f t="shared" si="2"/>
        <v>48</v>
      </c>
      <c r="D20" s="95">
        <f t="shared" si="3"/>
        <v>48</v>
      </c>
      <c r="E20" s="95">
        <f t="shared" si="3"/>
        <v>48</v>
      </c>
      <c r="F20" s="95">
        <f t="shared" si="4"/>
        <v>72</v>
      </c>
      <c r="G20" s="95">
        <f>F9+(F9*25%)</f>
        <v>60</v>
      </c>
      <c r="H20" s="95">
        <f t="shared" si="5"/>
        <v>48</v>
      </c>
      <c r="I20" s="95">
        <f t="shared" si="6"/>
        <v>72</v>
      </c>
      <c r="J20" s="96">
        <f t="shared" si="7"/>
        <v>48</v>
      </c>
      <c r="K20" s="96">
        <f t="shared" si="8"/>
        <v>72</v>
      </c>
      <c r="L20" s="96">
        <f t="shared" si="9"/>
        <v>60</v>
      </c>
      <c r="M20" s="96">
        <f t="shared" si="10"/>
        <v>48</v>
      </c>
      <c r="N20" s="96">
        <f t="shared" si="11"/>
        <v>72</v>
      </c>
    </row>
    <row r="21" spans="2:15" x14ac:dyDescent="0.25">
      <c r="B21" s="89" t="s">
        <v>139</v>
      </c>
      <c r="C21" s="97">
        <f>SUM(C17:C20)</f>
        <v>84</v>
      </c>
      <c r="D21" s="97">
        <f t="shared" ref="D21:N21" si="12">SUM(D17:D20)</f>
        <v>84</v>
      </c>
      <c r="E21" s="97">
        <f t="shared" si="12"/>
        <v>84</v>
      </c>
      <c r="F21" s="97">
        <f t="shared" si="12"/>
        <v>126</v>
      </c>
      <c r="G21" s="97">
        <f t="shared" si="12"/>
        <v>105</v>
      </c>
      <c r="H21" s="97">
        <f t="shared" si="12"/>
        <v>84</v>
      </c>
      <c r="I21" s="97">
        <f t="shared" si="12"/>
        <v>126</v>
      </c>
      <c r="J21" s="97">
        <f t="shared" si="12"/>
        <v>84</v>
      </c>
      <c r="K21" s="97">
        <f t="shared" si="12"/>
        <v>126</v>
      </c>
      <c r="L21" s="97">
        <f t="shared" si="12"/>
        <v>105</v>
      </c>
      <c r="M21" s="97">
        <f t="shared" si="12"/>
        <v>84</v>
      </c>
      <c r="N21" s="97">
        <f t="shared" si="12"/>
        <v>126</v>
      </c>
    </row>
    <row r="22" spans="2:15" x14ac:dyDescent="0.25">
      <c r="B22" s="48"/>
      <c r="C22" s="49"/>
      <c r="D22" s="48"/>
      <c r="E22" s="81"/>
      <c r="F22" s="50"/>
      <c r="G22" s="48"/>
      <c r="H22" s="80"/>
      <c r="I22" s="80"/>
    </row>
    <row r="23" spans="2:15" x14ac:dyDescent="0.25">
      <c r="B23" s="83" t="s">
        <v>155</v>
      </c>
      <c r="C23" s="49"/>
      <c r="D23" s="48"/>
      <c r="E23" s="81"/>
      <c r="F23" s="50"/>
      <c r="G23" s="48"/>
      <c r="H23" s="80"/>
      <c r="I23" s="80"/>
    </row>
    <row r="24" spans="2:15" x14ac:dyDescent="0.25">
      <c r="B24" s="48"/>
      <c r="C24" s="49"/>
      <c r="D24" s="48"/>
      <c r="E24" s="81"/>
      <c r="F24" s="50"/>
      <c r="G24" s="48"/>
      <c r="H24" s="80"/>
      <c r="I24" s="80"/>
    </row>
    <row r="25" spans="2:15" x14ac:dyDescent="0.25">
      <c r="B25" s="100" t="s">
        <v>117</v>
      </c>
      <c r="C25" s="101" t="str">
        <f>C15</f>
        <v>Ene</v>
      </c>
      <c r="D25" s="101" t="str">
        <f t="shared" ref="D25:N25" si="13">D15</f>
        <v>Feb</v>
      </c>
      <c r="E25" s="101" t="str">
        <f t="shared" si="13"/>
        <v>Mar</v>
      </c>
      <c r="F25" s="101" t="str">
        <f t="shared" si="13"/>
        <v>Abr</v>
      </c>
      <c r="G25" s="101" t="str">
        <f t="shared" si="13"/>
        <v>May</v>
      </c>
      <c r="H25" s="101" t="str">
        <f t="shared" si="13"/>
        <v>Jun</v>
      </c>
      <c r="I25" s="101" t="str">
        <f t="shared" si="13"/>
        <v>Jul</v>
      </c>
      <c r="J25" s="101" t="str">
        <f t="shared" si="13"/>
        <v>Ago</v>
      </c>
      <c r="K25" s="101" t="str">
        <f t="shared" si="13"/>
        <v>Sep</v>
      </c>
      <c r="L25" s="101" t="str">
        <f t="shared" si="13"/>
        <v>Oct</v>
      </c>
      <c r="M25" s="101" t="str">
        <f t="shared" si="13"/>
        <v>Nov</v>
      </c>
      <c r="N25" s="101" t="str">
        <f t="shared" si="13"/>
        <v>Dic</v>
      </c>
      <c r="O25" s="100" t="s">
        <v>139</v>
      </c>
    </row>
    <row r="26" spans="2:15" x14ac:dyDescent="0.25">
      <c r="B26" s="93" t="str">
        <f>B17</f>
        <v>Renta de Castillo</v>
      </c>
      <c r="C26" s="92">
        <f>C17*$C$6</f>
        <v>12800</v>
      </c>
      <c r="D26" s="92">
        <f t="shared" ref="D26:N26" si="14">D17*$C$6</f>
        <v>12800</v>
      </c>
      <c r="E26" s="92">
        <f t="shared" si="14"/>
        <v>12800</v>
      </c>
      <c r="F26" s="92">
        <f t="shared" si="14"/>
        <v>19200</v>
      </c>
      <c r="G26" s="92">
        <f t="shared" si="14"/>
        <v>16000</v>
      </c>
      <c r="H26" s="92">
        <f t="shared" si="14"/>
        <v>12800</v>
      </c>
      <c r="I26" s="92">
        <f t="shared" si="14"/>
        <v>19200</v>
      </c>
      <c r="J26" s="92">
        <f t="shared" si="14"/>
        <v>12800</v>
      </c>
      <c r="K26" s="92">
        <f t="shared" si="14"/>
        <v>19200</v>
      </c>
      <c r="L26" s="92">
        <f t="shared" si="14"/>
        <v>16000</v>
      </c>
      <c r="M26" s="92">
        <f t="shared" si="14"/>
        <v>12800</v>
      </c>
      <c r="N26" s="92">
        <f t="shared" si="14"/>
        <v>19200</v>
      </c>
      <c r="O26" s="99">
        <f>SUM(C26:N26)</f>
        <v>185600</v>
      </c>
    </row>
    <row r="27" spans="2:15" x14ac:dyDescent="0.25">
      <c r="B27" s="93" t="str">
        <f t="shared" ref="B27:B29" si="15">B18</f>
        <v>Renta de Escaladora</v>
      </c>
      <c r="C27" s="92">
        <f>C18*$C$7</f>
        <v>9600</v>
      </c>
      <c r="D27" s="92">
        <f t="shared" ref="D27:N27" si="16">D18*$C$7</f>
        <v>9600</v>
      </c>
      <c r="E27" s="92">
        <f t="shared" si="16"/>
        <v>9600</v>
      </c>
      <c r="F27" s="92">
        <f t="shared" si="16"/>
        <v>14400</v>
      </c>
      <c r="G27" s="92">
        <f t="shared" si="16"/>
        <v>12000</v>
      </c>
      <c r="H27" s="92">
        <f t="shared" si="16"/>
        <v>9600</v>
      </c>
      <c r="I27" s="92">
        <f t="shared" si="16"/>
        <v>14400</v>
      </c>
      <c r="J27" s="92">
        <f t="shared" si="16"/>
        <v>9600</v>
      </c>
      <c r="K27" s="92">
        <f t="shared" si="16"/>
        <v>14400</v>
      </c>
      <c r="L27" s="92">
        <f t="shared" si="16"/>
        <v>12000</v>
      </c>
      <c r="M27" s="92">
        <f t="shared" si="16"/>
        <v>9600</v>
      </c>
      <c r="N27" s="92">
        <f t="shared" si="16"/>
        <v>14400</v>
      </c>
      <c r="O27" s="99">
        <f>SUM(C27:N27)</f>
        <v>139200</v>
      </c>
    </row>
    <row r="28" spans="2:15" x14ac:dyDescent="0.25">
      <c r="B28" s="93" t="str">
        <f t="shared" si="15"/>
        <v>Renta de Toro mecanico</v>
      </c>
      <c r="C28" s="92">
        <f>C19*$C$8</f>
        <v>8000</v>
      </c>
      <c r="D28" s="92">
        <f t="shared" ref="D28:N28" si="17">D19*$C$8</f>
        <v>8000</v>
      </c>
      <c r="E28" s="92">
        <f t="shared" si="17"/>
        <v>8000</v>
      </c>
      <c r="F28" s="92">
        <f t="shared" si="17"/>
        <v>12000</v>
      </c>
      <c r="G28" s="92">
        <f t="shared" si="17"/>
        <v>10000</v>
      </c>
      <c r="H28" s="92">
        <f t="shared" si="17"/>
        <v>8000</v>
      </c>
      <c r="I28" s="92">
        <f t="shared" si="17"/>
        <v>12000</v>
      </c>
      <c r="J28" s="92">
        <f t="shared" si="17"/>
        <v>8000</v>
      </c>
      <c r="K28" s="92">
        <f t="shared" si="17"/>
        <v>12000</v>
      </c>
      <c r="L28" s="92">
        <f t="shared" si="17"/>
        <v>10000</v>
      </c>
      <c r="M28" s="92">
        <f t="shared" si="17"/>
        <v>8000</v>
      </c>
      <c r="N28" s="92">
        <f t="shared" si="17"/>
        <v>12000</v>
      </c>
      <c r="O28" s="99">
        <f>SUM(C28:N28)</f>
        <v>116000</v>
      </c>
    </row>
    <row r="29" spans="2:15" x14ac:dyDescent="0.25">
      <c r="B29" s="93" t="str">
        <f t="shared" si="15"/>
        <v>Renta de Rockola</v>
      </c>
      <c r="C29" s="92">
        <f>C20*$C$9</f>
        <v>24000</v>
      </c>
      <c r="D29" s="92">
        <f t="shared" ref="D29:N29" si="18">D20*$C$9</f>
        <v>24000</v>
      </c>
      <c r="E29" s="92">
        <f t="shared" si="18"/>
        <v>24000</v>
      </c>
      <c r="F29" s="92">
        <f t="shared" si="18"/>
        <v>36000</v>
      </c>
      <c r="G29" s="92">
        <f t="shared" si="18"/>
        <v>30000</v>
      </c>
      <c r="H29" s="92">
        <f t="shared" si="18"/>
        <v>24000</v>
      </c>
      <c r="I29" s="92">
        <f t="shared" si="18"/>
        <v>36000</v>
      </c>
      <c r="J29" s="92">
        <f t="shared" si="18"/>
        <v>24000</v>
      </c>
      <c r="K29" s="92">
        <f t="shared" si="18"/>
        <v>36000</v>
      </c>
      <c r="L29" s="92">
        <f t="shared" si="18"/>
        <v>30000</v>
      </c>
      <c r="M29" s="92">
        <f t="shared" si="18"/>
        <v>24000</v>
      </c>
      <c r="N29" s="92">
        <f t="shared" si="18"/>
        <v>36000</v>
      </c>
      <c r="O29" s="99">
        <f>SUM(C29:N29)</f>
        <v>348000</v>
      </c>
    </row>
    <row r="30" spans="2:15" x14ac:dyDescent="0.25">
      <c r="B30" s="98" t="str">
        <f>B21</f>
        <v>Total</v>
      </c>
      <c r="C30" s="99">
        <f>SUM(C26:C29)</f>
        <v>54400</v>
      </c>
      <c r="D30" s="99">
        <f t="shared" ref="D30:O30" si="19">SUM(D26:D29)</f>
        <v>54400</v>
      </c>
      <c r="E30" s="99">
        <f t="shared" si="19"/>
        <v>54400</v>
      </c>
      <c r="F30" s="99">
        <f t="shared" si="19"/>
        <v>81600</v>
      </c>
      <c r="G30" s="99">
        <f t="shared" si="19"/>
        <v>68000</v>
      </c>
      <c r="H30" s="99">
        <f t="shared" si="19"/>
        <v>54400</v>
      </c>
      <c r="I30" s="99">
        <f t="shared" si="19"/>
        <v>81600</v>
      </c>
      <c r="J30" s="99">
        <f t="shared" si="19"/>
        <v>54400</v>
      </c>
      <c r="K30" s="99">
        <f t="shared" si="19"/>
        <v>81600</v>
      </c>
      <c r="L30" s="99">
        <f t="shared" si="19"/>
        <v>68000</v>
      </c>
      <c r="M30" s="99">
        <f t="shared" si="19"/>
        <v>54400</v>
      </c>
      <c r="N30" s="99">
        <f t="shared" si="19"/>
        <v>81600</v>
      </c>
      <c r="O30" s="99">
        <f t="shared" si="19"/>
        <v>788800</v>
      </c>
    </row>
    <row r="31" spans="2:15" x14ac:dyDescent="0.25">
      <c r="B31" s="48"/>
      <c r="C31" s="48"/>
      <c r="D31" s="48"/>
      <c r="E31" s="48"/>
      <c r="F31" s="48"/>
      <c r="G31" s="48"/>
      <c r="H31" s="48"/>
      <c r="I31" s="48"/>
    </row>
    <row r="32" spans="2:15" x14ac:dyDescent="0.25">
      <c r="F32" s="48"/>
      <c r="G32" s="48"/>
      <c r="H32" s="48"/>
      <c r="I32" s="48"/>
    </row>
    <row r="33" spans="2:9" x14ac:dyDescent="0.25">
      <c r="B33" s="83" t="s">
        <v>113</v>
      </c>
      <c r="C33" s="48"/>
      <c r="D33" s="48"/>
      <c r="E33" s="48"/>
      <c r="F33" s="48"/>
    </row>
    <row r="34" spans="2:9" x14ac:dyDescent="0.25">
      <c r="B34" s="83"/>
      <c r="C34" s="48"/>
      <c r="D34" s="48"/>
      <c r="E34" s="48"/>
      <c r="F34" s="48"/>
    </row>
    <row r="35" spans="2:9" x14ac:dyDescent="0.25">
      <c r="B35" s="67" t="s">
        <v>117</v>
      </c>
      <c r="C35" s="67" t="s">
        <v>118</v>
      </c>
      <c r="D35" s="67" t="s">
        <v>119</v>
      </c>
      <c r="E35" s="67" t="s">
        <v>120</v>
      </c>
      <c r="F35" s="67" t="s">
        <v>121</v>
      </c>
    </row>
    <row r="36" spans="2:9" x14ac:dyDescent="0.25">
      <c r="B36" s="64" t="s">
        <v>114</v>
      </c>
      <c r="C36" s="90">
        <v>1</v>
      </c>
      <c r="D36" s="90">
        <v>200</v>
      </c>
      <c r="E36" s="90">
        <v>24</v>
      </c>
      <c r="F36" s="90">
        <f t="shared" ref="F36:F44" si="20">E36*D36*C36</f>
        <v>4800</v>
      </c>
    </row>
    <row r="37" spans="2:9" x14ac:dyDescent="0.25">
      <c r="B37" s="64" t="s">
        <v>115</v>
      </c>
      <c r="C37" s="90">
        <v>1</v>
      </c>
      <c r="D37" s="90">
        <v>150</v>
      </c>
      <c r="E37" s="90">
        <v>24</v>
      </c>
      <c r="F37" s="90">
        <f t="shared" si="20"/>
        <v>3600</v>
      </c>
    </row>
    <row r="38" spans="2:9" x14ac:dyDescent="0.25">
      <c r="B38" s="64" t="s">
        <v>156</v>
      </c>
      <c r="C38" s="90">
        <v>1</v>
      </c>
      <c r="D38" s="90">
        <v>3000</v>
      </c>
      <c r="E38" s="90">
        <v>1</v>
      </c>
      <c r="F38" s="90">
        <f t="shared" si="20"/>
        <v>3000</v>
      </c>
    </row>
    <row r="39" spans="2:9" x14ac:dyDescent="0.25">
      <c r="B39" s="64" t="s">
        <v>103</v>
      </c>
      <c r="C39" s="90">
        <v>1</v>
      </c>
      <c r="D39" s="90">
        <v>50</v>
      </c>
      <c r="E39" s="90">
        <v>1</v>
      </c>
      <c r="F39" s="90">
        <f t="shared" si="20"/>
        <v>50</v>
      </c>
    </row>
    <row r="40" spans="2:9" x14ac:dyDescent="0.25">
      <c r="B40" s="64" t="s">
        <v>104</v>
      </c>
      <c r="C40" s="90">
        <v>0.5</v>
      </c>
      <c r="D40" s="90">
        <v>500</v>
      </c>
      <c r="E40" s="90">
        <v>1</v>
      </c>
      <c r="F40" s="90">
        <f t="shared" si="20"/>
        <v>250</v>
      </c>
    </row>
    <row r="41" spans="2:9" x14ac:dyDescent="0.25">
      <c r="B41" s="65" t="s">
        <v>116</v>
      </c>
      <c r="C41" s="66">
        <v>1</v>
      </c>
      <c r="D41" s="66">
        <v>1500</v>
      </c>
      <c r="E41" s="90">
        <v>1</v>
      </c>
      <c r="F41" s="90">
        <f t="shared" si="20"/>
        <v>1500</v>
      </c>
    </row>
    <row r="42" spans="2:9" x14ac:dyDescent="0.25">
      <c r="B42" s="65" t="s">
        <v>157</v>
      </c>
      <c r="C42" s="66">
        <v>2</v>
      </c>
      <c r="D42" s="90">
        <v>120</v>
      </c>
      <c r="E42" s="107">
        <v>24</v>
      </c>
      <c r="F42" s="66">
        <f t="shared" si="20"/>
        <v>5760</v>
      </c>
      <c r="G42" s="49"/>
      <c r="H42" s="48"/>
      <c r="I42" s="48"/>
    </row>
    <row r="43" spans="2:9" x14ac:dyDescent="0.25">
      <c r="B43" s="64" t="s">
        <v>158</v>
      </c>
      <c r="C43" s="90">
        <v>1</v>
      </c>
      <c r="D43" s="90">
        <f>3000</f>
        <v>3000</v>
      </c>
      <c r="E43" s="90">
        <v>1</v>
      </c>
      <c r="F43" s="66">
        <f t="shared" si="20"/>
        <v>3000</v>
      </c>
      <c r="G43" s="48"/>
      <c r="H43" s="48"/>
      <c r="I43" s="48"/>
    </row>
    <row r="44" spans="2:9" x14ac:dyDescent="0.25">
      <c r="B44" s="64" t="s">
        <v>159</v>
      </c>
      <c r="C44" s="90">
        <f>SUM(D6:D9)</f>
        <v>12</v>
      </c>
      <c r="D44" s="90">
        <v>450</v>
      </c>
      <c r="E44" s="90">
        <v>1</v>
      </c>
      <c r="F44" s="90">
        <f t="shared" si="20"/>
        <v>5400</v>
      </c>
      <c r="G44" s="48"/>
      <c r="H44" s="48"/>
      <c r="I44" s="48"/>
    </row>
    <row r="45" spans="2:9" x14ac:dyDescent="0.25">
      <c r="B45" s="48"/>
      <c r="C45" s="48"/>
      <c r="D45" s="48"/>
      <c r="E45" s="48"/>
      <c r="F45" s="48"/>
      <c r="G45" s="48"/>
      <c r="H45" s="48"/>
      <c r="I45" s="48"/>
    </row>
    <row r="46" spans="2:9" x14ac:dyDescent="0.25">
      <c r="B46" s="48"/>
      <c r="C46" s="48"/>
      <c r="D46" s="48"/>
      <c r="E46" s="48"/>
      <c r="F46" s="48"/>
      <c r="G46" s="48"/>
      <c r="H46" s="48"/>
      <c r="I46" s="48"/>
    </row>
    <row r="47" spans="2:9" x14ac:dyDescent="0.25">
      <c r="B47" s="48"/>
      <c r="C47" s="48"/>
      <c r="D47" s="48"/>
      <c r="E47" s="48"/>
      <c r="F47" s="48"/>
      <c r="G47" s="48"/>
      <c r="H47" s="48"/>
      <c r="I47" s="48"/>
    </row>
    <row r="48" spans="2:9" x14ac:dyDescent="0.25">
      <c r="B48" s="48"/>
      <c r="C48" s="48"/>
      <c r="D48" s="48"/>
      <c r="E48" s="48"/>
      <c r="F48" s="48"/>
      <c r="G48" s="48"/>
      <c r="H48" s="48"/>
      <c r="I48" s="48"/>
    </row>
    <row r="49" spans="2:9" x14ac:dyDescent="0.25">
      <c r="B49" s="48"/>
      <c r="C49" s="48"/>
      <c r="D49" s="48"/>
      <c r="E49" s="48"/>
      <c r="F49" s="48"/>
      <c r="G49" s="48"/>
      <c r="H49" s="48"/>
      <c r="I49" s="48"/>
    </row>
    <row r="50" spans="2:9" x14ac:dyDescent="0.25">
      <c r="B50" s="48"/>
      <c r="C50" s="48"/>
      <c r="D50" s="48"/>
      <c r="E50" s="48"/>
      <c r="F50" s="48"/>
      <c r="G50" s="48"/>
      <c r="H50" s="48"/>
      <c r="I50" s="48"/>
    </row>
    <row r="51" spans="2:9" x14ac:dyDescent="0.25">
      <c r="B51" s="48"/>
      <c r="C51" s="48"/>
      <c r="D51" s="48"/>
      <c r="E51" s="48"/>
      <c r="F51" s="48"/>
      <c r="G51" s="48"/>
      <c r="H51" s="48"/>
      <c r="I51" s="48"/>
    </row>
    <row r="52" spans="2:9" x14ac:dyDescent="0.25">
      <c r="B52" s="48"/>
      <c r="C52" s="48"/>
      <c r="D52" s="48"/>
      <c r="E52" s="48"/>
      <c r="F52" s="48"/>
      <c r="G52" s="48"/>
      <c r="H52" s="48"/>
      <c r="I52" s="48"/>
    </row>
    <row r="53" spans="2:9" x14ac:dyDescent="0.25">
      <c r="B53" s="48"/>
      <c r="C53" s="48"/>
      <c r="D53" s="48"/>
      <c r="E53" s="48"/>
      <c r="F53" s="48"/>
      <c r="G53" s="48"/>
      <c r="H53" s="48"/>
      <c r="I53" s="48"/>
    </row>
  </sheetData>
  <mergeCells count="2">
    <mergeCell ref="B1:I1"/>
    <mergeCell ref="B2:I2"/>
  </mergeCells>
  <phoneticPr fontId="0" type="noConversion"/>
  <pageMargins left="0.7" right="0.7" top="0.75" bottom="0.75" header="0.3" footer="0.3"/>
  <pageSetup paperSize="9" orientation="landscape"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autoPict="0">
                <anchor moveWithCells="1" sizeWithCells="1">
                  <from>
                    <xdr:col>2</xdr:col>
                    <xdr:colOff>0</xdr:colOff>
                    <xdr:row>10</xdr:row>
                    <xdr:rowOff>0</xdr:rowOff>
                  </from>
                  <to>
                    <xdr:col>2</xdr:col>
                    <xdr:colOff>0</xdr:colOff>
                    <xdr:row>10</xdr:row>
                    <xdr:rowOff>0</xdr:rowOff>
                  </to>
                </anchor>
              </controlPr>
            </control>
          </mc:Choice>
        </mc:AlternateContent>
        <mc:AlternateContent xmlns:mc="http://schemas.openxmlformats.org/markup-compatibility/2006">
          <mc:Choice Requires="x14">
            <control shapeId="3074" r:id="rId5" name="Spinner 2">
              <controlPr defaultSize="0" autoPict="0">
                <anchor moveWithCells="1" sizeWithCells="1">
                  <from>
                    <xdr:col>2</xdr:col>
                    <xdr:colOff>0</xdr:colOff>
                    <xdr:row>9</xdr:row>
                    <xdr:rowOff>0</xdr:rowOff>
                  </from>
                  <to>
                    <xdr:col>2</xdr:col>
                    <xdr:colOff>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showGridLines="0" workbookViewId="0">
      <selection activeCell="G20" sqref="G20"/>
    </sheetView>
  </sheetViews>
  <sheetFormatPr baseColWidth="10" defaultRowHeight="15" x14ac:dyDescent="0.25"/>
  <cols>
    <col min="1" max="1" width="4" customWidth="1"/>
    <col min="2" max="2" width="31" customWidth="1"/>
    <col min="3" max="3" width="20.85546875" bestFit="1" customWidth="1"/>
    <col min="4" max="7" width="15.42578125" customWidth="1"/>
    <col min="8" max="8" width="16.85546875" customWidth="1"/>
  </cols>
  <sheetData>
    <row r="1" spans="2:8" ht="21" customHeight="1" x14ac:dyDescent="0.35">
      <c r="B1" s="112" t="str">
        <f>'B.I. MEMORIAS DE CALCULO'!B2:I2</f>
        <v>Renta de inflables</v>
      </c>
      <c r="C1" s="112"/>
      <c r="D1" s="112"/>
      <c r="E1" s="112"/>
      <c r="F1" s="112"/>
      <c r="G1" s="112"/>
      <c r="H1" s="112"/>
    </row>
    <row r="2" spans="2:8" ht="21" customHeight="1" x14ac:dyDescent="0.35">
      <c r="B2" s="113" t="str">
        <f>'DATOS '!D8</f>
        <v xml:space="preserve">      PROYECCION DE COSTOS</v>
      </c>
      <c r="C2" s="113"/>
      <c r="D2" s="113"/>
      <c r="E2" s="113"/>
      <c r="F2" s="113"/>
      <c r="G2" s="113"/>
      <c r="H2" s="113"/>
    </row>
    <row r="4" spans="2:8" ht="15.75" x14ac:dyDescent="0.25">
      <c r="B4" s="6" t="s">
        <v>42</v>
      </c>
      <c r="C4" s="6" t="s">
        <v>43</v>
      </c>
      <c r="D4" s="6" t="s">
        <v>44</v>
      </c>
      <c r="E4" s="6" t="s">
        <v>44</v>
      </c>
      <c r="F4" s="6" t="s">
        <v>44</v>
      </c>
      <c r="G4" s="6" t="s">
        <v>44</v>
      </c>
      <c r="H4" s="6" t="s">
        <v>44</v>
      </c>
    </row>
    <row r="5" spans="2:8" x14ac:dyDescent="0.25">
      <c r="B5" s="9" t="s">
        <v>41</v>
      </c>
      <c r="C5" s="8" t="s">
        <v>98</v>
      </c>
      <c r="D5" s="33">
        <v>1</v>
      </c>
      <c r="E5" s="33">
        <v>2</v>
      </c>
      <c r="F5" s="33">
        <v>3</v>
      </c>
      <c r="G5" s="33">
        <v>4</v>
      </c>
      <c r="H5" s="33">
        <v>5</v>
      </c>
    </row>
    <row r="6" spans="2:8" x14ac:dyDescent="0.25">
      <c r="B6" s="22" t="str">
        <f>'B.I. MEMORIAS DE CALCULO'!B36</f>
        <v>Administrador</v>
      </c>
      <c r="C6" s="26">
        <f>'B.I. MEMORIAS DE CALCULO'!F36</f>
        <v>4800</v>
      </c>
      <c r="D6" s="26">
        <f>C6*12</f>
        <v>57600</v>
      </c>
      <c r="E6" s="26">
        <f>D6*1.05</f>
        <v>60480</v>
      </c>
      <c r="F6" s="26">
        <f t="shared" ref="F6:H6" si="0">E6*1.05</f>
        <v>63504</v>
      </c>
      <c r="G6" s="26">
        <f t="shared" si="0"/>
        <v>66679.199999999997</v>
      </c>
      <c r="H6" s="26">
        <f t="shared" si="0"/>
        <v>70013.16</v>
      </c>
    </row>
    <row r="7" spans="2:8" x14ac:dyDescent="0.25">
      <c r="B7" s="22" t="str">
        <f>'B.I. MEMORIAS DE CALCULO'!B37</f>
        <v>Encargado de Ventas</v>
      </c>
      <c r="C7" s="26">
        <f>'B.I. MEMORIAS DE CALCULO'!F37</f>
        <v>3600</v>
      </c>
      <c r="D7" s="26">
        <f t="shared" ref="D7:D14" si="1">C7*12</f>
        <v>43200</v>
      </c>
      <c r="E7" s="26">
        <f t="shared" ref="E7:H7" si="2">D7*1.05</f>
        <v>45360</v>
      </c>
      <c r="F7" s="26">
        <f t="shared" si="2"/>
        <v>47628</v>
      </c>
      <c r="G7" s="26">
        <f t="shared" si="2"/>
        <v>50009.4</v>
      </c>
      <c r="H7" s="26">
        <f t="shared" si="2"/>
        <v>52509.87</v>
      </c>
    </row>
    <row r="8" spans="2:8" x14ac:dyDescent="0.25">
      <c r="B8" s="22" t="str">
        <f>'B.I. MEMORIAS DE CALCULO'!B38</f>
        <v>Renta de local</v>
      </c>
      <c r="C8" s="26">
        <f>'B.I. MEMORIAS DE CALCULO'!F38</f>
        <v>3000</v>
      </c>
      <c r="D8" s="26">
        <f t="shared" si="1"/>
        <v>36000</v>
      </c>
      <c r="E8" s="26">
        <f t="shared" ref="E8:H8" si="3">D8*1.05</f>
        <v>37800</v>
      </c>
      <c r="F8" s="26">
        <f t="shared" si="3"/>
        <v>39690</v>
      </c>
      <c r="G8" s="26">
        <f t="shared" si="3"/>
        <v>41674.5</v>
      </c>
      <c r="H8" s="26">
        <f t="shared" si="3"/>
        <v>43758.224999999999</v>
      </c>
    </row>
    <row r="9" spans="2:8" x14ac:dyDescent="0.25">
      <c r="B9" s="22" t="str">
        <f>'B.I. MEMORIAS DE CALCULO'!B39</f>
        <v>Agua</v>
      </c>
      <c r="C9" s="26">
        <f>'B.I. MEMORIAS DE CALCULO'!F39</f>
        <v>50</v>
      </c>
      <c r="D9" s="26">
        <f t="shared" si="1"/>
        <v>600</v>
      </c>
      <c r="E9" s="26">
        <f t="shared" ref="E9:H9" si="4">D9*1.05</f>
        <v>630</v>
      </c>
      <c r="F9" s="26">
        <f t="shared" si="4"/>
        <v>661.5</v>
      </c>
      <c r="G9" s="26">
        <f t="shared" si="4"/>
        <v>694.57500000000005</v>
      </c>
      <c r="H9" s="26">
        <f t="shared" si="4"/>
        <v>729.30375000000004</v>
      </c>
    </row>
    <row r="10" spans="2:8" x14ac:dyDescent="0.25">
      <c r="B10" s="22" t="str">
        <f>'B.I. MEMORIAS DE CALCULO'!B40</f>
        <v>Luz</v>
      </c>
      <c r="C10" s="26">
        <f>'B.I. MEMORIAS DE CALCULO'!F40</f>
        <v>250</v>
      </c>
      <c r="D10" s="26">
        <f t="shared" si="1"/>
        <v>3000</v>
      </c>
      <c r="E10" s="26">
        <f t="shared" ref="E10:H10" si="5">D10*1.05</f>
        <v>3150</v>
      </c>
      <c r="F10" s="26">
        <f t="shared" si="5"/>
        <v>3307.5</v>
      </c>
      <c r="G10" s="26">
        <f t="shared" si="5"/>
        <v>3472.875</v>
      </c>
      <c r="H10" s="26">
        <f t="shared" si="5"/>
        <v>3646.5187500000002</v>
      </c>
    </row>
    <row r="11" spans="2:8" x14ac:dyDescent="0.25">
      <c r="B11" s="22" t="str">
        <f>'B.I. MEMORIAS DE CALCULO'!B41</f>
        <v>Telefono</v>
      </c>
      <c r="C11" s="26">
        <f>'B.I. MEMORIAS DE CALCULO'!F41</f>
        <v>1500</v>
      </c>
      <c r="D11" s="26">
        <f t="shared" si="1"/>
        <v>18000</v>
      </c>
      <c r="E11" s="26">
        <f t="shared" ref="E11:H11" si="6">D11*1.05</f>
        <v>18900</v>
      </c>
      <c r="F11" s="26">
        <f t="shared" si="6"/>
        <v>19845</v>
      </c>
      <c r="G11" s="26">
        <f t="shared" si="6"/>
        <v>20837.25</v>
      </c>
      <c r="H11" s="26">
        <f t="shared" si="6"/>
        <v>21879.112499999999</v>
      </c>
    </row>
    <row r="12" spans="2:8" x14ac:dyDescent="0.25">
      <c r="B12" s="22" t="str">
        <f>'B.I. MEMORIAS DE CALCULO'!B42</f>
        <v>Ayudante general</v>
      </c>
      <c r="C12" s="26">
        <f>'B.I. MEMORIAS DE CALCULO'!F42</f>
        <v>5760</v>
      </c>
      <c r="D12" s="26">
        <f t="shared" si="1"/>
        <v>69120</v>
      </c>
      <c r="E12" s="26">
        <f t="shared" ref="E12:H12" si="7">D12*1.05</f>
        <v>72576</v>
      </c>
      <c r="F12" s="26">
        <f t="shared" si="7"/>
        <v>76204.800000000003</v>
      </c>
      <c r="G12" s="26">
        <f t="shared" si="7"/>
        <v>80015.040000000008</v>
      </c>
      <c r="H12" s="26">
        <f t="shared" si="7"/>
        <v>84015.792000000016</v>
      </c>
    </row>
    <row r="13" spans="2:8" ht="30" x14ac:dyDescent="0.25">
      <c r="B13" s="22" t="str">
        <f>'B.I. MEMORIAS DE CALCULO'!B43</f>
        <v>Mantenimiendo de inflables y equipo</v>
      </c>
      <c r="C13" s="26">
        <f>'B.I. MEMORIAS DE CALCULO'!F43</f>
        <v>3000</v>
      </c>
      <c r="D13" s="26">
        <f t="shared" si="1"/>
        <v>36000</v>
      </c>
      <c r="E13" s="26">
        <f t="shared" ref="E13:H13" si="8">D13*1.05</f>
        <v>37800</v>
      </c>
      <c r="F13" s="26">
        <f t="shared" si="8"/>
        <v>39690</v>
      </c>
      <c r="G13" s="26">
        <f t="shared" si="8"/>
        <v>41674.5</v>
      </c>
      <c r="H13" s="26">
        <f t="shared" si="8"/>
        <v>43758.224999999999</v>
      </c>
    </row>
    <row r="14" spans="2:8" x14ac:dyDescent="0.25">
      <c r="B14" s="22" t="str">
        <f>'B.I. MEMORIAS DE CALCULO'!B44</f>
        <v>Fletes</v>
      </c>
      <c r="C14" s="26">
        <f>'B.I. MEMORIAS DE CALCULO'!F44</f>
        <v>5400</v>
      </c>
      <c r="D14" s="26">
        <f t="shared" si="1"/>
        <v>64800</v>
      </c>
      <c r="E14" s="26">
        <f t="shared" ref="E14:H14" si="9">D14*1.05</f>
        <v>68040</v>
      </c>
      <c r="F14" s="26">
        <f t="shared" si="9"/>
        <v>71442</v>
      </c>
      <c r="G14" s="26">
        <f t="shared" si="9"/>
        <v>75014.100000000006</v>
      </c>
      <c r="H14" s="26">
        <f t="shared" si="9"/>
        <v>78764.805000000008</v>
      </c>
    </row>
    <row r="15" spans="2:8" x14ac:dyDescent="0.25">
      <c r="B15" s="22"/>
      <c r="C15" s="26"/>
      <c r="D15" s="30"/>
      <c r="E15" s="26"/>
      <c r="F15" s="30"/>
      <c r="G15" s="26"/>
      <c r="H15" s="30"/>
    </row>
    <row r="16" spans="2:8" x14ac:dyDescent="0.25">
      <c r="B16" s="31"/>
      <c r="C16" s="26"/>
      <c r="D16" s="30"/>
      <c r="E16" s="26"/>
      <c r="F16" s="30"/>
      <c r="G16" s="26"/>
      <c r="H16" s="30"/>
    </row>
    <row r="17" spans="2:8" x14ac:dyDescent="0.25">
      <c r="B17" s="9" t="s">
        <v>7</v>
      </c>
      <c r="C17" s="32">
        <f>SUM(C6:C16)</f>
        <v>27360</v>
      </c>
      <c r="D17" s="55">
        <f t="shared" ref="D17:H17" si="10">SUM(D6:D16)</f>
        <v>328320</v>
      </c>
      <c r="E17" s="55">
        <f t="shared" si="10"/>
        <v>344736</v>
      </c>
      <c r="F17" s="55">
        <f t="shared" si="10"/>
        <v>361972.8</v>
      </c>
      <c r="G17" s="55">
        <f t="shared" si="10"/>
        <v>380071.44000000006</v>
      </c>
      <c r="H17" s="55">
        <f t="shared" si="10"/>
        <v>399075.01199999993</v>
      </c>
    </row>
  </sheetData>
  <mergeCells count="2">
    <mergeCell ref="B1:H1"/>
    <mergeCell ref="B2:H2"/>
  </mergeCells>
  <phoneticPr fontId="0" type="noConversion"/>
  <pageMargins left="0.7" right="0.7" top="0.75" bottom="0.75" header="0.3" footer="0.3"/>
  <pageSetup paperSize="9" scale="92"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topLeftCell="A4" workbookViewId="0">
      <selection activeCell="J16" sqref="J16"/>
    </sheetView>
  </sheetViews>
  <sheetFormatPr baseColWidth="10" defaultRowHeight="15" x14ac:dyDescent="0.25"/>
  <cols>
    <col min="2" max="2" width="31.140625" customWidth="1"/>
    <col min="3" max="7" width="15.42578125" customWidth="1"/>
  </cols>
  <sheetData>
    <row r="1" spans="1:9" ht="21" x14ac:dyDescent="0.35">
      <c r="A1" s="73"/>
      <c r="B1" s="112" t="str">
        <f>'B. II.  PROYECCION DE COSTOS'!B1:H1</f>
        <v>Renta de inflables</v>
      </c>
      <c r="C1" s="112"/>
      <c r="D1" s="112"/>
      <c r="E1" s="112"/>
      <c r="F1" s="112"/>
      <c r="G1" s="112"/>
      <c r="H1" s="112"/>
      <c r="I1" s="112"/>
    </row>
    <row r="2" spans="1:9" ht="21" x14ac:dyDescent="0.35">
      <c r="A2" s="113" t="str">
        <f>'DATOS '!D10</f>
        <v xml:space="preserve">      COSTOS TOTALES</v>
      </c>
      <c r="B2" s="113"/>
      <c r="C2" s="113"/>
      <c r="D2" s="113"/>
      <c r="E2" s="113"/>
      <c r="F2" s="113"/>
      <c r="G2" s="113"/>
      <c r="H2" s="113"/>
    </row>
    <row r="3" spans="1:9" ht="15.75" x14ac:dyDescent="0.25">
      <c r="B3" s="6" t="s">
        <v>49</v>
      </c>
      <c r="C3" s="6" t="s">
        <v>50</v>
      </c>
      <c r="D3" s="6" t="s">
        <v>51</v>
      </c>
      <c r="E3" s="6" t="s">
        <v>52</v>
      </c>
      <c r="F3" s="6" t="s">
        <v>53</v>
      </c>
      <c r="G3" s="6" t="s">
        <v>54</v>
      </c>
    </row>
    <row r="4" spans="1:9" x14ac:dyDescent="0.25">
      <c r="B4" s="22" t="str">
        <f>'B. II.  PROYECCION DE COSTOS'!B6</f>
        <v>Administrador</v>
      </c>
      <c r="C4" s="26">
        <f>'B. II.  PROYECCION DE COSTOS'!D6</f>
        <v>57600</v>
      </c>
      <c r="D4" s="26">
        <f>'B. II.  PROYECCION DE COSTOS'!E6</f>
        <v>60480</v>
      </c>
      <c r="E4" s="26">
        <f>'B. II.  PROYECCION DE COSTOS'!F6</f>
        <v>63504</v>
      </c>
      <c r="F4" s="26">
        <f>'B. II.  PROYECCION DE COSTOS'!G6</f>
        <v>66679.199999999997</v>
      </c>
      <c r="G4" s="26">
        <f>'B. II.  PROYECCION DE COSTOS'!H6</f>
        <v>70013.16</v>
      </c>
    </row>
    <row r="5" spans="1:9" x14ac:dyDescent="0.25">
      <c r="B5" s="22" t="str">
        <f>'B. II.  PROYECCION DE COSTOS'!B7</f>
        <v>Encargado de Ventas</v>
      </c>
      <c r="C5" s="26">
        <f>'B. II.  PROYECCION DE COSTOS'!D7</f>
        <v>43200</v>
      </c>
      <c r="D5" s="26">
        <f>'B. II.  PROYECCION DE COSTOS'!E7</f>
        <v>45360</v>
      </c>
      <c r="E5" s="26">
        <f>'B. II.  PROYECCION DE COSTOS'!F7</f>
        <v>47628</v>
      </c>
      <c r="F5" s="26">
        <f>'B. II.  PROYECCION DE COSTOS'!G7</f>
        <v>50009.4</v>
      </c>
      <c r="G5" s="26">
        <f>'B. II.  PROYECCION DE COSTOS'!H7</f>
        <v>52509.87</v>
      </c>
    </row>
    <row r="6" spans="1:9" x14ac:dyDescent="0.25">
      <c r="B6" s="22" t="str">
        <f>'B. II.  PROYECCION DE COSTOS'!B8</f>
        <v>Renta de local</v>
      </c>
      <c r="C6" s="26">
        <f>'B. II.  PROYECCION DE COSTOS'!D8</f>
        <v>36000</v>
      </c>
      <c r="D6" s="26">
        <f>'B. II.  PROYECCION DE COSTOS'!E8</f>
        <v>37800</v>
      </c>
      <c r="E6" s="26">
        <f>'B. II.  PROYECCION DE COSTOS'!F8</f>
        <v>39690</v>
      </c>
      <c r="F6" s="26">
        <f>'B. II.  PROYECCION DE COSTOS'!G8</f>
        <v>41674.5</v>
      </c>
      <c r="G6" s="26">
        <f>'B. II.  PROYECCION DE COSTOS'!H8</f>
        <v>43758.224999999999</v>
      </c>
    </row>
    <row r="7" spans="1:9" x14ac:dyDescent="0.25">
      <c r="B7" s="22" t="str">
        <f>'B. II.  PROYECCION DE COSTOS'!B9</f>
        <v>Agua</v>
      </c>
      <c r="C7" s="26">
        <f>'B. II.  PROYECCION DE COSTOS'!D9</f>
        <v>600</v>
      </c>
      <c r="D7" s="26">
        <f>'B. II.  PROYECCION DE COSTOS'!E9</f>
        <v>630</v>
      </c>
      <c r="E7" s="26">
        <f>'B. II.  PROYECCION DE COSTOS'!F9</f>
        <v>661.5</v>
      </c>
      <c r="F7" s="26">
        <f>'B. II.  PROYECCION DE COSTOS'!G9</f>
        <v>694.57500000000005</v>
      </c>
      <c r="G7" s="26">
        <f>'B. II.  PROYECCION DE COSTOS'!H9</f>
        <v>729.30375000000004</v>
      </c>
    </row>
    <row r="8" spans="1:9" x14ac:dyDescent="0.25">
      <c r="B8" s="22" t="str">
        <f>'B. II.  PROYECCION DE COSTOS'!B10</f>
        <v>Luz</v>
      </c>
      <c r="C8" s="26">
        <f>'B. II.  PROYECCION DE COSTOS'!D10</f>
        <v>3000</v>
      </c>
      <c r="D8" s="26">
        <f>'B. II.  PROYECCION DE COSTOS'!E10</f>
        <v>3150</v>
      </c>
      <c r="E8" s="26">
        <f>'B. II.  PROYECCION DE COSTOS'!F10</f>
        <v>3307.5</v>
      </c>
      <c r="F8" s="26">
        <f>'B. II.  PROYECCION DE COSTOS'!G10</f>
        <v>3472.875</v>
      </c>
      <c r="G8" s="26">
        <f>'B. II.  PROYECCION DE COSTOS'!H10</f>
        <v>3646.5187500000002</v>
      </c>
    </row>
    <row r="9" spans="1:9" x14ac:dyDescent="0.25">
      <c r="B9" s="22" t="str">
        <f>'B. II.  PROYECCION DE COSTOS'!B11</f>
        <v>Telefono</v>
      </c>
      <c r="C9" s="26">
        <f>'B. II.  PROYECCION DE COSTOS'!D11</f>
        <v>18000</v>
      </c>
      <c r="D9" s="26">
        <f>'B. II.  PROYECCION DE COSTOS'!E11</f>
        <v>18900</v>
      </c>
      <c r="E9" s="26">
        <f>'B. II.  PROYECCION DE COSTOS'!F11</f>
        <v>19845</v>
      </c>
      <c r="F9" s="26">
        <f>'B. II.  PROYECCION DE COSTOS'!G11</f>
        <v>20837.25</v>
      </c>
      <c r="G9" s="26">
        <f>'B. II.  PROYECCION DE COSTOS'!H11</f>
        <v>21879.112499999999</v>
      </c>
    </row>
    <row r="10" spans="1:9" x14ac:dyDescent="0.25">
      <c r="B10" s="22" t="str">
        <f>'B. II.  PROYECCION DE COSTOS'!B12</f>
        <v>Ayudante general</v>
      </c>
      <c r="C10" s="26">
        <f>'B. II.  PROYECCION DE COSTOS'!D12</f>
        <v>69120</v>
      </c>
      <c r="D10" s="26">
        <f>'B. II.  PROYECCION DE COSTOS'!E12</f>
        <v>72576</v>
      </c>
      <c r="E10" s="26">
        <f>'B. II.  PROYECCION DE COSTOS'!F12</f>
        <v>76204.800000000003</v>
      </c>
      <c r="F10" s="26">
        <f>'B. II.  PROYECCION DE COSTOS'!G12</f>
        <v>80015.040000000008</v>
      </c>
      <c r="G10" s="26">
        <f>'B. II.  PROYECCION DE COSTOS'!H12</f>
        <v>84015.792000000016</v>
      </c>
    </row>
    <row r="11" spans="1:9" x14ac:dyDescent="0.25">
      <c r="B11" s="27"/>
      <c r="C11" s="26"/>
      <c r="D11" s="26"/>
      <c r="E11" s="26"/>
      <c r="F11" s="26"/>
      <c r="G11" s="26"/>
    </row>
    <row r="12" spans="1:9" ht="15.75" x14ac:dyDescent="0.25">
      <c r="B12" s="6" t="s">
        <v>7</v>
      </c>
      <c r="C12" s="53">
        <f>SUM(C4:C11)</f>
        <v>227520</v>
      </c>
      <c r="D12" s="53">
        <f>SUM(D4:D11)</f>
        <v>238896</v>
      </c>
      <c r="E12" s="53">
        <f>SUM(E4:E11)</f>
        <v>250840.8</v>
      </c>
      <c r="F12" s="53">
        <f>SUM(F4:F11)</f>
        <v>263382.84000000003</v>
      </c>
      <c r="G12" s="53">
        <f>SUM(G4:G11)</f>
        <v>276551.98199999996</v>
      </c>
    </row>
    <row r="14" spans="1:9" ht="15.75" x14ac:dyDescent="0.25">
      <c r="B14" s="6" t="s">
        <v>55</v>
      </c>
      <c r="C14" s="6" t="s">
        <v>50</v>
      </c>
      <c r="D14" s="6" t="s">
        <v>51</v>
      </c>
      <c r="E14" s="6" t="s">
        <v>52</v>
      </c>
      <c r="F14" s="6" t="s">
        <v>53</v>
      </c>
      <c r="G14" s="6" t="s">
        <v>54</v>
      </c>
    </row>
    <row r="15" spans="1:9" ht="30" x14ac:dyDescent="0.25">
      <c r="B15" s="22" t="str">
        <f>'B. II.  PROYECCION DE COSTOS'!B13</f>
        <v>Mantenimiendo de inflables y equipo</v>
      </c>
      <c r="C15" s="26">
        <f>'B. II.  PROYECCION DE COSTOS'!D13</f>
        <v>36000</v>
      </c>
      <c r="D15" s="26">
        <f>'B. II.  PROYECCION DE COSTOS'!E13</f>
        <v>37800</v>
      </c>
      <c r="E15" s="26">
        <f>'B. II.  PROYECCION DE COSTOS'!F13</f>
        <v>39690</v>
      </c>
      <c r="F15" s="26">
        <f>'B. II.  PROYECCION DE COSTOS'!G13</f>
        <v>41674.5</v>
      </c>
      <c r="G15" s="26">
        <f>'B. II.  PROYECCION DE COSTOS'!H13</f>
        <v>43758.224999999999</v>
      </c>
    </row>
    <row r="16" spans="1:9" x14ac:dyDescent="0.25">
      <c r="B16" s="22" t="str">
        <f>'B. II.  PROYECCION DE COSTOS'!B14</f>
        <v>Fletes</v>
      </c>
      <c r="C16" s="26">
        <f>'B. II.  PROYECCION DE COSTOS'!D14</f>
        <v>64800</v>
      </c>
      <c r="D16" s="26">
        <f>'B. II.  PROYECCION DE COSTOS'!E14</f>
        <v>68040</v>
      </c>
      <c r="E16" s="26">
        <f>'B. II.  PROYECCION DE COSTOS'!F14</f>
        <v>71442</v>
      </c>
      <c r="F16" s="26">
        <f>'B. II.  PROYECCION DE COSTOS'!G14</f>
        <v>75014.100000000006</v>
      </c>
      <c r="G16" s="26">
        <f>'B. II.  PROYECCION DE COSTOS'!H14</f>
        <v>78764.805000000008</v>
      </c>
    </row>
    <row r="17" spans="2:7" x14ac:dyDescent="0.25">
      <c r="B17" s="27"/>
      <c r="C17" s="26"/>
      <c r="D17" s="26"/>
      <c r="E17" s="26"/>
      <c r="F17" s="26"/>
      <c r="G17" s="26"/>
    </row>
    <row r="18" spans="2:7" x14ac:dyDescent="0.25">
      <c r="B18" s="27"/>
      <c r="C18" s="26"/>
      <c r="D18" s="26"/>
      <c r="E18" s="26"/>
      <c r="F18" s="26"/>
      <c r="G18" s="26"/>
    </row>
    <row r="19" spans="2:7" x14ac:dyDescent="0.25">
      <c r="B19" s="27"/>
      <c r="C19" s="26"/>
      <c r="D19" s="26"/>
      <c r="E19" s="26"/>
      <c r="F19" s="26"/>
      <c r="G19" s="26"/>
    </row>
    <row r="20" spans="2:7" ht="15.75" x14ac:dyDescent="0.25">
      <c r="B20" s="6" t="s">
        <v>7</v>
      </c>
      <c r="C20" s="53">
        <f>SUM(C15:C19)</f>
        <v>100800</v>
      </c>
      <c r="D20" s="53">
        <f t="shared" ref="D20:G20" si="0">SUM(D15:D19)</f>
        <v>105840</v>
      </c>
      <c r="E20" s="53">
        <f t="shared" si="0"/>
        <v>111132</v>
      </c>
      <c r="F20" s="53">
        <f t="shared" si="0"/>
        <v>116688.6</v>
      </c>
      <c r="G20" s="53">
        <f t="shared" si="0"/>
        <v>122523.03</v>
      </c>
    </row>
    <row r="22" spans="2:7" ht="15.75" x14ac:dyDescent="0.25">
      <c r="B22" s="6"/>
      <c r="C22" s="6" t="s">
        <v>50</v>
      </c>
      <c r="D22" s="6" t="s">
        <v>51</v>
      </c>
      <c r="E22" s="6" t="s">
        <v>52</v>
      </c>
      <c r="F22" s="6" t="s">
        <v>53</v>
      </c>
      <c r="G22" s="6" t="s">
        <v>54</v>
      </c>
    </row>
    <row r="23" spans="2:7" ht="15.75" x14ac:dyDescent="0.25">
      <c r="B23" s="37" t="s">
        <v>56</v>
      </c>
      <c r="C23" s="26">
        <f>SUM(C12)</f>
        <v>227520</v>
      </c>
      <c r="D23" s="26">
        <f t="shared" ref="D23:G23" si="1">SUM(D12)</f>
        <v>238896</v>
      </c>
      <c r="E23" s="26">
        <f t="shared" si="1"/>
        <v>250840.8</v>
      </c>
      <c r="F23" s="26">
        <f t="shared" si="1"/>
        <v>263382.84000000003</v>
      </c>
      <c r="G23" s="26">
        <f t="shared" si="1"/>
        <v>276551.98199999996</v>
      </c>
    </row>
    <row r="24" spans="2:7" ht="15.75" x14ac:dyDescent="0.25">
      <c r="B24" s="37" t="s">
        <v>55</v>
      </c>
      <c r="C24" s="26">
        <f>C20</f>
        <v>100800</v>
      </c>
      <c r="D24" s="26">
        <f t="shared" ref="D24:G24" si="2">D20</f>
        <v>105840</v>
      </c>
      <c r="E24" s="26">
        <f t="shared" si="2"/>
        <v>111132</v>
      </c>
      <c r="F24" s="26">
        <f t="shared" si="2"/>
        <v>116688.6</v>
      </c>
      <c r="G24" s="26">
        <f t="shared" si="2"/>
        <v>122523.03</v>
      </c>
    </row>
    <row r="25" spans="2:7" ht="15.75" x14ac:dyDescent="0.25">
      <c r="B25" s="37" t="s">
        <v>57</v>
      </c>
      <c r="C25" s="77">
        <f>SUM(C23:C24)</f>
        <v>328320</v>
      </c>
      <c r="D25" s="77">
        <f t="shared" ref="D25:G25" si="3">SUM(D23:D24)</f>
        <v>344736</v>
      </c>
      <c r="E25" s="77">
        <f t="shared" si="3"/>
        <v>361972.8</v>
      </c>
      <c r="F25" s="77">
        <f t="shared" si="3"/>
        <v>380071.44000000006</v>
      </c>
      <c r="G25" s="77">
        <f t="shared" si="3"/>
        <v>399075.01199999999</v>
      </c>
    </row>
  </sheetData>
  <mergeCells count="2">
    <mergeCell ref="A2:H2"/>
    <mergeCell ref="B1:I1"/>
  </mergeCells>
  <phoneticPr fontId="0" type="noConversion"/>
  <pageMargins left="0.7" right="0.7" top="0.75" bottom="0.75" header="0.3" footer="0.3"/>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
  <sheetViews>
    <sheetView showGridLines="0" topLeftCell="A3" workbookViewId="0">
      <selection activeCell="H19" sqref="H19"/>
    </sheetView>
  </sheetViews>
  <sheetFormatPr baseColWidth="10" defaultRowHeight="15" x14ac:dyDescent="0.25"/>
  <cols>
    <col min="1" max="1" width="2" customWidth="1"/>
    <col min="2" max="2" width="32.5703125" customWidth="1"/>
    <col min="3" max="3" width="14.28515625" hidden="1" customWidth="1"/>
    <col min="4" max="4" width="10" hidden="1" customWidth="1"/>
    <col min="5" max="5" width="15.85546875" hidden="1" customWidth="1"/>
    <col min="6" max="10" width="15" customWidth="1"/>
  </cols>
  <sheetData>
    <row r="1" spans="2:10" ht="21" customHeight="1" x14ac:dyDescent="0.35">
      <c r="B1" s="112" t="str">
        <f>'C.I.  COSTOS TOTALES'!B1:I1</f>
        <v>Renta de inflables</v>
      </c>
      <c r="C1" s="112"/>
      <c r="D1" s="112"/>
      <c r="E1" s="112"/>
      <c r="F1" s="112"/>
      <c r="G1" s="112"/>
      <c r="H1" s="112"/>
      <c r="I1" s="112"/>
      <c r="J1" s="112"/>
    </row>
    <row r="2" spans="2:10" ht="21" customHeight="1" x14ac:dyDescent="0.35">
      <c r="B2" s="113" t="s">
        <v>45</v>
      </c>
      <c r="C2" s="113"/>
      <c r="D2" s="113"/>
      <c r="E2" s="113"/>
      <c r="F2" s="113"/>
      <c r="G2" s="113"/>
      <c r="H2" s="113"/>
      <c r="I2" s="113"/>
      <c r="J2" s="113"/>
    </row>
    <row r="4" spans="2:10" s="35" customFormat="1" ht="15.75" x14ac:dyDescent="0.25">
      <c r="B4" s="6"/>
      <c r="C4" s="6" t="s">
        <v>46</v>
      </c>
      <c r="D4" s="6" t="s">
        <v>47</v>
      </c>
      <c r="E4" s="6" t="s">
        <v>16</v>
      </c>
      <c r="F4" s="6" t="s">
        <v>44</v>
      </c>
      <c r="G4" s="6" t="s">
        <v>44</v>
      </c>
      <c r="H4" s="6" t="s">
        <v>44</v>
      </c>
      <c r="I4" s="6" t="s">
        <v>44</v>
      </c>
      <c r="J4" s="6" t="s">
        <v>44</v>
      </c>
    </row>
    <row r="5" spans="2:10" s="35" customFormat="1" x14ac:dyDescent="0.25">
      <c r="B5" s="36" t="s">
        <v>41</v>
      </c>
      <c r="C5" s="36" t="s">
        <v>105</v>
      </c>
      <c r="D5" s="36" t="s">
        <v>48</v>
      </c>
      <c r="E5" s="34" t="s">
        <v>106</v>
      </c>
      <c r="F5" s="33">
        <v>1</v>
      </c>
      <c r="G5" s="33">
        <v>2</v>
      </c>
      <c r="H5" s="33">
        <v>3</v>
      </c>
      <c r="I5" s="33">
        <v>4</v>
      </c>
      <c r="J5" s="33">
        <v>5</v>
      </c>
    </row>
    <row r="6" spans="2:10" ht="18" customHeight="1" x14ac:dyDescent="0.25">
      <c r="B6" s="22" t="str">
        <f>'B.I. MEMORIAS DE CALCULO'!B6</f>
        <v>Renta de Castillo</v>
      </c>
      <c r="C6" s="54"/>
      <c r="D6" s="54"/>
      <c r="E6" s="26">
        <f t="shared" ref="E6:E9" si="0">D6*C6</f>
        <v>0</v>
      </c>
      <c r="F6" s="26">
        <f>'B.I. MEMORIAS DE CALCULO'!O26</f>
        <v>185600</v>
      </c>
      <c r="G6" s="26">
        <f>F6*1.01</f>
        <v>187456</v>
      </c>
      <c r="H6" s="26">
        <f t="shared" ref="H6:J6" si="1">G6*1.01</f>
        <v>189330.56</v>
      </c>
      <c r="I6" s="26">
        <f t="shared" si="1"/>
        <v>191223.86559999999</v>
      </c>
      <c r="J6" s="26">
        <f t="shared" si="1"/>
        <v>193136.10425599999</v>
      </c>
    </row>
    <row r="7" spans="2:10" ht="19.5" customHeight="1" x14ac:dyDescent="0.25">
      <c r="B7" s="22" t="str">
        <f>'B.I. MEMORIAS DE CALCULO'!B7</f>
        <v>Renta de Escaladora</v>
      </c>
      <c r="C7" s="54"/>
      <c r="D7" s="54"/>
      <c r="E7" s="26">
        <f t="shared" si="0"/>
        <v>0</v>
      </c>
      <c r="F7" s="26">
        <f>'B.I. MEMORIAS DE CALCULO'!O27</f>
        <v>139200</v>
      </c>
      <c r="G7" s="26">
        <f t="shared" ref="G7:J7" si="2">F7*1.01</f>
        <v>140592</v>
      </c>
      <c r="H7" s="26">
        <f t="shared" si="2"/>
        <v>141997.92000000001</v>
      </c>
      <c r="I7" s="26">
        <f t="shared" si="2"/>
        <v>143417.89920000001</v>
      </c>
      <c r="J7" s="26">
        <f t="shared" si="2"/>
        <v>144852.07819200002</v>
      </c>
    </row>
    <row r="8" spans="2:10" ht="18.75" customHeight="1" x14ac:dyDescent="0.25">
      <c r="B8" s="22" t="str">
        <f>'B.I. MEMORIAS DE CALCULO'!B8</f>
        <v>Renta de Toro mecanico</v>
      </c>
      <c r="C8" s="54"/>
      <c r="D8" s="54"/>
      <c r="E8" s="26">
        <f t="shared" si="0"/>
        <v>0</v>
      </c>
      <c r="F8" s="26">
        <f>'B.I. MEMORIAS DE CALCULO'!O28</f>
        <v>116000</v>
      </c>
      <c r="G8" s="26">
        <f t="shared" ref="G8:J8" si="3">F8*1.01</f>
        <v>117160</v>
      </c>
      <c r="H8" s="26">
        <f t="shared" si="3"/>
        <v>118331.6</v>
      </c>
      <c r="I8" s="26">
        <f t="shared" si="3"/>
        <v>119514.91600000001</v>
      </c>
      <c r="J8" s="26">
        <f t="shared" si="3"/>
        <v>120710.06516000001</v>
      </c>
    </row>
    <row r="9" spans="2:10" ht="18" customHeight="1" x14ac:dyDescent="0.25">
      <c r="B9" s="22" t="str">
        <f>'B.I. MEMORIAS DE CALCULO'!B9</f>
        <v>Renta de Rockola</v>
      </c>
      <c r="C9" s="54"/>
      <c r="D9" s="54"/>
      <c r="E9" s="26">
        <f t="shared" si="0"/>
        <v>0</v>
      </c>
      <c r="F9" s="26">
        <f>'B.I. MEMORIAS DE CALCULO'!O29</f>
        <v>348000</v>
      </c>
      <c r="G9" s="26">
        <f t="shared" ref="G9:J9" si="4">F9*1.01</f>
        <v>351480</v>
      </c>
      <c r="H9" s="26">
        <f t="shared" si="4"/>
        <v>354994.8</v>
      </c>
      <c r="I9" s="26">
        <f t="shared" si="4"/>
        <v>358544.74799999996</v>
      </c>
      <c r="J9" s="26">
        <f t="shared" si="4"/>
        <v>362130.19547999999</v>
      </c>
    </row>
    <row r="10" spans="2:10" x14ac:dyDescent="0.25">
      <c r="B10" s="22"/>
      <c r="C10" s="29"/>
      <c r="D10" s="29"/>
      <c r="E10" s="26"/>
      <c r="F10" s="28"/>
      <c r="G10" s="26"/>
      <c r="H10" s="28"/>
      <c r="I10" s="26"/>
      <c r="J10" s="28"/>
    </row>
    <row r="11" spans="2:10" x14ac:dyDescent="0.25">
      <c r="B11" s="9" t="s">
        <v>7</v>
      </c>
      <c r="C11" s="9"/>
      <c r="D11" s="9"/>
      <c r="E11" s="32">
        <f t="shared" ref="E11:J11" si="5">SUM(E6:E9)</f>
        <v>0</v>
      </c>
      <c r="F11" s="55">
        <f t="shared" si="5"/>
        <v>788800</v>
      </c>
      <c r="G11" s="55">
        <f t="shared" si="5"/>
        <v>796688</v>
      </c>
      <c r="H11" s="55">
        <f t="shared" si="5"/>
        <v>804654.87999999989</v>
      </c>
      <c r="I11" s="55">
        <f t="shared" si="5"/>
        <v>812701.42879999999</v>
      </c>
      <c r="J11" s="55">
        <f t="shared" si="5"/>
        <v>820828.44308799994</v>
      </c>
    </row>
  </sheetData>
  <mergeCells count="2">
    <mergeCell ref="B1:J1"/>
    <mergeCell ref="B2:J2"/>
  </mergeCells>
  <phoneticPr fontId="0" type="noConversion"/>
  <pageMargins left="0.7" right="0.7" top="0.75" bottom="0.75" header="0.3" footer="0.3"/>
  <pageSetup paperSize="9" scale="92" orientation="landscape"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28"/>
  <sheetViews>
    <sheetView showGridLines="0" topLeftCell="A8" workbookViewId="0">
      <selection activeCell="J16" sqref="J16"/>
    </sheetView>
  </sheetViews>
  <sheetFormatPr baseColWidth="10" defaultRowHeight="15" x14ac:dyDescent="0.25"/>
  <cols>
    <col min="1" max="1" width="2.42578125" customWidth="1"/>
    <col min="2" max="2" width="42" customWidth="1"/>
    <col min="3" max="6" width="15.42578125" customWidth="1"/>
    <col min="7" max="7" width="16.42578125" customWidth="1"/>
  </cols>
  <sheetData>
    <row r="1" spans="2:7" ht="21" x14ac:dyDescent="0.35">
      <c r="B1" s="112" t="str">
        <f>'C.I.I. PROYECCION DE INGRESOS'!B1:J1</f>
        <v>Renta de inflables</v>
      </c>
      <c r="C1" s="112"/>
      <c r="D1" s="112"/>
      <c r="E1" s="112"/>
      <c r="F1" s="112"/>
      <c r="G1" s="112"/>
    </row>
    <row r="2" spans="2:7" ht="21" x14ac:dyDescent="0.35">
      <c r="B2" s="113" t="str">
        <f>'DATOS '!D12</f>
        <v xml:space="preserve">      ESTADO DE RESULTADOS</v>
      </c>
      <c r="C2" s="113"/>
      <c r="D2" s="113"/>
      <c r="E2" s="113"/>
      <c r="F2" s="113"/>
      <c r="G2" s="113"/>
    </row>
    <row r="4" spans="2:7" ht="15.75" x14ac:dyDescent="0.25">
      <c r="B4" s="6" t="s">
        <v>1</v>
      </c>
      <c r="C4" s="6" t="s">
        <v>50</v>
      </c>
      <c r="D4" s="6" t="s">
        <v>51</v>
      </c>
      <c r="E4" s="6" t="s">
        <v>52</v>
      </c>
      <c r="F4" s="6" t="s">
        <v>53</v>
      </c>
      <c r="G4" s="6" t="s">
        <v>54</v>
      </c>
    </row>
    <row r="5" spans="2:7" ht="15.75" x14ac:dyDescent="0.25">
      <c r="B5" s="37" t="s">
        <v>63</v>
      </c>
      <c r="C5" s="26">
        <f>'C.I.I. PROYECCION DE INGRESOS'!F11</f>
        <v>788800</v>
      </c>
      <c r="D5" s="26">
        <f>'C.I.I. PROYECCION DE INGRESOS'!G11</f>
        <v>796688</v>
      </c>
      <c r="E5" s="26">
        <f>'C.I.I. PROYECCION DE INGRESOS'!H11</f>
        <v>804654.87999999989</v>
      </c>
      <c r="F5" s="26">
        <f>'C.I.I. PROYECCION DE INGRESOS'!I11</f>
        <v>812701.42879999999</v>
      </c>
      <c r="G5" s="26">
        <f>'C.I.I. PROYECCION DE INGRESOS'!J11</f>
        <v>820828.44308799994</v>
      </c>
    </row>
    <row r="6" spans="2:7" ht="15.75" x14ac:dyDescent="0.25">
      <c r="B6" s="37" t="s">
        <v>49</v>
      </c>
      <c r="C6" s="26">
        <f>'C.I.  COSTOS TOTALES'!C12</f>
        <v>227520</v>
      </c>
      <c r="D6" s="26">
        <f>'C.I.  COSTOS TOTALES'!D12</f>
        <v>238896</v>
      </c>
      <c r="E6" s="26">
        <f>'C.I.  COSTOS TOTALES'!E12</f>
        <v>250840.8</v>
      </c>
      <c r="F6" s="26">
        <f>'C.I.  COSTOS TOTALES'!F12</f>
        <v>263382.84000000003</v>
      </c>
      <c r="G6" s="26">
        <f>'C.I.  COSTOS TOTALES'!G12</f>
        <v>276551.98199999996</v>
      </c>
    </row>
    <row r="7" spans="2:7" ht="15.75" x14ac:dyDescent="0.25">
      <c r="B7" s="37" t="s">
        <v>55</v>
      </c>
      <c r="C7" s="26">
        <f>'C.I.  COSTOS TOTALES'!C20</f>
        <v>100800</v>
      </c>
      <c r="D7" s="26">
        <f>'C.I.  COSTOS TOTALES'!D20</f>
        <v>105840</v>
      </c>
      <c r="E7" s="26">
        <f>'C.I.  COSTOS TOTALES'!E20</f>
        <v>111132</v>
      </c>
      <c r="F7" s="26">
        <f>'C.I.  COSTOS TOTALES'!F20</f>
        <v>116688.6</v>
      </c>
      <c r="G7" s="26">
        <f>'C.I.  COSTOS TOTALES'!G20</f>
        <v>122523.03</v>
      </c>
    </row>
    <row r="8" spans="2:7" ht="16.5" thickBot="1" x14ac:dyDescent="0.3">
      <c r="B8" s="41" t="s">
        <v>59</v>
      </c>
      <c r="C8" s="39">
        <f>SUM(C6:C7)</f>
        <v>328320</v>
      </c>
      <c r="D8" s="39">
        <f t="shared" ref="D8:G8" si="0">SUM(D6:D7)</f>
        <v>344736</v>
      </c>
      <c r="E8" s="39">
        <f t="shared" si="0"/>
        <v>361972.8</v>
      </c>
      <c r="F8" s="39">
        <f t="shared" si="0"/>
        <v>380071.44000000006</v>
      </c>
      <c r="G8" s="39">
        <f t="shared" si="0"/>
        <v>399075.01199999999</v>
      </c>
    </row>
    <row r="9" spans="2:7" ht="15.75" x14ac:dyDescent="0.25">
      <c r="B9" s="40" t="s">
        <v>58</v>
      </c>
      <c r="C9" s="38">
        <f>C5-C8</f>
        <v>460480</v>
      </c>
      <c r="D9" s="38">
        <f t="shared" ref="D9:G9" si="1">D5-D8</f>
        <v>451952</v>
      </c>
      <c r="E9" s="38">
        <f t="shared" si="1"/>
        <v>442682.0799999999</v>
      </c>
      <c r="F9" s="38">
        <f t="shared" si="1"/>
        <v>432629.98879999993</v>
      </c>
      <c r="G9" s="38">
        <f t="shared" si="1"/>
        <v>421753.43108799995</v>
      </c>
    </row>
    <row r="10" spans="2:7" ht="16.5" thickBot="1" x14ac:dyDescent="0.3">
      <c r="B10" s="41" t="s">
        <v>60</v>
      </c>
      <c r="C10" s="39">
        <f>F28</f>
        <v>25170</v>
      </c>
      <c r="D10" s="39">
        <f>C10*1.05</f>
        <v>26428.5</v>
      </c>
      <c r="E10" s="39">
        <f t="shared" ref="E10:G10" si="2">D10*1.05</f>
        <v>27749.925000000003</v>
      </c>
      <c r="F10" s="39">
        <f t="shared" si="2"/>
        <v>29137.421250000003</v>
      </c>
      <c r="G10" s="39">
        <f t="shared" si="2"/>
        <v>30594.292312500005</v>
      </c>
    </row>
    <row r="11" spans="2:7" ht="15.75" x14ac:dyDescent="0.25">
      <c r="B11" s="40" t="s">
        <v>95</v>
      </c>
      <c r="C11" s="38">
        <f>C9-C10</f>
        <v>435310</v>
      </c>
      <c r="D11" s="38">
        <f>D9-D10</f>
        <v>425523.5</v>
      </c>
      <c r="E11" s="38">
        <f t="shared" ref="E11:F11" si="3">E9-E10</f>
        <v>414932.15499999991</v>
      </c>
      <c r="F11" s="38">
        <f t="shared" si="3"/>
        <v>403492.56754999992</v>
      </c>
      <c r="G11" s="38">
        <f>G9-G10</f>
        <v>391159.13877549995</v>
      </c>
    </row>
    <row r="12" spans="2:7" ht="16.5" thickBot="1" x14ac:dyDescent="0.3">
      <c r="B12" s="41" t="s">
        <v>61</v>
      </c>
      <c r="C12" s="39">
        <f>C11*30%</f>
        <v>130593</v>
      </c>
      <c r="D12" s="39">
        <f t="shared" ref="D12:G12" si="4">D11*30%</f>
        <v>127657.04999999999</v>
      </c>
      <c r="E12" s="39">
        <f t="shared" si="4"/>
        <v>124479.64649999997</v>
      </c>
      <c r="F12" s="39">
        <f t="shared" si="4"/>
        <v>121047.77026499997</v>
      </c>
      <c r="G12" s="39">
        <f t="shared" si="4"/>
        <v>117347.74163264998</v>
      </c>
    </row>
    <row r="13" spans="2:7" ht="15.75" x14ac:dyDescent="0.25">
      <c r="B13" s="40" t="s">
        <v>62</v>
      </c>
      <c r="C13" s="38">
        <f>C11-C12</f>
        <v>304717</v>
      </c>
      <c r="D13" s="38">
        <f t="shared" ref="D13:G13" si="5">D11-D12</f>
        <v>297866.45</v>
      </c>
      <c r="E13" s="38">
        <f t="shared" si="5"/>
        <v>290452.50849999994</v>
      </c>
      <c r="F13" s="38">
        <f t="shared" si="5"/>
        <v>282444.79728499998</v>
      </c>
      <c r="G13" s="38">
        <f t="shared" si="5"/>
        <v>273811.39714284998</v>
      </c>
    </row>
    <row r="16" spans="2:7" ht="15.75" x14ac:dyDescent="0.25">
      <c r="B16" s="114" t="s">
        <v>64</v>
      </c>
      <c r="C16" s="114"/>
      <c r="D16" s="114"/>
      <c r="E16" s="114"/>
      <c r="F16" s="114"/>
      <c r="G16" s="114"/>
    </row>
    <row r="17" spans="2:7" x14ac:dyDescent="0.25">
      <c r="B17" s="9" t="s">
        <v>8</v>
      </c>
      <c r="C17" s="36" t="s">
        <v>65</v>
      </c>
      <c r="D17" s="36" t="s">
        <v>66</v>
      </c>
      <c r="E17" s="34" t="s">
        <v>67</v>
      </c>
      <c r="F17" s="34" t="s">
        <v>68</v>
      </c>
      <c r="G17" s="34" t="s">
        <v>69</v>
      </c>
    </row>
    <row r="18" spans="2:7" x14ac:dyDescent="0.25">
      <c r="B18" s="22" t="str">
        <f>'A. PRESUPUESTO DE INVERSION'!B5</f>
        <v>Castillo de 4x6 m con punching bag</v>
      </c>
      <c r="C18" s="56">
        <f>'A. PRESUPUESTO DE INVERSION'!F5</f>
        <v>49900</v>
      </c>
      <c r="D18" s="58">
        <v>0.1</v>
      </c>
      <c r="E18" s="57">
        <v>5</v>
      </c>
      <c r="F18" s="26">
        <f>C18/E18</f>
        <v>9980</v>
      </c>
      <c r="G18" s="26">
        <f>C18-(F18*5)</f>
        <v>0</v>
      </c>
    </row>
    <row r="19" spans="2:7" x14ac:dyDescent="0.25">
      <c r="B19" s="22" t="str">
        <f>'A. PRESUPUESTO DE INVERSION'!B6</f>
        <v>Escaladora de 7 x 4 m con punching bag</v>
      </c>
      <c r="C19" s="56">
        <f>'A. PRESUPUESTO DE INVERSION'!F6</f>
        <v>21800</v>
      </c>
      <c r="D19" s="58">
        <v>0.1</v>
      </c>
      <c r="E19" s="57">
        <v>5</v>
      </c>
      <c r="F19" s="26">
        <f t="shared" ref="F19:F24" si="6">C19/E19</f>
        <v>4360</v>
      </c>
      <c r="G19" s="26">
        <f t="shared" ref="G19:G24" si="7">C19-(F19*5)</f>
        <v>0</v>
      </c>
    </row>
    <row r="20" spans="2:7" x14ac:dyDescent="0.25">
      <c r="B20" s="22" t="str">
        <f>'A. PRESUPUESTO DE INVERSION'!B7</f>
        <v>Toro mecanico con colchon de 5 x 5 m</v>
      </c>
      <c r="C20" s="56">
        <f>'A. PRESUPUESTO DE INVERSION'!F7</f>
        <v>56900</v>
      </c>
      <c r="D20" s="58">
        <v>0.1</v>
      </c>
      <c r="E20" s="57">
        <v>10</v>
      </c>
      <c r="F20" s="26">
        <f t="shared" si="6"/>
        <v>5690</v>
      </c>
      <c r="G20" s="26">
        <f t="shared" si="7"/>
        <v>28450</v>
      </c>
    </row>
    <row r="21" spans="2:7" x14ac:dyDescent="0.25">
      <c r="B21" s="22" t="str">
        <f>'A. PRESUPUESTO DE INVERSION'!B8</f>
        <v>Rockola con entrada USB 5 mil canciones</v>
      </c>
      <c r="C21" s="56">
        <f>'A. PRESUPUESTO DE INVERSION'!F8</f>
        <v>51400</v>
      </c>
      <c r="D21" s="58">
        <v>0.1</v>
      </c>
      <c r="E21" s="57">
        <v>10</v>
      </c>
      <c r="F21" s="26">
        <f t="shared" si="6"/>
        <v>5140</v>
      </c>
      <c r="G21" s="26">
        <f t="shared" si="7"/>
        <v>25700</v>
      </c>
    </row>
    <row r="22" spans="2:7" x14ac:dyDescent="0.25">
      <c r="B22" s="22"/>
      <c r="C22" s="56"/>
      <c r="D22" s="58">
        <v>0.1</v>
      </c>
      <c r="E22" s="57">
        <v>8</v>
      </c>
      <c r="F22" s="26">
        <f t="shared" si="6"/>
        <v>0</v>
      </c>
      <c r="G22" s="26">
        <f t="shared" si="7"/>
        <v>0</v>
      </c>
    </row>
    <row r="23" spans="2:7" x14ac:dyDescent="0.25">
      <c r="B23" s="22"/>
      <c r="C23" s="56"/>
      <c r="D23" s="58">
        <v>0.1</v>
      </c>
      <c r="E23" s="57">
        <v>8</v>
      </c>
      <c r="F23" s="26">
        <f t="shared" si="6"/>
        <v>0</v>
      </c>
      <c r="G23" s="26">
        <f t="shared" si="7"/>
        <v>0</v>
      </c>
    </row>
    <row r="24" spans="2:7" x14ac:dyDescent="0.25">
      <c r="B24" s="22"/>
      <c r="C24" s="56"/>
      <c r="D24" s="58">
        <v>0.1</v>
      </c>
      <c r="E24" s="57">
        <v>8</v>
      </c>
      <c r="F24" s="26">
        <f t="shared" si="6"/>
        <v>0</v>
      </c>
      <c r="G24" s="26">
        <f t="shared" si="7"/>
        <v>0</v>
      </c>
    </row>
    <row r="25" spans="2:7" x14ac:dyDescent="0.25">
      <c r="B25" s="22"/>
      <c r="C25" s="56"/>
      <c r="D25" s="58"/>
      <c r="E25" s="57"/>
      <c r="F25" s="26"/>
      <c r="G25" s="26"/>
    </row>
    <row r="26" spans="2:7" x14ac:dyDescent="0.25">
      <c r="B26" s="22"/>
      <c r="C26" s="24"/>
      <c r="D26" s="24"/>
      <c r="E26" s="25"/>
      <c r="F26" s="26"/>
      <c r="G26" s="26"/>
    </row>
    <row r="27" spans="2:7" x14ac:dyDescent="0.25">
      <c r="B27" s="27"/>
      <c r="C27" s="24"/>
      <c r="D27" s="24"/>
      <c r="E27" s="25"/>
      <c r="F27" s="26"/>
      <c r="G27" s="26"/>
    </row>
    <row r="28" spans="2:7" ht="15.75" x14ac:dyDescent="0.25">
      <c r="B28" s="40" t="s">
        <v>7</v>
      </c>
      <c r="C28" s="38">
        <f>SUM(C18:C27)</f>
        <v>180000</v>
      </c>
      <c r="D28" s="38"/>
      <c r="E28" s="38"/>
      <c r="F28" s="38">
        <f>SUM(F18:F27)</f>
        <v>25170</v>
      </c>
      <c r="G28" s="38">
        <f>SUM(G18:G27)</f>
        <v>54150</v>
      </c>
    </row>
  </sheetData>
  <mergeCells count="3">
    <mergeCell ref="B1:G1"/>
    <mergeCell ref="B2:G2"/>
    <mergeCell ref="B16:G16"/>
  </mergeCells>
  <phoneticPr fontId="0" type="noConversion"/>
  <pageMargins left="0.7" right="0.7" top="0.75" bottom="0.75" header="0.3" footer="0.3"/>
  <pageSetup paperSize="9" orientation="landscape" horizontalDpi="300" verticalDpi="30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16"/>
  <sheetViews>
    <sheetView showGridLines="0" workbookViewId="0">
      <selection activeCell="B2" sqref="B2"/>
    </sheetView>
  </sheetViews>
  <sheetFormatPr baseColWidth="10" defaultRowHeight="15" x14ac:dyDescent="0.25"/>
  <cols>
    <col min="1" max="1" width="1" customWidth="1"/>
    <col min="2" max="2" width="39.7109375" customWidth="1"/>
    <col min="3" max="8" width="15.42578125" customWidth="1"/>
  </cols>
  <sheetData>
    <row r="1" spans="2:8" ht="23.25" x14ac:dyDescent="0.35">
      <c r="B1" s="115" t="str">
        <f>'C. III.ESTADO DE RESULTADOS'!B1:G1</f>
        <v>Renta de inflables</v>
      </c>
      <c r="C1" s="115"/>
      <c r="D1" s="115"/>
      <c r="E1" s="115"/>
      <c r="F1" s="115"/>
      <c r="G1" s="115"/>
      <c r="H1" s="115"/>
    </row>
    <row r="2" spans="2:8" ht="23.25" x14ac:dyDescent="0.35">
      <c r="B2" s="21"/>
      <c r="C2" s="21"/>
      <c r="D2" s="21"/>
      <c r="E2" s="21"/>
      <c r="F2" s="21"/>
      <c r="G2" s="21"/>
      <c r="H2" s="21"/>
    </row>
    <row r="3" spans="2:8" ht="21" x14ac:dyDescent="0.35">
      <c r="B3" s="113" t="str">
        <f>'DATOS '!D13</f>
        <v xml:space="preserve">      FLUJO DE EFECTIVO</v>
      </c>
      <c r="C3" s="113"/>
      <c r="D3" s="113"/>
      <c r="E3" s="113"/>
      <c r="F3" s="113"/>
      <c r="G3" s="113"/>
      <c r="H3" s="113"/>
    </row>
    <row r="5" spans="2:8" ht="15.75" x14ac:dyDescent="0.25">
      <c r="B5" s="6" t="s">
        <v>73</v>
      </c>
      <c r="C5" s="6" t="s">
        <v>70</v>
      </c>
      <c r="D5" s="6" t="s">
        <v>50</v>
      </c>
      <c r="E5" s="6" t="s">
        <v>51</v>
      </c>
      <c r="F5" s="6" t="s">
        <v>52</v>
      </c>
      <c r="G5" s="6" t="s">
        <v>53</v>
      </c>
      <c r="H5" s="6" t="s">
        <v>54</v>
      </c>
    </row>
    <row r="6" spans="2:8" ht="15.75" x14ac:dyDescent="0.25">
      <c r="B6" s="37" t="s">
        <v>63</v>
      </c>
      <c r="C6" s="26">
        <v>0</v>
      </c>
      <c r="D6" s="26">
        <f>'C.I.I. PROYECCION DE INGRESOS'!F11</f>
        <v>788800</v>
      </c>
      <c r="E6" s="26">
        <f>'C.I.I. PROYECCION DE INGRESOS'!G11</f>
        <v>796688</v>
      </c>
      <c r="F6" s="26">
        <f>'C.I.I. PROYECCION DE INGRESOS'!H11</f>
        <v>804654.87999999989</v>
      </c>
      <c r="G6" s="26">
        <f>'C.I.I. PROYECCION DE INGRESOS'!I11</f>
        <v>812701.42879999999</v>
      </c>
      <c r="H6" s="26">
        <f>'C.I.I. PROYECCION DE INGRESOS'!J11</f>
        <v>820828.44308799994</v>
      </c>
    </row>
    <row r="7" spans="2:8" ht="16.5" thickBot="1" x14ac:dyDescent="0.3">
      <c r="B7" s="37" t="s">
        <v>76</v>
      </c>
      <c r="C7" s="39">
        <v>0</v>
      </c>
      <c r="D7" s="39">
        <v>0</v>
      </c>
      <c r="E7" s="39">
        <v>0</v>
      </c>
      <c r="F7" s="39">
        <v>0</v>
      </c>
      <c r="G7" s="39">
        <v>0</v>
      </c>
      <c r="H7" s="39">
        <f>'C. III.ESTADO DE RESULTADOS'!G28</f>
        <v>54150</v>
      </c>
    </row>
    <row r="8" spans="2:8" ht="16.5" thickBot="1" x14ac:dyDescent="0.3">
      <c r="B8" s="41" t="s">
        <v>77</v>
      </c>
      <c r="C8" s="38">
        <f>SUM(C6:C7)</f>
        <v>0</v>
      </c>
      <c r="D8" s="38">
        <f t="shared" ref="D8:H8" si="0">SUM(D6:D7)</f>
        <v>788800</v>
      </c>
      <c r="E8" s="38">
        <f t="shared" si="0"/>
        <v>796688</v>
      </c>
      <c r="F8" s="38">
        <f t="shared" si="0"/>
        <v>804654.87999999989</v>
      </c>
      <c r="G8" s="38">
        <f t="shared" si="0"/>
        <v>812701.42879999999</v>
      </c>
      <c r="H8" s="38">
        <f t="shared" si="0"/>
        <v>874978.44308799994</v>
      </c>
    </row>
    <row r="9" spans="2:8" ht="15.75" x14ac:dyDescent="0.25">
      <c r="B9" s="42" t="s">
        <v>49</v>
      </c>
      <c r="C9" s="26">
        <v>0</v>
      </c>
      <c r="D9" s="26">
        <f>'C.I.  COSTOS TOTALES'!C12</f>
        <v>227520</v>
      </c>
      <c r="E9" s="26">
        <f>'C.I.  COSTOS TOTALES'!D12</f>
        <v>238896</v>
      </c>
      <c r="F9" s="26">
        <f>'C.I.  COSTOS TOTALES'!E12</f>
        <v>250840.8</v>
      </c>
      <c r="G9" s="26">
        <f>'C.I.  COSTOS TOTALES'!F12</f>
        <v>263382.84000000003</v>
      </c>
      <c r="H9" s="26">
        <f>'C.I.  COSTOS TOTALES'!G12</f>
        <v>276551.98199999996</v>
      </c>
    </row>
    <row r="10" spans="2:8" ht="16.5" thickBot="1" x14ac:dyDescent="0.3">
      <c r="B10" s="42" t="s">
        <v>55</v>
      </c>
      <c r="C10" s="39">
        <v>0</v>
      </c>
      <c r="D10" s="39">
        <f>'C.I.  COSTOS TOTALES'!C20</f>
        <v>100800</v>
      </c>
      <c r="E10" s="39">
        <f>'C.I.  COSTOS TOTALES'!D20</f>
        <v>105840</v>
      </c>
      <c r="F10" s="39">
        <f>'C.I.  COSTOS TOTALES'!E20</f>
        <v>111132</v>
      </c>
      <c r="G10" s="39">
        <f>'C.I.  COSTOS TOTALES'!F20</f>
        <v>116688.6</v>
      </c>
      <c r="H10" s="39">
        <f>'C.I.  COSTOS TOTALES'!G20</f>
        <v>122523.03</v>
      </c>
    </row>
    <row r="11" spans="2:8" ht="15.75" x14ac:dyDescent="0.25">
      <c r="B11" s="40" t="s">
        <v>78</v>
      </c>
      <c r="C11" s="38">
        <f>SUM(C9:C10)</f>
        <v>0</v>
      </c>
      <c r="D11" s="38">
        <f t="shared" ref="D11:H11" si="1">SUM(D9:D10)</f>
        <v>328320</v>
      </c>
      <c r="E11" s="38">
        <f t="shared" si="1"/>
        <v>344736</v>
      </c>
      <c r="F11" s="38">
        <f t="shared" si="1"/>
        <v>361972.8</v>
      </c>
      <c r="G11" s="38">
        <f t="shared" si="1"/>
        <v>380071.44000000006</v>
      </c>
      <c r="H11" s="38">
        <f t="shared" si="1"/>
        <v>399075.01199999999</v>
      </c>
    </row>
    <row r="12" spans="2:8" ht="16.5" thickBot="1" x14ac:dyDescent="0.3">
      <c r="B12" s="41" t="s">
        <v>72</v>
      </c>
      <c r="C12" s="26">
        <f>SUM('A. PRESUPUESTO DE INVERSION'!F5:F9)</f>
        <v>180000</v>
      </c>
      <c r="D12" s="26">
        <v>0</v>
      </c>
      <c r="E12" s="26">
        <v>0</v>
      </c>
      <c r="F12" s="26">
        <v>0</v>
      </c>
      <c r="G12" s="26">
        <v>0</v>
      </c>
      <c r="H12" s="26">
        <v>0</v>
      </c>
    </row>
    <row r="13" spans="2:8" ht="15.75" x14ac:dyDescent="0.25">
      <c r="B13" s="40" t="s">
        <v>74</v>
      </c>
      <c r="C13" s="26">
        <f>SUM('A. PRESUPUESTO DE INVERSION'!F12)</f>
        <v>18000</v>
      </c>
      <c r="D13" s="26">
        <v>0</v>
      </c>
      <c r="E13" s="26">
        <v>0</v>
      </c>
      <c r="F13" s="26">
        <v>0</v>
      </c>
      <c r="G13" s="26">
        <v>0</v>
      </c>
      <c r="H13" s="26">
        <v>0</v>
      </c>
    </row>
    <row r="14" spans="2:8" ht="16.5" thickBot="1" x14ac:dyDescent="0.3">
      <c r="B14" s="41" t="s">
        <v>75</v>
      </c>
      <c r="C14" s="39">
        <f>SUM('A. PRESUPUESTO DE INVERSION'!F16)</f>
        <v>27360</v>
      </c>
      <c r="D14" s="39">
        <v>0</v>
      </c>
      <c r="E14" s="39">
        <v>0</v>
      </c>
      <c r="F14" s="39">
        <v>0</v>
      </c>
      <c r="G14" s="39">
        <v>0</v>
      </c>
      <c r="H14" s="39">
        <v>0</v>
      </c>
    </row>
    <row r="15" spans="2:8" ht="16.5" thickBot="1" x14ac:dyDescent="0.3">
      <c r="B15" s="40" t="s">
        <v>79</v>
      </c>
      <c r="C15" s="43">
        <f>C8-C11-C12-C13-C14</f>
        <v>-225360</v>
      </c>
      <c r="D15" s="43">
        <f t="shared" ref="D15:H15" si="2">D8-D11-D12-D13-D14</f>
        <v>460480</v>
      </c>
      <c r="E15" s="43">
        <f t="shared" si="2"/>
        <v>451952</v>
      </c>
      <c r="F15" s="43">
        <f t="shared" si="2"/>
        <v>442682.0799999999</v>
      </c>
      <c r="G15" s="43">
        <f t="shared" si="2"/>
        <v>432629.98879999993</v>
      </c>
      <c r="H15" s="43">
        <f t="shared" si="2"/>
        <v>475903.43108799995</v>
      </c>
    </row>
    <row r="16" spans="2:8" ht="15.75" thickTop="1" x14ac:dyDescent="0.25"/>
  </sheetData>
  <mergeCells count="2">
    <mergeCell ref="B1:H1"/>
    <mergeCell ref="B3:H3"/>
  </mergeCells>
  <phoneticPr fontId="0" type="noConversion"/>
  <pageMargins left="0.7" right="0.7" top="0.75" bottom="0.75" header="0.3" footer="0.3"/>
  <pageSetup paperSize="9" scale="92" orientation="landscape" horizontalDpi="300" verticalDpi="30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21"/>
  <sheetViews>
    <sheetView showGridLines="0" workbookViewId="0">
      <selection activeCell="C10" sqref="C10"/>
    </sheetView>
  </sheetViews>
  <sheetFormatPr baseColWidth="10" defaultRowHeight="15" x14ac:dyDescent="0.25"/>
  <cols>
    <col min="1" max="1" width="5.42578125" customWidth="1"/>
    <col min="2" max="2" width="31.42578125" customWidth="1"/>
    <col min="3" max="7" width="15.7109375" customWidth="1"/>
  </cols>
  <sheetData>
    <row r="1" spans="2:8" ht="21" x14ac:dyDescent="0.35">
      <c r="B1" s="112" t="str">
        <f>'C.IV FLUJO DE EFECTIVO'!B1:H1</f>
        <v>Renta de inflables</v>
      </c>
      <c r="C1" s="112"/>
      <c r="D1" s="112"/>
      <c r="E1" s="112"/>
      <c r="F1" s="112"/>
      <c r="G1" s="112"/>
      <c r="H1" s="112"/>
    </row>
    <row r="2" spans="2:8" ht="21" x14ac:dyDescent="0.35">
      <c r="B2" s="19"/>
      <c r="C2" s="19"/>
      <c r="D2" s="19"/>
      <c r="E2" s="19"/>
      <c r="F2" s="19"/>
      <c r="G2" s="19"/>
      <c r="H2" s="19"/>
    </row>
    <row r="3" spans="2:8" ht="21" x14ac:dyDescent="0.35">
      <c r="B3" s="113" t="str">
        <f>'DATOS '!D15</f>
        <v xml:space="preserve">      PUNTO DE EQUILIBRIO</v>
      </c>
      <c r="C3" s="113"/>
      <c r="D3" s="113"/>
      <c r="E3" s="113"/>
      <c r="F3" s="113"/>
      <c r="G3" s="113"/>
      <c r="H3" s="113"/>
    </row>
    <row r="5" spans="2:8" ht="15.75" x14ac:dyDescent="0.25">
      <c r="B5" s="6" t="s">
        <v>73</v>
      </c>
      <c r="C5" s="6" t="s">
        <v>50</v>
      </c>
      <c r="D5" s="6" t="s">
        <v>51</v>
      </c>
      <c r="E5" s="6" t="s">
        <v>52</v>
      </c>
      <c r="F5" s="6" t="s">
        <v>53</v>
      </c>
      <c r="G5" s="6" t="s">
        <v>54</v>
      </c>
    </row>
    <row r="6" spans="2:8" ht="15.75" x14ac:dyDescent="0.25">
      <c r="B6" s="37" t="s">
        <v>16</v>
      </c>
      <c r="C6" s="26">
        <f>'C.I.I. PROYECCION DE INGRESOS'!F11</f>
        <v>788800</v>
      </c>
      <c r="D6" s="26">
        <f>'C.I.I. PROYECCION DE INGRESOS'!G11</f>
        <v>796688</v>
      </c>
      <c r="E6" s="26">
        <f>'C.I.I. PROYECCION DE INGRESOS'!H11</f>
        <v>804654.87999999989</v>
      </c>
      <c r="F6" s="26">
        <f>'C.I.I. PROYECCION DE INGRESOS'!I11</f>
        <v>812701.42879999999</v>
      </c>
      <c r="G6" s="26">
        <f>'C.I.I. PROYECCION DE INGRESOS'!J11</f>
        <v>820828.44308799994</v>
      </c>
    </row>
    <row r="7" spans="2:8" ht="15.75" x14ac:dyDescent="0.25">
      <c r="B7" s="37" t="s">
        <v>49</v>
      </c>
      <c r="C7" s="26">
        <f>'C.I.  COSTOS TOTALES'!C12</f>
        <v>227520</v>
      </c>
      <c r="D7" s="26">
        <f>'C.I.  COSTOS TOTALES'!D12</f>
        <v>238896</v>
      </c>
      <c r="E7" s="26">
        <f>'C.I.  COSTOS TOTALES'!E12</f>
        <v>250840.8</v>
      </c>
      <c r="F7" s="26">
        <f>'C.I.  COSTOS TOTALES'!F12</f>
        <v>263382.84000000003</v>
      </c>
      <c r="G7" s="26">
        <f>'C.I.  COSTOS TOTALES'!G12</f>
        <v>276551.98199999996</v>
      </c>
    </row>
    <row r="8" spans="2:8" ht="16.5" thickBot="1" x14ac:dyDescent="0.3">
      <c r="B8" s="41" t="s">
        <v>55</v>
      </c>
      <c r="C8" s="26">
        <f>'C.I.  COSTOS TOTALES'!C20</f>
        <v>100800</v>
      </c>
      <c r="D8" s="26">
        <f>'C.I.  COSTOS TOTALES'!D20</f>
        <v>105840</v>
      </c>
      <c r="E8" s="26">
        <f>'C.I.  COSTOS TOTALES'!E20</f>
        <v>111132</v>
      </c>
      <c r="F8" s="26">
        <f>'C.I.  COSTOS TOTALES'!F20</f>
        <v>116688.6</v>
      </c>
      <c r="G8" s="26">
        <f>'C.I.  COSTOS TOTALES'!G20</f>
        <v>122523.03</v>
      </c>
    </row>
    <row r="9" spans="2:8" ht="16.5" thickBot="1" x14ac:dyDescent="0.3">
      <c r="B9" s="42" t="s">
        <v>57</v>
      </c>
      <c r="C9" s="26">
        <f>SUM(C7:C8)</f>
        <v>328320</v>
      </c>
      <c r="D9" s="26">
        <f t="shared" ref="D9:G9" si="0">SUM(D7:D8)</f>
        <v>344736</v>
      </c>
      <c r="E9" s="26">
        <f t="shared" si="0"/>
        <v>361972.8</v>
      </c>
      <c r="F9" s="26">
        <f t="shared" si="0"/>
        <v>380071.44000000006</v>
      </c>
      <c r="G9" s="26">
        <f t="shared" si="0"/>
        <v>399075.01199999999</v>
      </c>
    </row>
    <row r="10" spans="2:8" ht="15.75" x14ac:dyDescent="0.25">
      <c r="B10" s="42" t="s">
        <v>80</v>
      </c>
      <c r="C10" s="59">
        <f>(C7/(1-C8/C6))</f>
        <v>260854.32558139536</v>
      </c>
      <c r="D10" s="59">
        <f t="shared" ref="D10:G10" si="1">(D7/(1-D8/D6))</f>
        <v>275495.58867942006</v>
      </c>
      <c r="E10" s="59">
        <f t="shared" si="1"/>
        <v>291036.21472892718</v>
      </c>
      <c r="F10" s="59">
        <f t="shared" si="1"/>
        <v>307539.74859694688</v>
      </c>
      <c r="G10" s="59">
        <f t="shared" si="1"/>
        <v>325075.14414663997</v>
      </c>
    </row>
    <row r="11" spans="2:8" ht="15.75" x14ac:dyDescent="0.25">
      <c r="B11" s="40" t="s">
        <v>81</v>
      </c>
      <c r="C11" s="60">
        <f>C10/C6</f>
        <v>0.33069767441860465</v>
      </c>
      <c r="D11" s="60">
        <f t="shared" ref="D11:G11" si="2">D10/D6</f>
        <v>0.345801102413266</v>
      </c>
      <c r="E11" s="60">
        <f t="shared" si="2"/>
        <v>0.36169073470222068</v>
      </c>
      <c r="F11" s="60">
        <f t="shared" si="2"/>
        <v>0.37841664564444888</v>
      </c>
      <c r="G11" s="60">
        <f t="shared" si="2"/>
        <v>0.39603299189254471</v>
      </c>
    </row>
    <row r="17" spans="2:4" x14ac:dyDescent="0.25">
      <c r="B17" t="s">
        <v>82</v>
      </c>
    </row>
    <row r="18" spans="2:4" x14ac:dyDescent="0.25">
      <c r="B18" s="116" t="s">
        <v>109</v>
      </c>
      <c r="C18" s="116"/>
      <c r="D18" s="116"/>
    </row>
    <row r="19" spans="2:4" x14ac:dyDescent="0.25">
      <c r="B19" s="116"/>
      <c r="C19" s="116"/>
      <c r="D19" s="116"/>
    </row>
    <row r="20" spans="2:4" x14ac:dyDescent="0.25">
      <c r="B20" s="116"/>
      <c r="C20" s="116"/>
      <c r="D20" s="116"/>
    </row>
    <row r="21" spans="2:4" x14ac:dyDescent="0.25">
      <c r="B21" s="116"/>
      <c r="C21" s="116"/>
      <c r="D21" s="116"/>
    </row>
  </sheetData>
  <mergeCells count="3">
    <mergeCell ref="B1:H1"/>
    <mergeCell ref="B3:H3"/>
    <mergeCell ref="B18:D21"/>
  </mergeCells>
  <phoneticPr fontId="0" type="noConversion"/>
  <pageMargins left="0.7" right="0.7" top="0.75" bottom="0.75" header="0.3" footer="0.3"/>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DATOS </vt:lpstr>
      <vt:lpstr>A. PRESUPUESTO DE INVERSION</vt:lpstr>
      <vt:lpstr>B.I. MEMORIAS DE CALCULO</vt:lpstr>
      <vt:lpstr>B. II.  PROYECCION DE COSTOS</vt:lpstr>
      <vt:lpstr>C.I.  COSTOS TOTALES</vt:lpstr>
      <vt:lpstr>C.I.I. PROYECCION DE INGRESOS</vt:lpstr>
      <vt:lpstr>C. III.ESTADO DE RESULTADOS</vt:lpstr>
      <vt:lpstr>C.IV FLUJO DE EFECTIVO</vt:lpstr>
      <vt:lpstr>D.I. PUNTO DE EQUILIBRIO</vt:lpstr>
      <vt:lpstr>D. II ANALISIS DE RENTABILIDAD</vt:lpstr>
      <vt:lpstr>D.III ECA</vt:lpstr>
      <vt:lpstr>formulacion</vt:lpstr>
    </vt:vector>
  </TitlesOfParts>
  <Company>Agroproyectos 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FINANZAS 2012</dc:title>
  <dc:subject>ANEXO B PARTE FINANCIERA</dc:subject>
  <dc:creator>www.agroproyectos.org</dc:creator>
  <cp:keywords>FINANZAS</cp:keywords>
  <dc:description>PLANTILLA PARA ELABORAR CORRIDA FINANCIERA CON BASE A LAS REGLAS DE OPERACION 2012 DE LA SECRETARIA DE LA REFORMA AGRARIA.</dc:description>
  <cp:lastModifiedBy>Luis Mateo P.</cp:lastModifiedBy>
  <cp:lastPrinted>2011-08-04T16:28:36Z</cp:lastPrinted>
  <dcterms:created xsi:type="dcterms:W3CDTF">2010-06-24T03:15:13Z</dcterms:created>
  <dcterms:modified xsi:type="dcterms:W3CDTF">2017-01-19T03:08:45Z</dcterms:modified>
  <cp:category>ELABORACION DE PROYECTOS PRODUCTIVOS</cp:category>
</cp:coreProperties>
</file>