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wael\iCloudDrive\Teaching\CERBO\Finanzielle Führung\2017\"/>
    </mc:Choice>
  </mc:AlternateContent>
  <bookViews>
    <workbookView xWindow="1110" yWindow="240" windowWidth="20660" windowHeight="12680" tabRatio="670" activeTab="4"/>
  </bookViews>
  <sheets>
    <sheet name="BILANZ (CHF)" sheetId="2" r:id="rId1"/>
    <sheet name="BILANZ (normiert)" sheetId="5" r:id="rId2"/>
    <sheet name="Erfolgsrechnung (CHF)" sheetId="1" r:id="rId3"/>
    <sheet name="Erfolgsrechnung (normiert)" sheetId="6" r:id="rId4"/>
    <sheet name="Ratios" sheetId="4" r:id="rId5"/>
    <sheet name="Cashflow Rechnung" sheetId="7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"1DGS3VL6421SN279PMV2WPBH"</definedName>
    <definedName name="_xlnm.Print_Area" localSheetId="0">'BILANZ (CHF)'!$B$2:$F$36</definedName>
    <definedName name="_xlnm.Print_Area" localSheetId="1">'BILANZ (normiert)'!$B$2:$F$63</definedName>
    <definedName name="_xlnm.Print_Area" localSheetId="2">'Erfolgsrechnung (CHF)'!$B$3:$F$29</definedName>
    <definedName name="_xlnm.Print_Area" localSheetId="3">'Erfolgsrechnung (normiert)'!$B$4:$F$20</definedName>
    <definedName name="_xlnm.Print_Area" localSheetId="4">Ratios!$B:$F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7" l="1"/>
  <c r="D11" i="7" s="1"/>
  <c r="E7" i="7"/>
  <c r="E11" i="7" s="1"/>
  <c r="E13" i="1"/>
  <c r="E14" i="1" s="1"/>
  <c r="E27" i="1" s="1"/>
  <c r="D14" i="2"/>
  <c r="D10" i="2"/>
  <c r="D15" i="2"/>
  <c r="D23" i="2"/>
  <c r="D26" i="2" s="1"/>
  <c r="E126" i="4"/>
  <c r="F13" i="1"/>
  <c r="F14" i="1" s="1"/>
  <c r="E14" i="2"/>
  <c r="E15" i="2" s="1"/>
  <c r="E10" i="2"/>
  <c r="E23" i="2"/>
  <c r="E26" i="2"/>
  <c r="F126" i="4"/>
  <c r="D126" i="4"/>
  <c r="D13" i="1"/>
  <c r="D14" i="1"/>
  <c r="D17" i="1" s="1"/>
  <c r="C14" i="2"/>
  <c r="C10" i="2"/>
  <c r="C23" i="2"/>
  <c r="C26" i="2"/>
  <c r="E49" i="2"/>
  <c r="E50" i="2"/>
  <c r="E51" i="2"/>
  <c r="E52" i="2"/>
  <c r="E53" i="2"/>
  <c r="D49" i="2"/>
  <c r="D50" i="2"/>
  <c r="D51" i="2"/>
  <c r="D52" i="2"/>
  <c r="D53" i="2" s="1"/>
  <c r="D54" i="2" s="1"/>
  <c r="D9" i="7" s="1"/>
  <c r="F49" i="2"/>
  <c r="F50" i="2"/>
  <c r="F51" i="2"/>
  <c r="F52" i="2"/>
  <c r="F53" i="2"/>
  <c r="F54" i="2" s="1"/>
  <c r="F9" i="7" s="1"/>
  <c r="C49" i="2"/>
  <c r="C50" i="2"/>
  <c r="C53" i="2" s="1"/>
  <c r="C51" i="2"/>
  <c r="C52" i="2"/>
  <c r="E40" i="2"/>
  <c r="E41" i="2"/>
  <c r="E42" i="2"/>
  <c r="E43" i="2"/>
  <c r="D40" i="2"/>
  <c r="D41" i="2"/>
  <c r="D44" i="2" s="1"/>
  <c r="D42" i="2"/>
  <c r="D43" i="2"/>
  <c r="F40" i="2"/>
  <c r="F41" i="2"/>
  <c r="F44" i="2" s="1"/>
  <c r="F42" i="2"/>
  <c r="F43" i="2"/>
  <c r="C40" i="2"/>
  <c r="C41" i="2"/>
  <c r="C42" i="2"/>
  <c r="C43" i="2"/>
  <c r="C44" i="2" s="1"/>
  <c r="E5" i="7"/>
  <c r="E13" i="7"/>
  <c r="E14" i="7"/>
  <c r="E17" i="7"/>
  <c r="F5" i="7"/>
  <c r="F13" i="7" s="1"/>
  <c r="F7" i="7"/>
  <c r="F11" i="7"/>
  <c r="F14" i="7"/>
  <c r="F14" i="2"/>
  <c r="F10" i="2"/>
  <c r="F15" i="2"/>
  <c r="F23" i="2"/>
  <c r="F26" i="2" s="1"/>
  <c r="F17" i="7"/>
  <c r="D5" i="7"/>
  <c r="D13" i="7" s="1"/>
  <c r="D14" i="7"/>
  <c r="D17" i="7"/>
  <c r="F17" i="4"/>
  <c r="C108" i="4"/>
  <c r="C110" i="4"/>
  <c r="C13" i="1"/>
  <c r="C14" i="1" s="1"/>
  <c r="C68" i="4" s="1"/>
  <c r="E19" i="4"/>
  <c r="F19" i="4"/>
  <c r="D19" i="4"/>
  <c r="D27" i="4" s="1"/>
  <c r="E83" i="4"/>
  <c r="F83" i="4"/>
  <c r="D83" i="4"/>
  <c r="C83" i="4"/>
  <c r="E18" i="4"/>
  <c r="E26" i="4" s="1"/>
  <c r="F18" i="4"/>
  <c r="D18" i="4"/>
  <c r="E17" i="4"/>
  <c r="E25" i="4" s="1"/>
  <c r="E28" i="4" s="1"/>
  <c r="D17" i="4"/>
  <c r="D25" i="4" s="1"/>
  <c r="D28" i="4" s="1"/>
  <c r="F17" i="6"/>
  <c r="E17" i="6"/>
  <c r="D17" i="6"/>
  <c r="C17" i="6"/>
  <c r="F16" i="6"/>
  <c r="E16" i="6"/>
  <c r="D16" i="6"/>
  <c r="C16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D14" i="6" s="1"/>
  <c r="D15" i="6" s="1"/>
  <c r="C10" i="6"/>
  <c r="C14" i="6" s="1"/>
  <c r="D8" i="6"/>
  <c r="E8" i="6"/>
  <c r="F8" i="6"/>
  <c r="F15" i="6" s="1"/>
  <c r="F18" i="6" s="1"/>
  <c r="C8" i="6"/>
  <c r="C15" i="6" s="1"/>
  <c r="F14" i="6"/>
  <c r="E14" i="6"/>
  <c r="E15" i="6" s="1"/>
  <c r="E18" i="6" s="1"/>
  <c r="F60" i="5"/>
  <c r="E60" i="5"/>
  <c r="D60" i="5"/>
  <c r="C60" i="5"/>
  <c r="F57" i="5"/>
  <c r="E57" i="5"/>
  <c r="D57" i="5"/>
  <c r="C57" i="5"/>
  <c r="F56" i="5"/>
  <c r="E56" i="5"/>
  <c r="D56" i="5"/>
  <c r="C56" i="5"/>
  <c r="C54" i="5"/>
  <c r="D54" i="5"/>
  <c r="E54" i="5"/>
  <c r="F54" i="5"/>
  <c r="F53" i="5"/>
  <c r="E53" i="5"/>
  <c r="D53" i="5"/>
  <c r="C53" i="5"/>
  <c r="F52" i="5"/>
  <c r="E52" i="5"/>
  <c r="D52" i="5"/>
  <c r="C52" i="5"/>
  <c r="F51" i="5"/>
  <c r="E51" i="5"/>
  <c r="D51" i="5"/>
  <c r="D55" i="5" s="1"/>
  <c r="D58" i="5" s="1"/>
  <c r="C51" i="5"/>
  <c r="C55" i="5" s="1"/>
  <c r="C58" i="5" s="1"/>
  <c r="F45" i="5"/>
  <c r="E45" i="5"/>
  <c r="D45" i="5"/>
  <c r="C45" i="5"/>
  <c r="F44" i="5"/>
  <c r="E44" i="5"/>
  <c r="D44" i="5"/>
  <c r="D46" i="5" s="1"/>
  <c r="D47" i="5" s="1"/>
  <c r="C44" i="5"/>
  <c r="F43" i="5"/>
  <c r="F46" i="5"/>
  <c r="E43" i="5"/>
  <c r="E46" i="5" s="1"/>
  <c r="D43" i="5"/>
  <c r="C43" i="5"/>
  <c r="C46" i="5" s="1"/>
  <c r="C39" i="5"/>
  <c r="D39" i="5"/>
  <c r="E39" i="5"/>
  <c r="E42" i="5" s="1"/>
  <c r="C40" i="5"/>
  <c r="D40" i="5"/>
  <c r="E40" i="5"/>
  <c r="F40" i="5"/>
  <c r="C41" i="5"/>
  <c r="D41" i="5"/>
  <c r="E41" i="5"/>
  <c r="F41" i="5"/>
  <c r="F38" i="5"/>
  <c r="E38" i="5"/>
  <c r="D38" i="5"/>
  <c r="C38" i="5"/>
  <c r="C42" i="5" s="1"/>
  <c r="F39" i="5"/>
  <c r="D42" i="5"/>
  <c r="F55" i="5"/>
  <c r="F58" i="5" s="1"/>
  <c r="E55" i="5"/>
  <c r="E58" i="5" s="1"/>
  <c r="D26" i="4"/>
  <c r="E27" i="4"/>
  <c r="F25" i="4"/>
  <c r="F27" i="4"/>
  <c r="F26" i="4"/>
  <c r="D81" i="4"/>
  <c r="E81" i="4"/>
  <c r="F81" i="4"/>
  <c r="C80" i="4"/>
  <c r="D80" i="4"/>
  <c r="E80" i="4"/>
  <c r="F80" i="4"/>
  <c r="F71" i="4"/>
  <c r="D9" i="4"/>
  <c r="D8" i="4"/>
  <c r="E9" i="4"/>
  <c r="E8" i="4"/>
  <c r="F9" i="4"/>
  <c r="F8" i="4"/>
  <c r="C9" i="4"/>
  <c r="C8" i="4"/>
  <c r="D7" i="4"/>
  <c r="E7" i="4"/>
  <c r="F7" i="4"/>
  <c r="E26" i="1"/>
  <c r="F28" i="4"/>
  <c r="D28" i="5"/>
  <c r="D13" i="5"/>
  <c r="D8" i="5"/>
  <c r="D25" i="5"/>
  <c r="D22" i="5"/>
  <c r="D21" i="5"/>
  <c r="D12" i="5"/>
  <c r="D71" i="4"/>
  <c r="E21" i="5"/>
  <c r="E24" i="5"/>
  <c r="E12" i="5"/>
  <c r="E20" i="5"/>
  <c r="E25" i="5"/>
  <c r="E8" i="5"/>
  <c r="E28" i="5"/>
  <c r="E19" i="5"/>
  <c r="F21" i="5"/>
  <c r="F24" i="5"/>
  <c r="F12" i="5"/>
  <c r="F20" i="5"/>
  <c r="F25" i="5"/>
  <c r="F8" i="5"/>
  <c r="D18" i="6" l="1"/>
  <c r="D84" i="4"/>
  <c r="E121" i="4"/>
  <c r="D18" i="1"/>
  <c r="D19" i="6" s="1"/>
  <c r="D19" i="1"/>
  <c r="D45" i="2"/>
  <c r="D8" i="7" s="1"/>
  <c r="E44" i="2"/>
  <c r="E45" i="2" s="1"/>
  <c r="E8" i="7" s="1"/>
  <c r="E54" i="2"/>
  <c r="E9" i="7" s="1"/>
  <c r="C15" i="2"/>
  <c r="C7" i="4"/>
  <c r="F84" i="4"/>
  <c r="E47" i="5"/>
  <c r="E84" i="4"/>
  <c r="F28" i="5"/>
  <c r="F7" i="5"/>
  <c r="F6" i="5"/>
  <c r="F11" i="5"/>
  <c r="F29" i="2"/>
  <c r="F19" i="5"/>
  <c r="F9" i="5"/>
  <c r="F22" i="5"/>
  <c r="F13" i="5"/>
  <c r="E29" i="2"/>
  <c r="E7" i="5"/>
  <c r="E6" i="5"/>
  <c r="E10" i="5" s="1"/>
  <c r="E11" i="5"/>
  <c r="F21" i="4"/>
  <c r="F95" i="4" s="1"/>
  <c r="E9" i="5"/>
  <c r="E22" i="5"/>
  <c r="E23" i="5" s="1"/>
  <c r="E26" i="5" s="1"/>
  <c r="E13" i="5"/>
  <c r="C26" i="1"/>
  <c r="C17" i="1"/>
  <c r="C71" i="4"/>
  <c r="C27" i="1"/>
  <c r="E72" i="4"/>
  <c r="E69" i="4"/>
  <c r="F42" i="5"/>
  <c r="F47" i="5" s="1"/>
  <c r="C47" i="5"/>
  <c r="C84" i="4"/>
  <c r="C18" i="6"/>
  <c r="D27" i="1"/>
  <c r="D68" i="4"/>
  <c r="D26" i="1"/>
  <c r="F17" i="1"/>
  <c r="F27" i="1"/>
  <c r="F68" i="4"/>
  <c r="F26" i="1"/>
  <c r="E21" i="4"/>
  <c r="E95" i="4" s="1"/>
  <c r="D11" i="5"/>
  <c r="D14" i="5" s="1"/>
  <c r="D20" i="5"/>
  <c r="D7" i="5"/>
  <c r="D29" i="2"/>
  <c r="D6" i="5"/>
  <c r="D9" i="5"/>
  <c r="D19" i="5"/>
  <c r="D23" i="5" s="1"/>
  <c r="D26" i="5" s="1"/>
  <c r="D24" i="5"/>
  <c r="E17" i="1"/>
  <c r="E71" i="4"/>
  <c r="E68" i="4"/>
  <c r="F69" i="4" l="1"/>
  <c r="F72" i="4"/>
  <c r="E18" i="1"/>
  <c r="E19" i="6" s="1"/>
  <c r="E20" i="6" s="1"/>
  <c r="E85" i="4" s="1"/>
  <c r="E94" i="4" s="1"/>
  <c r="D10" i="5"/>
  <c r="D15" i="5"/>
  <c r="D69" i="4"/>
  <c r="D72" i="4"/>
  <c r="C18" i="1"/>
  <c r="C19" i="6" s="1"/>
  <c r="C19" i="1"/>
  <c r="F10" i="5"/>
  <c r="D21" i="4"/>
  <c r="D95" i="4" s="1"/>
  <c r="C12" i="5"/>
  <c r="C11" i="5"/>
  <c r="C14" i="5" s="1"/>
  <c r="C19" i="5"/>
  <c r="C25" i="5"/>
  <c r="C28" i="5"/>
  <c r="C8" i="5"/>
  <c r="C7" i="5"/>
  <c r="C22" i="5"/>
  <c r="C21" i="5"/>
  <c r="C20" i="5"/>
  <c r="C29" i="2"/>
  <c r="C6" i="5"/>
  <c r="C13" i="5"/>
  <c r="C24" i="5"/>
  <c r="C9" i="5"/>
  <c r="F18" i="1"/>
  <c r="F19" i="6" s="1"/>
  <c r="F20" i="6" s="1"/>
  <c r="F85" i="4" s="1"/>
  <c r="F94" i="4" s="1"/>
  <c r="F19" i="1"/>
  <c r="D121" i="4"/>
  <c r="E14" i="5"/>
  <c r="E15" i="5" s="1"/>
  <c r="F29" i="5"/>
  <c r="F30" i="5" s="1"/>
  <c r="F31" i="5" s="1"/>
  <c r="F61" i="5"/>
  <c r="F62" i="5" s="1"/>
  <c r="F63" i="5" s="1"/>
  <c r="F30" i="2"/>
  <c r="D4" i="7"/>
  <c r="D99" i="4"/>
  <c r="C20" i="6"/>
  <c r="C85" i="4" s="1"/>
  <c r="F14" i="5"/>
  <c r="F15" i="5" s="1"/>
  <c r="D61" i="5"/>
  <c r="D62" i="5" s="1"/>
  <c r="D63" i="5" s="1"/>
  <c r="D29" i="5"/>
  <c r="D30" i="5" s="1"/>
  <c r="D31" i="5" s="1"/>
  <c r="D30" i="2"/>
  <c r="F121" i="4"/>
  <c r="C69" i="4"/>
  <c r="C72" i="4"/>
  <c r="E30" i="2"/>
  <c r="E29" i="5"/>
  <c r="E30" i="5" s="1"/>
  <c r="E31" i="5" s="1"/>
  <c r="E61" i="5"/>
  <c r="E62" i="5" s="1"/>
  <c r="E63" i="5" s="1"/>
  <c r="F28" i="1"/>
  <c r="F108" i="4" s="1"/>
  <c r="F23" i="5"/>
  <c r="F26" i="5" s="1"/>
  <c r="F45" i="2"/>
  <c r="F8" i="7" s="1"/>
  <c r="D20" i="6"/>
  <c r="D85" i="4" s="1"/>
  <c r="D94" i="4" s="1"/>
  <c r="F112" i="4" l="1"/>
  <c r="F110" i="4"/>
  <c r="F113" i="4" s="1"/>
  <c r="C112" i="4"/>
  <c r="C113" i="4"/>
  <c r="D16" i="7"/>
  <c r="D6" i="7"/>
  <c r="D10" i="7" s="1"/>
  <c r="D12" i="7" s="1"/>
  <c r="D15" i="7" s="1"/>
  <c r="D18" i="7" s="1"/>
  <c r="C10" i="5"/>
  <c r="C15" i="5" s="1"/>
  <c r="E120" i="4"/>
  <c r="D31" i="2"/>
  <c r="D62" i="4"/>
  <c r="D65" i="4" s="1"/>
  <c r="D35" i="4"/>
  <c r="D36" i="4"/>
  <c r="F87" i="4"/>
  <c r="F99" i="4"/>
  <c r="F4" i="7"/>
  <c r="E36" i="4"/>
  <c r="F120" i="4"/>
  <c r="E31" i="2"/>
  <c r="F91" i="4" s="1"/>
  <c r="E35" i="4"/>
  <c r="E62" i="4"/>
  <c r="E65" i="4" s="1"/>
  <c r="F129" i="4"/>
  <c r="F122" i="4"/>
  <c r="F128" i="4" s="1"/>
  <c r="F31" i="2"/>
  <c r="F61" i="4" s="1"/>
  <c r="F64" i="4" s="1"/>
  <c r="F36" i="4"/>
  <c r="F62" i="4"/>
  <c r="F65" i="4" s="1"/>
  <c r="F35" i="4"/>
  <c r="C30" i="2"/>
  <c r="C61" i="5"/>
  <c r="C62" i="5" s="1"/>
  <c r="C63" i="5" s="1"/>
  <c r="C29" i="5"/>
  <c r="C30" i="5" s="1"/>
  <c r="C31" i="5" s="1"/>
  <c r="D28" i="1"/>
  <c r="D108" i="4" s="1"/>
  <c r="C23" i="5"/>
  <c r="C26" i="5" s="1"/>
  <c r="E19" i="1"/>
  <c r="E4" i="7" l="1"/>
  <c r="E99" i="4"/>
  <c r="E91" i="4"/>
  <c r="E87" i="4"/>
  <c r="E28" i="1"/>
  <c r="E108" i="4" s="1"/>
  <c r="F96" i="4"/>
  <c r="F97" i="4" s="1"/>
  <c r="E129" i="4"/>
  <c r="E122" i="4"/>
  <c r="E128" i="4" s="1"/>
  <c r="D112" i="4"/>
  <c r="D110" i="4"/>
  <c r="D113" i="4" s="1"/>
  <c r="F90" i="4"/>
  <c r="E61" i="4"/>
  <c r="E64" i="4" s="1"/>
  <c r="F89" i="4"/>
  <c r="D61" i="4"/>
  <c r="D64" i="4" s="1"/>
  <c r="E89" i="4"/>
  <c r="E90" i="4"/>
  <c r="C31" i="2"/>
  <c r="D120" i="4"/>
  <c r="C62" i="4"/>
  <c r="C65" i="4" s="1"/>
  <c r="C36" i="4"/>
  <c r="C35" i="4"/>
  <c r="D96" i="4"/>
  <c r="D97" i="4" s="1"/>
  <c r="D87" i="4"/>
  <c r="F6" i="7"/>
  <c r="F10" i="7" s="1"/>
  <c r="F12" i="7" s="1"/>
  <c r="F15" i="7" s="1"/>
  <c r="F18" i="7" s="1"/>
  <c r="F16" i="7"/>
  <c r="E96" i="4"/>
  <c r="E97" i="4" s="1"/>
  <c r="D122" i="4" l="1"/>
  <c r="D128" i="4" s="1"/>
  <c r="D129" i="4"/>
  <c r="C61" i="4"/>
  <c r="C64" i="4" s="1"/>
  <c r="D90" i="4"/>
  <c r="D89" i="4"/>
  <c r="D91" i="4"/>
  <c r="E112" i="4"/>
  <c r="E110" i="4"/>
  <c r="E113" i="4" s="1"/>
  <c r="E16" i="7"/>
  <c r="E6" i="7"/>
  <c r="E10" i="7" s="1"/>
  <c r="E12" i="7" s="1"/>
  <c r="E15" i="7" s="1"/>
  <c r="E18" i="7" s="1"/>
</calcChain>
</file>

<file path=xl/sharedStrings.xml><?xml version="1.0" encoding="utf-8"?>
<sst xmlns="http://schemas.openxmlformats.org/spreadsheetml/2006/main" count="389" uniqueCount="142">
  <si>
    <t/>
  </si>
  <si>
    <t>Goodwill</t>
  </si>
  <si>
    <t>Cash Ratio</t>
  </si>
  <si>
    <t>Quick Ratio</t>
  </si>
  <si>
    <t>Current Ratio</t>
  </si>
  <si>
    <t xml:space="preserve"> </t>
  </si>
  <si>
    <t>ROE</t>
  </si>
  <si>
    <t>Return Spread</t>
  </si>
  <si>
    <t>EVA</t>
  </si>
  <si>
    <t>EBITDA</t>
  </si>
  <si>
    <t>Value Creation</t>
  </si>
  <si>
    <t>Cash Conversion Cycle</t>
  </si>
  <si>
    <t>Firm X</t>
  </si>
  <si>
    <t>Flüssige Mittel</t>
  </si>
  <si>
    <t>Forderungen aus Lieferungen und Leistungen</t>
  </si>
  <si>
    <t>Lager</t>
  </si>
  <si>
    <t>Aktive Rechnungsabgrenzungen</t>
  </si>
  <si>
    <t>Total Umlaufvermögen</t>
  </si>
  <si>
    <t>Sachanlagen</t>
  </si>
  <si>
    <t>Andere immaterielle Vermögensgegenstände</t>
  </si>
  <si>
    <t>Total Aktiven</t>
  </si>
  <si>
    <t>Jahr -3</t>
  </si>
  <si>
    <t>Jahr -2</t>
  </si>
  <si>
    <t>Jahr -1</t>
  </si>
  <si>
    <t>Jahr 0</t>
  </si>
  <si>
    <t>(CHF 1'000)</t>
  </si>
  <si>
    <t>Passiven</t>
  </si>
  <si>
    <t>Verbindlichkeiten aus L &amp; L</t>
  </si>
  <si>
    <t>Kurzfristiges Fremdkapital</t>
  </si>
  <si>
    <t>Langfristiges Fremdkapital</t>
  </si>
  <si>
    <t>Übrige langfristige Verbindlichkeiten</t>
  </si>
  <si>
    <t>Total Verbindlichkeiten</t>
  </si>
  <si>
    <t>Total Eigenkapital</t>
  </si>
  <si>
    <t>Total Passiven</t>
  </si>
  <si>
    <t>Passive Rechnungsabgrenzungen</t>
  </si>
  <si>
    <t>Übrige kurzfristige Verbindlichkeiten</t>
  </si>
  <si>
    <t>Total kurzfristige Verbindlichkeiten</t>
  </si>
  <si>
    <t>FIRMA X</t>
  </si>
  <si>
    <t>Zusätzliche Informationen</t>
  </si>
  <si>
    <t>Anzahl Aktien (in 1'000)</t>
  </si>
  <si>
    <t>(% Aktiven)</t>
  </si>
  <si>
    <t>(% Umsatz)</t>
  </si>
  <si>
    <t>Aktiven</t>
  </si>
  <si>
    <t>Umsatz</t>
  </si>
  <si>
    <t>Personalaufwand</t>
  </si>
  <si>
    <t>Übriger Betriebsaufwand</t>
  </si>
  <si>
    <t>Abschreibungen und Wertberichtigungen</t>
  </si>
  <si>
    <t>Total Betriebsaufwand</t>
  </si>
  <si>
    <t>Finanzaufwand</t>
  </si>
  <si>
    <t>Finanzertrag</t>
  </si>
  <si>
    <t>Gewinn vor Steuern</t>
  </si>
  <si>
    <t>Direkte Steuern</t>
  </si>
  <si>
    <t>Jahresgewinn</t>
  </si>
  <si>
    <t>Durchschnittlicher Steuersatz</t>
  </si>
  <si>
    <t>Dividenden</t>
  </si>
  <si>
    <t>Nettoumsatz</t>
  </si>
  <si>
    <t>Betriebsergebnis for Zinsen und Steuern (EBIT)</t>
  </si>
  <si>
    <t>(% Nettoumsatz)</t>
  </si>
  <si>
    <t>Liquidität</t>
  </si>
  <si>
    <t>Aktivität</t>
  </si>
  <si>
    <t>Debitorenumschlag</t>
  </si>
  <si>
    <t>Kreditorenumschlag</t>
  </si>
  <si>
    <t>Lagerumschlag</t>
  </si>
  <si>
    <t>Kapitalumschlag</t>
  </si>
  <si>
    <t>Umschlag</t>
  </si>
  <si>
    <t>Liquiditätsbindung</t>
  </si>
  <si>
    <t>Warenaufwand</t>
  </si>
  <si>
    <t>Debitorenfrist</t>
  </si>
  <si>
    <t>Kreditorenfrist</t>
  </si>
  <si>
    <t>Warenlagerdauer</t>
  </si>
  <si>
    <t>Finanzierungsstruktur</t>
  </si>
  <si>
    <t>Firma X</t>
  </si>
  <si>
    <t>Anlagedeckungsgrad I</t>
  </si>
  <si>
    <t>Anlagedeckungsgrad II</t>
  </si>
  <si>
    <t>Total Anlagevermögen</t>
  </si>
  <si>
    <t>Aktienkapital</t>
  </si>
  <si>
    <t>Gewinnvortrag und Reserven</t>
  </si>
  <si>
    <t>Anlagedeckungsgrad</t>
  </si>
  <si>
    <t>Zinsdeckung</t>
  </si>
  <si>
    <t>Finanzierungsverhältnis (Verbindlichkeiten)</t>
  </si>
  <si>
    <t>Finanzierungsverhältnis (verz. Fremkapital)</t>
  </si>
  <si>
    <t>Zinsdeckungsgrad (EBIT)</t>
  </si>
  <si>
    <t>Zinsdeckungsgrad (EBITDA)</t>
  </si>
  <si>
    <t>Fremdkapital/EBIT</t>
  </si>
  <si>
    <t>Fremdkapital/EBITDA</t>
  </si>
  <si>
    <t>Profitabilität</t>
  </si>
  <si>
    <t>Umsatzwachstum</t>
  </si>
  <si>
    <t>Bruttomarge</t>
  </si>
  <si>
    <t>EBIT-Marge</t>
  </si>
  <si>
    <t>Nettomarge (Umsatzrendite)</t>
  </si>
  <si>
    <t>Eigenkapitalrendite (ROE)</t>
  </si>
  <si>
    <t>Gesamtkapitalrendite (ROA, NOPLAT)</t>
  </si>
  <si>
    <t>Gesamtkapitalrendite (ROA, EBIT)</t>
  </si>
  <si>
    <t>Gesamtkapitalrendite (ROA, Reingewinn)</t>
  </si>
  <si>
    <t>ROE-Zerlegung</t>
  </si>
  <si>
    <t>Nettomarge</t>
  </si>
  <si>
    <t>Durchschnittlicher Eigenfinanzierungsgrad</t>
  </si>
  <si>
    <t>Gewinn pro Aktie (EPS)</t>
  </si>
  <si>
    <t>Ausschüttungspolitik</t>
  </si>
  <si>
    <t>Dividendenzahlungen</t>
  </si>
  <si>
    <t>Aktienrückkäufe</t>
  </si>
  <si>
    <t>Total Ausschüttung an Aktionäre</t>
  </si>
  <si>
    <t>Dividendenausschüttungsquote</t>
  </si>
  <si>
    <t>Total Ausschüttungsquote</t>
  </si>
  <si>
    <t>Kapitalkosten (WACC)</t>
  </si>
  <si>
    <t>Investiertes Kapital (Jahresbeginn)</t>
  </si>
  <si>
    <t>Operativer Reingewinn (NOPLAT)</t>
  </si>
  <si>
    <t>Rendite auf investiertem Kapital</t>
  </si>
  <si>
    <t>Risikozuschlag KMU</t>
  </si>
  <si>
    <t>Kapitalkosten KMU</t>
  </si>
  <si>
    <t>- Warenaufwand</t>
  </si>
  <si>
    <t>- Personalaufwand</t>
  </si>
  <si>
    <t>- Übriger Betriebsaufwand</t>
  </si>
  <si>
    <t>- Abschreibungen und Wertberichtigungen</t>
  </si>
  <si>
    <t>- Finanzaufwand</t>
  </si>
  <si>
    <t>+ Finanzertrag</t>
  </si>
  <si>
    <t>- Direkte Steuern</t>
  </si>
  <si>
    <t>Reingewinn</t>
  </si>
  <si>
    <t>Verschuldungsgrad (Verbindlichkeiten)</t>
  </si>
  <si>
    <t>Verschuldungsgrad (verz. Fremdkapital)</t>
  </si>
  <si>
    <t>+ Zinszahlungen nach Steuern</t>
  </si>
  <si>
    <t>+ Abschreibungen</t>
  </si>
  <si>
    <t>Operativer Cashflow</t>
  </si>
  <si>
    <t>- Nettoinvestitionen</t>
  </si>
  <si>
    <t>Free Cashflow</t>
  </si>
  <si>
    <t>- Zinszahlungen nach Steuern</t>
  </si>
  <si>
    <t>+ Veränderung Fremdkapital</t>
  </si>
  <si>
    <t>Residual Cashflow</t>
  </si>
  <si>
    <t>- Dividenden</t>
  </si>
  <si>
    <t>+ Veränderung Aktienkapital</t>
  </si>
  <si>
    <t>Veränderung überschüssige flüssige Mittel</t>
  </si>
  <si>
    <t>- Veränderung operative Aktiven</t>
  </si>
  <si>
    <t>+ Veränderung operative Verbindlichkeiten</t>
  </si>
  <si>
    <t>Hilfstabelle Operative Aktiven</t>
  </si>
  <si>
    <t>Flüssige Mittel (Annahme: Betriebsnotwendig)</t>
  </si>
  <si>
    <t>Forderungen aus L&amp;L</t>
  </si>
  <si>
    <t>Aktive Rechnungsabgrenzung</t>
  </si>
  <si>
    <t>Total operative Aktiven</t>
  </si>
  <si>
    <t>Veränderung operative Aktiven</t>
  </si>
  <si>
    <t>Hilfstabelle Operative Verbindlichkeiten</t>
  </si>
  <si>
    <t>Total operative Verbindlichkeiten</t>
  </si>
  <si>
    <t>Veränderung operative Verbindlichkeiten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</si>
</sst>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;[Red]\(#,##0\)"/>
    <numFmt numFmtId="166" formatCode="\$#,##0;[Red]\(\$##,#00\)"/>
    <numFmt numFmtId="167" formatCode="0.0"/>
    <numFmt numFmtId="168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9"/>
      <color indexed="0"/>
      <name val="Courier New"/>
      <family val="3"/>
    </font>
    <font>
      <i/>
      <sz val="10"/>
      <name val="Calibri"/>
      <family val="2"/>
    </font>
    <font>
      <sz val="10"/>
      <name val="Calibri"/>
      <family val="2"/>
    </font>
    <font>
      <b/>
      <sz val="9"/>
      <color indexed="0"/>
      <name val="Helvetica"/>
      <family val="2"/>
    </font>
    <font>
      <b/>
      <sz val="9"/>
      <color indexed="0"/>
      <name val="Courier New"/>
      <family val="3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0"/>
      <name val="Courier New"/>
      <family val="3"/>
    </font>
    <font>
      <sz val="9"/>
      <color indexed="0"/>
      <name val="Helvetica"/>
      <family val="2"/>
    </font>
    <font>
      <b/>
      <sz val="10"/>
      <color theme="1"/>
      <name val="Calibri"/>
      <family val="2"/>
      <scheme val="minor"/>
    </font>
    <font>
      <b/>
      <sz val="9"/>
      <color rgb="FFFACD22"/>
      <name val="Courier New"/>
      <family val="3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Fill="1" applyAlignment="1" applyProtection="1">
      <alignment horizontal="right"/>
    </xf>
    <xf numFmtId="0" fontId="0" fillId="0" borderId="0" xfId="0" applyAlignment="1"/>
    <xf numFmtId="165" fontId="3" fillId="0" borderId="0" xfId="0" applyNumberFormat="1" applyFont="1" applyFill="1" applyAlignment="1" applyProtection="1"/>
    <xf numFmtId="0" fontId="3" fillId="0" borderId="0" xfId="0" applyFont="1" applyFill="1" applyAlignment="1" applyProtection="1"/>
    <xf numFmtId="0" fontId="6" fillId="0" borderId="0" xfId="0" applyFont="1"/>
    <xf numFmtId="0" fontId="7" fillId="0" borderId="0" xfId="0" applyFont="1" applyFill="1" applyAlignment="1" applyProtection="1">
      <alignment horizontal="right"/>
    </xf>
    <xf numFmtId="166" fontId="7" fillId="0" borderId="0" xfId="0" applyNumberFormat="1" applyFont="1" applyFill="1" applyAlignment="1" applyProtection="1"/>
    <xf numFmtId="0" fontId="8" fillId="2" borderId="1" xfId="0" applyFont="1" applyFill="1" applyBorder="1" applyAlignment="1" applyProtection="1"/>
    <xf numFmtId="0" fontId="9" fillId="2" borderId="0" xfId="0" applyFont="1" applyFill="1" applyAlignment="1" applyProtection="1"/>
    <xf numFmtId="164" fontId="9" fillId="2" borderId="0" xfId="0" applyNumberFormat="1" applyFont="1" applyFill="1" applyAlignment="1" applyProtection="1"/>
    <xf numFmtId="3" fontId="9" fillId="2" borderId="0" xfId="0" applyNumberFormat="1" applyFont="1" applyFill="1" applyAlignment="1" applyProtection="1">
      <alignment horizontal="right"/>
    </xf>
    <xf numFmtId="164" fontId="9" fillId="2" borderId="0" xfId="0" applyNumberFormat="1" applyFont="1" applyFill="1" applyAlignment="1" applyProtection="1">
      <alignment horizontal="right"/>
    </xf>
    <xf numFmtId="0" fontId="10" fillId="2" borderId="1" xfId="0" applyFont="1" applyFill="1" applyBorder="1" applyAlignment="1" applyProtection="1"/>
    <xf numFmtId="164" fontId="10" fillId="2" borderId="1" xfId="0" applyNumberFormat="1" applyFont="1" applyFill="1" applyBorder="1" applyAlignment="1" applyProtection="1"/>
    <xf numFmtId="164" fontId="8" fillId="2" borderId="1" xfId="0" applyNumberFormat="1" applyFont="1" applyFill="1" applyBorder="1" applyAlignment="1" applyProtection="1"/>
    <xf numFmtId="0" fontId="0" fillId="2" borderId="0" xfId="0" applyFill="1"/>
    <xf numFmtId="164" fontId="9" fillId="2" borderId="0" xfId="0" applyNumberFormat="1" applyFont="1" applyFill="1"/>
    <xf numFmtId="0" fontId="9" fillId="2" borderId="0" xfId="0" applyFont="1" applyFill="1" applyAlignment="1" applyProtection="1">
      <alignment horizontal="right"/>
    </xf>
    <xf numFmtId="164" fontId="9" fillId="2" borderId="1" xfId="0" applyNumberFormat="1" applyFont="1" applyFill="1" applyBorder="1" applyAlignment="1" applyProtection="1"/>
    <xf numFmtId="0" fontId="10" fillId="2" borderId="2" xfId="0" applyFont="1" applyFill="1" applyBorder="1" applyAlignment="1" applyProtection="1">
      <alignment horizontal="right"/>
    </xf>
    <xf numFmtId="0" fontId="11" fillId="0" borderId="0" xfId="2"/>
    <xf numFmtId="0" fontId="11" fillId="0" borderId="1" xfId="2" applyBorder="1"/>
    <xf numFmtId="2" fontId="11" fillId="0" borderId="0" xfId="2" applyNumberFormat="1" applyAlignment="1">
      <alignment horizontal="center"/>
    </xf>
    <xf numFmtId="0" fontId="12" fillId="0" borderId="0" xfId="2" applyFont="1"/>
    <xf numFmtId="0" fontId="11" fillId="0" borderId="0" xfId="2" applyBorder="1"/>
    <xf numFmtId="0" fontId="11" fillId="0" borderId="2" xfId="2" applyFill="1" applyBorder="1"/>
    <xf numFmtId="0" fontId="11" fillId="0" borderId="2" xfId="2" applyBorder="1"/>
    <xf numFmtId="2" fontId="11" fillId="0" borderId="2" xfId="2" applyNumberFormat="1" applyBorder="1" applyAlignment="1">
      <alignment horizontal="center"/>
    </xf>
    <xf numFmtId="167" fontId="11" fillId="0" borderId="0" xfId="2" applyNumberFormat="1" applyAlignment="1">
      <alignment horizontal="center"/>
    </xf>
    <xf numFmtId="0" fontId="12" fillId="0" borderId="1" xfId="2" applyFont="1" applyBorder="1"/>
    <xf numFmtId="164" fontId="0" fillId="0" borderId="0" xfId="3" applyNumberFormat="1" applyFont="1" applyAlignment="1">
      <alignment horizontal="center"/>
    </xf>
    <xf numFmtId="0" fontId="11" fillId="0" borderId="5" xfId="2" applyBorder="1"/>
    <xf numFmtId="3" fontId="11" fillId="0" borderId="5" xfId="2" applyNumberFormat="1" applyBorder="1" applyAlignment="1">
      <alignment horizontal="center"/>
    </xf>
    <xf numFmtId="164" fontId="0" fillId="0" borderId="2" xfId="3" applyNumberFormat="1" applyFont="1" applyBorder="1" applyAlignment="1">
      <alignment horizontal="center"/>
    </xf>
    <xf numFmtId="164" fontId="0" fillId="0" borderId="5" xfId="3" applyNumberFormat="1" applyFont="1" applyBorder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0" fontId="12" fillId="0" borderId="1" xfId="2" applyFont="1" applyFill="1" applyBorder="1"/>
    <xf numFmtId="164" fontId="12" fillId="0" borderId="1" xfId="3" applyNumberFormat="1" applyFont="1" applyBorder="1" applyAlignment="1">
      <alignment horizontal="center"/>
    </xf>
    <xf numFmtId="0" fontId="11" fillId="0" borderId="0" xfId="2" applyFill="1" applyBorder="1"/>
    <xf numFmtId="2" fontId="0" fillId="0" borderId="0" xfId="3" applyNumberFormat="1" applyFont="1" applyBorder="1" applyAlignment="1">
      <alignment horizontal="center"/>
    </xf>
    <xf numFmtId="3" fontId="11" fillId="0" borderId="0" xfId="2" applyNumberFormat="1" applyAlignment="1">
      <alignment horizontal="center"/>
    </xf>
    <xf numFmtId="3" fontId="11" fillId="0" borderId="1" xfId="2" applyNumberFormat="1" applyBorder="1" applyAlignment="1">
      <alignment horizontal="center"/>
    </xf>
    <xf numFmtId="9" fontId="12" fillId="0" borderId="1" xfId="3" applyNumberFormat="1" applyFont="1" applyBorder="1" applyAlignment="1">
      <alignment horizontal="center"/>
    </xf>
    <xf numFmtId="168" fontId="11" fillId="0" borderId="0" xfId="2" applyNumberFormat="1" applyBorder="1" applyAlignment="1">
      <alignment horizontal="center"/>
    </xf>
    <xf numFmtId="0" fontId="11" fillId="0" borderId="0" xfId="2" applyBorder="1" applyAlignment="1">
      <alignment horizontal="center"/>
    </xf>
    <xf numFmtId="0" fontId="12" fillId="0" borderId="5" xfId="2" applyFont="1" applyBorder="1"/>
    <xf numFmtId="164" fontId="12" fillId="0" borderId="5" xfId="2" applyNumberFormat="1" applyFont="1" applyBorder="1" applyAlignment="1">
      <alignment horizontal="center"/>
    </xf>
    <xf numFmtId="0" fontId="12" fillId="0" borderId="2" xfId="2" applyFont="1" applyBorder="1"/>
    <xf numFmtId="3" fontId="12" fillId="0" borderId="2" xfId="2" applyNumberFormat="1" applyFont="1" applyBorder="1" applyAlignment="1">
      <alignment horizontal="center"/>
    </xf>
    <xf numFmtId="165" fontId="13" fillId="0" borderId="0" xfId="0" applyNumberFormat="1" applyFont="1" applyFill="1" applyAlignment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/>
    <xf numFmtId="2" fontId="0" fillId="0" borderId="0" xfId="3" applyNumberFormat="1" applyFont="1" applyAlignment="1">
      <alignment horizontal="center"/>
    </xf>
    <xf numFmtId="2" fontId="12" fillId="0" borderId="5" xfId="2" applyNumberFormat="1" applyFont="1" applyBorder="1" applyAlignment="1">
      <alignment horizontal="center"/>
    </xf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3" fillId="0" borderId="0" xfId="0" applyFont="1" applyFill="1" applyAlignment="1" applyProtection="1"/>
    <xf numFmtId="3" fontId="11" fillId="0" borderId="0" xfId="2" applyNumberFormat="1" applyBorder="1" applyAlignment="1">
      <alignment horizontal="center"/>
    </xf>
    <xf numFmtId="164" fontId="11" fillId="4" borderId="0" xfId="2" applyNumberFormat="1" applyFill="1" applyBorder="1" applyAlignment="1">
      <alignment horizontal="center"/>
    </xf>
    <xf numFmtId="2" fontId="12" fillId="0" borderId="1" xfId="3" applyNumberFormat="1" applyFont="1" applyBorder="1" applyAlignment="1">
      <alignment horizontal="center"/>
    </xf>
    <xf numFmtId="167" fontId="12" fillId="0" borderId="1" xfId="2" applyNumberFormat="1" applyFont="1" applyBorder="1" applyAlignment="1">
      <alignment horizontal="center"/>
    </xf>
    <xf numFmtId="0" fontId="0" fillId="0" borderId="0" xfId="0" applyFill="1" applyAlignment="1"/>
    <xf numFmtId="3" fontId="16" fillId="0" borderId="0" xfId="0" applyNumberFormat="1" applyFont="1" applyFill="1"/>
    <xf numFmtId="0" fontId="0" fillId="0" borderId="0" xfId="0" applyFill="1"/>
    <xf numFmtId="0" fontId="17" fillId="0" borderId="0" xfId="0" applyFont="1"/>
    <xf numFmtId="0" fontId="14" fillId="0" borderId="0" xfId="0" applyFont="1" applyFill="1"/>
    <xf numFmtId="0" fontId="6" fillId="0" borderId="0" xfId="0" applyFont="1" applyFill="1"/>
    <xf numFmtId="3" fontId="0" fillId="0" borderId="0" xfId="0" applyNumberFormat="1" applyFill="1"/>
    <xf numFmtId="1" fontId="2" fillId="0" borderId="5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3" fontId="0" fillId="2" borderId="0" xfId="0" applyNumberFormat="1" applyFill="1" applyAlignment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8" fillId="2" borderId="1" xfId="0" applyNumberFormat="1" applyFont="1" applyFill="1" applyBorder="1" applyAlignment="1" applyProtection="1">
      <alignment horizontal="right"/>
    </xf>
    <xf numFmtId="3" fontId="9" fillId="2" borderId="1" xfId="0" applyNumberFormat="1" applyFont="1" applyFill="1" applyBorder="1" applyAlignment="1" applyProtection="1">
      <alignment horizontal="right"/>
    </xf>
    <xf numFmtId="0" fontId="17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9" fillId="0" borderId="0" xfId="0" applyFont="1" applyFill="1" applyBorder="1" applyAlignment="1" applyProtection="1"/>
    <xf numFmtId="1" fontId="2" fillId="2" borderId="5" xfId="0" applyNumberFormat="1" applyFont="1" applyFill="1" applyBorder="1" applyAlignment="1" applyProtection="1">
      <alignment horizontal="right"/>
    </xf>
    <xf numFmtId="168" fontId="0" fillId="0" borderId="0" xfId="0" applyNumberFormat="1" applyFill="1"/>
    <xf numFmtId="164" fontId="0" fillId="2" borderId="0" xfId="1" applyNumberFormat="1" applyFont="1" applyFill="1"/>
    <xf numFmtId="0" fontId="0" fillId="2" borderId="2" xfId="0" applyFill="1" applyBorder="1"/>
    <xf numFmtId="1" fontId="4" fillId="2" borderId="2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/>
    <xf numFmtId="0" fontId="5" fillId="2" borderId="0" xfId="0" applyFont="1" applyFill="1" applyAlignment="1" applyProtection="1"/>
    <xf numFmtId="1" fontId="18" fillId="2" borderId="1" xfId="0" applyNumberFormat="1" applyFont="1" applyFill="1" applyBorder="1" applyAlignment="1" applyProtection="1">
      <alignment horizontal="center"/>
    </xf>
    <xf numFmtId="9" fontId="11" fillId="0" borderId="0" xfId="1" applyNumberFormat="1" applyFont="1" applyAlignment="1">
      <alignment horizontal="center"/>
    </xf>
    <xf numFmtId="9" fontId="11" fillId="0" borderId="2" xfId="1" applyNumberFormat="1" applyFont="1" applyBorder="1" applyAlignment="1">
      <alignment horizontal="center"/>
    </xf>
    <xf numFmtId="0" fontId="8" fillId="2" borderId="5" xfId="0" applyFont="1" applyFill="1" applyBorder="1" applyAlignment="1" applyProtection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3" fontId="17" fillId="2" borderId="0" xfId="0" applyNumberFormat="1" applyFont="1" applyFill="1" applyBorder="1"/>
    <xf numFmtId="0" fontId="17" fillId="2" borderId="0" xfId="0" applyFont="1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0" fontId="19" fillId="2" borderId="1" xfId="0" applyFont="1" applyFill="1" applyBorder="1"/>
    <xf numFmtId="1" fontId="2" fillId="2" borderId="1" xfId="0" applyNumberFormat="1" applyFont="1" applyFill="1" applyBorder="1" applyAlignment="1" applyProtection="1">
      <alignment horizontal="right"/>
    </xf>
    <xf numFmtId="1" fontId="4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/>
    <xf numFmtId="0" fontId="5" fillId="2" borderId="0" xfId="0" quotePrefix="1" applyFont="1" applyFill="1" applyAlignment="1" applyProtection="1"/>
    <xf numFmtId="3" fontId="5" fillId="2" borderId="0" xfId="0" applyNumberFormat="1" applyFont="1" applyFill="1" applyAlignment="1" applyProtection="1"/>
    <xf numFmtId="3" fontId="5" fillId="2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right"/>
    </xf>
    <xf numFmtId="3" fontId="0" fillId="2" borderId="0" xfId="0" applyNumberFormat="1" applyFont="1" applyFill="1" applyBorder="1"/>
    <xf numFmtId="0" fontId="2" fillId="2" borderId="1" xfId="0" applyFont="1" applyFill="1" applyBorder="1" applyAlignment="1" applyProtection="1"/>
    <xf numFmtId="3" fontId="5" fillId="2" borderId="1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0" fontId="19" fillId="2" borderId="5" xfId="0" applyFont="1" applyFill="1" applyBorder="1"/>
    <xf numFmtId="164" fontId="5" fillId="2" borderId="0" xfId="1" applyNumberFormat="1" applyFont="1" applyFill="1" applyAlignment="1" applyProtection="1">
      <alignment horizontal="right"/>
    </xf>
    <xf numFmtId="164" fontId="5" fillId="2" borderId="1" xfId="1" applyNumberFormat="1" applyFont="1" applyFill="1" applyBorder="1" applyAlignment="1" applyProtection="1"/>
    <xf numFmtId="164" fontId="2" fillId="2" borderId="1" xfId="1" applyNumberFormat="1" applyFont="1" applyFill="1" applyBorder="1" applyAlignment="1" applyProtection="1"/>
    <xf numFmtId="0" fontId="0" fillId="0" borderId="0" xfId="0" applyAlignment="1">
      <alignment horizontal="center"/>
    </xf>
    <xf numFmtId="0" fontId="10" fillId="2" borderId="0" xfId="0" applyFont="1" applyFill="1" applyBorder="1" applyAlignment="1" applyProtection="1">
      <alignment horizontal="right"/>
    </xf>
    <xf numFmtId="0" fontId="17" fillId="2" borderId="5" xfId="0" applyFont="1" applyFill="1" applyBorder="1"/>
    <xf numFmtId="168" fontId="17" fillId="2" borderId="5" xfId="0" applyNumberFormat="1" applyFont="1" applyFill="1" applyBorder="1" applyAlignment="1">
      <alignment horizontal="center"/>
    </xf>
    <xf numFmtId="0" fontId="0" fillId="2" borderId="0" xfId="0" quotePrefix="1" applyFill="1" applyBorder="1"/>
    <xf numFmtId="168" fontId="0" fillId="2" borderId="0" xfId="0" applyNumberFormat="1" applyFill="1" applyBorder="1" applyAlignment="1">
      <alignment horizontal="center"/>
    </xf>
    <xf numFmtId="0" fontId="17" fillId="2" borderId="1" xfId="0" applyFont="1" applyFill="1" applyBorder="1"/>
    <xf numFmtId="168" fontId="17" fillId="2" borderId="1" xfId="0" applyNumberFormat="1" applyFont="1" applyFill="1" applyBorder="1" applyAlignment="1">
      <alignment horizontal="center"/>
    </xf>
    <xf numFmtId="0" fontId="0" fillId="2" borderId="0" xfId="0" quotePrefix="1" applyFill="1"/>
    <xf numFmtId="168" fontId="0" fillId="2" borderId="0" xfId="0" applyNumberFormat="1" applyFill="1" applyAlignment="1">
      <alignment horizontal="center"/>
    </xf>
    <xf numFmtId="0" fontId="15" fillId="0" borderId="1" xfId="0" applyFont="1" applyBorder="1"/>
    <xf numFmtId="0" fontId="20" fillId="0" borderId="0" xfId="0" applyFont="1"/>
    <xf numFmtId="3" fontId="20" fillId="0" borderId="0" xfId="0" applyNumberFormat="1" applyFont="1" applyAlignment="1">
      <alignment horizontal="right"/>
    </xf>
    <xf numFmtId="3" fontId="15" fillId="0" borderId="1" xfId="0" applyNumberFormat="1" applyFont="1" applyBorder="1" applyAlignment="1">
      <alignment horizontal="right"/>
    </xf>
    <xf numFmtId="0" fontId="3" fillId="2" borderId="0" xfId="0" applyFont="1" applyFill="1" applyAlignment="1" applyProtection="1">
      <alignment horizontal="right"/>
    </xf>
    <xf numFmtId="0" fontId="0" fillId="2" borderId="0" xfId="0" applyFill="1" applyAlignment="1"/>
    <xf numFmtId="168" fontId="5" fillId="2" borderId="0" xfId="0" applyNumberFormat="1" applyFont="1" applyFill="1" applyAlignment="1" applyProtection="1"/>
    <xf numFmtId="0" fontId="14" fillId="2" borderId="0" xfId="0" applyFont="1" applyFill="1"/>
    <xf numFmtId="0" fontId="14" fillId="2" borderId="0" xfId="0" applyFont="1" applyFill="1" applyAlignment="1"/>
    <xf numFmtId="0" fontId="6" fillId="2" borderId="0" xfId="0" applyFont="1" applyFill="1"/>
    <xf numFmtId="0" fontId="15" fillId="2" borderId="0" xfId="0" applyFont="1" applyFill="1"/>
    <xf numFmtId="3" fontId="0" fillId="2" borderId="0" xfId="0" applyNumberFormat="1" applyFill="1"/>
    <xf numFmtId="0" fontId="5" fillId="2" borderId="1" xfId="0" applyFont="1" applyFill="1" applyBorder="1" applyAlignment="1" applyProtection="1"/>
    <xf numFmtId="9" fontId="0" fillId="2" borderId="1" xfId="0" applyNumberFormat="1" applyFont="1" applyFill="1" applyBorder="1"/>
    <xf numFmtId="9" fontId="0" fillId="2" borderId="2" xfId="0" applyNumberFormat="1" applyFont="1" applyFill="1" applyBorder="1"/>
    <xf numFmtId="0" fontId="12" fillId="3" borderId="3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Aktivität: Liquiditätsbindung</a:t>
            </a:r>
          </a:p>
        </c:rich>
      </c:tx>
      <c:layout/>
      <c:overlay val="0"/>
      <c:spPr>
        <a:noFill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Ratios!$B$25</c:f>
              <c:strCache>
                <c:ptCount val="1"/>
                <c:pt idx="0">
                  <c:v>Debitorenfrist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Ratios!$D$15:$F$15</c:f>
              <c:strCache>
                <c:ptCount val="3"/>
                <c:pt idx="0">
                  <c:v>Jahr -2</c:v>
                </c:pt>
                <c:pt idx="1">
                  <c:v>Jahr -1</c:v>
                </c:pt>
                <c:pt idx="2">
                  <c:v>Jahr 0</c:v>
                </c:pt>
              </c:strCache>
            </c:strRef>
          </c:cat>
          <c:val>
            <c:numRef>
              <c:f>Ratios!$D$25:$F$25</c:f>
              <c:numCache>
                <c:formatCode>0.0</c:formatCode>
                <c:ptCount val="3"/>
                <c:pt idx="0">
                  <c:v>30.333104395604394</c:v>
                </c:pt>
                <c:pt idx="1">
                  <c:v>34.269444444444446</c:v>
                </c:pt>
                <c:pt idx="2">
                  <c:v>46.986940298507463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AA-43FA-BD02-CB50782156F3}"/>
            </c:ext>
          </c:extLst>
        </c:ser>
        <c:ser>
          <c:idx val="5"/>
          <c:order val="1"/>
          <c:tx>
            <c:strRef>
              <c:f>Ratios!$B$26</c:f>
              <c:strCache>
                <c:ptCount val="1"/>
                <c:pt idx="0">
                  <c:v>Kreditorenfrist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Ratios!$D$15:$F$15</c:f>
              <c:strCache>
                <c:ptCount val="3"/>
                <c:pt idx="0">
                  <c:v>Jahr -2</c:v>
                </c:pt>
                <c:pt idx="1">
                  <c:v>Jahr -1</c:v>
                </c:pt>
                <c:pt idx="2">
                  <c:v>Jahr 0</c:v>
                </c:pt>
              </c:strCache>
            </c:strRef>
          </c:cat>
          <c:val>
            <c:numRef>
              <c:f>Ratios!$D$26:$F$26</c:f>
              <c:numCache>
                <c:formatCode>0.0</c:formatCode>
                <c:ptCount val="3"/>
                <c:pt idx="0">
                  <c:v>31.603059852051111</c:v>
                </c:pt>
                <c:pt idx="1">
                  <c:v>25.174280628893506</c:v>
                </c:pt>
                <c:pt idx="2">
                  <c:v>17.170698924731184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AA-43FA-BD02-CB50782156F3}"/>
            </c:ext>
          </c:extLst>
        </c:ser>
        <c:ser>
          <c:idx val="6"/>
          <c:order val="2"/>
          <c:tx>
            <c:strRef>
              <c:f>Ratios!$B$27</c:f>
              <c:strCache>
                <c:ptCount val="1"/>
                <c:pt idx="0">
                  <c:v>Warenlagerdauer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Ratios!$D$15:$F$15</c:f>
              <c:strCache>
                <c:ptCount val="3"/>
                <c:pt idx="0">
                  <c:v>Jahr -2</c:v>
                </c:pt>
                <c:pt idx="1">
                  <c:v>Jahr -1</c:v>
                </c:pt>
                <c:pt idx="2">
                  <c:v>Jahr 0</c:v>
                </c:pt>
              </c:strCache>
            </c:strRef>
          </c:cat>
          <c:val>
            <c:numRef>
              <c:f>Ratios!$D$27:$F$27</c:f>
              <c:numCache>
                <c:formatCode>0.0</c:formatCode>
                <c:ptCount val="3"/>
                <c:pt idx="0">
                  <c:v>72.368421052631575</c:v>
                </c:pt>
                <c:pt idx="1">
                  <c:v>90.636014098045493</c:v>
                </c:pt>
                <c:pt idx="2">
                  <c:v>91.995912806539508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AA-43FA-BD02-CB50782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200704"/>
        <c:axId val="534203392"/>
      </c:barChart>
      <c:lineChart>
        <c:grouping val="standard"/>
        <c:varyColors val="0"/>
        <c:ser>
          <c:idx val="0"/>
          <c:order val="3"/>
          <c:tx>
            <c:strRef>
              <c:f>Ratios!$B$28</c:f>
              <c:strCache>
                <c:ptCount val="1"/>
                <c:pt idx="0">
                  <c:v>Cash Conversion Cycle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Ratios!$D$15:$F$15</c:f>
              <c:strCache>
                <c:ptCount val="3"/>
                <c:pt idx="0">
                  <c:v>Jahr -2</c:v>
                </c:pt>
                <c:pt idx="1">
                  <c:v>Jahr -1</c:v>
                </c:pt>
                <c:pt idx="2">
                  <c:v>Jahr 0</c:v>
                </c:pt>
              </c:strCache>
            </c:strRef>
          </c:cat>
          <c:val>
            <c:numRef>
              <c:f>Ratios!$D$28:$F$28</c:f>
              <c:numCache>
                <c:formatCode>0.0</c:formatCode>
                <c:ptCount val="3"/>
                <c:pt idx="0">
                  <c:v>71.098465596184866</c:v>
                </c:pt>
                <c:pt idx="1">
                  <c:v>99.73117791359644</c:v>
                </c:pt>
                <c:pt idx="2">
                  <c:v>121.81215418031577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2-4CF6-A8AE-E13BEA6FF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00704"/>
        <c:axId val="534203392"/>
      </c:lineChart>
      <c:catAx>
        <c:axId val="53420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4203392"/>
        <c:crosses val="autoZero"/>
        <c:auto val="1"/>
        <c:lblAlgn val="ctr"/>
        <c:lblOffset val="100"/>
        <c:noMultiLvlLbl val="0"/>
      </c:catAx>
      <c:valAx>
        <c:axId val="534203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Frist (in Tagen)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420070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Aktivität:</a:t>
            </a:r>
            <a:r>
              <a:rPr lang="en-US" sz="1400" b="1" baseline="0"/>
              <a:t> Umschlag</a:t>
            </a:r>
            <a:endParaRPr lang="en-US" sz="1400" b="1"/>
          </a:p>
        </c:rich>
      </c:tx>
      <c:layout/>
      <c:overlay val="0"/>
      <c:spPr>
        <a:noFill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Ratios!$B$17</c:f>
              <c:strCache>
                <c:ptCount val="1"/>
                <c:pt idx="0">
                  <c:v>Debitorenumschlag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Ratios!$C$15:$F$15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Ratios!$D$17:$F$17</c:f>
              <c:numCache>
                <c:formatCode>0.00</c:formatCode>
                <c:ptCount val="3"/>
                <c:pt idx="0">
                  <c:v>12.03305785123967</c:v>
                </c:pt>
                <c:pt idx="1">
                  <c:v>10.650887573964496</c:v>
                </c:pt>
                <c:pt idx="2">
                  <c:v>7.7681159420289854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AA-43FA-BD02-CB50782156F3}"/>
            </c:ext>
          </c:extLst>
        </c:ser>
        <c:ser>
          <c:idx val="5"/>
          <c:order val="1"/>
          <c:tx>
            <c:strRef>
              <c:f>Ratios!$B$18</c:f>
              <c:strCache>
                <c:ptCount val="1"/>
                <c:pt idx="0">
                  <c:v>Kreditorenumschlag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Ratios!$C$15:$F$15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Ratios!$D$18:$F$18</c:f>
              <c:numCache>
                <c:formatCode>0.00</c:formatCode>
                <c:ptCount val="3"/>
                <c:pt idx="0">
                  <c:v>11.549514563106795</c:v>
                </c:pt>
                <c:pt idx="1">
                  <c:v>14.498924731182795</c:v>
                </c:pt>
                <c:pt idx="2">
                  <c:v>21.257142857142856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AA-43FA-BD02-CB50782156F3}"/>
            </c:ext>
          </c:extLst>
        </c:ser>
        <c:ser>
          <c:idx val="6"/>
          <c:order val="2"/>
          <c:tx>
            <c:strRef>
              <c:f>Ratios!$B$19</c:f>
              <c:strCache>
                <c:ptCount val="1"/>
                <c:pt idx="0">
                  <c:v>Lagerumschlag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Ratios!$C$15:$F$15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Ratios!$D$19:$F$19</c:f>
              <c:numCache>
                <c:formatCode>0.00</c:formatCode>
                <c:ptCount val="3"/>
                <c:pt idx="0">
                  <c:v>5.0436363636363639</c:v>
                </c:pt>
                <c:pt idx="1">
                  <c:v>4.0270967741935486</c:v>
                </c:pt>
                <c:pt idx="2">
                  <c:v>3.9675675675675675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AA-43FA-BD02-CB50782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304320"/>
        <c:axId val="539305856"/>
      </c:barChart>
      <c:lineChart>
        <c:grouping val="standard"/>
        <c:varyColors val="0"/>
        <c:ser>
          <c:idx val="0"/>
          <c:order val="3"/>
          <c:tx>
            <c:strRef>
              <c:f>Ratios!$B$21</c:f>
              <c:strCache>
                <c:ptCount val="1"/>
                <c:pt idx="0">
                  <c:v>Kapitalumschlag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Ratios!$C$15:$F$15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Ratios!$D$21:$F$21</c:f>
              <c:numCache>
                <c:formatCode>0.00</c:formatCode>
                <c:ptCount val="3"/>
                <c:pt idx="0">
                  <c:v>0.7736450584484591</c:v>
                </c:pt>
                <c:pt idx="1">
                  <c:v>0.84697910784867303</c:v>
                </c:pt>
                <c:pt idx="2">
                  <c:v>0.87438825448613378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2-48D3-999E-9764A39C5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14048"/>
        <c:axId val="539312128"/>
      </c:lineChart>
      <c:catAx>
        <c:axId val="5393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9305856"/>
        <c:crosses val="autoZero"/>
        <c:auto val="1"/>
        <c:lblAlgn val="ctr"/>
        <c:lblOffset val="100"/>
        <c:noMultiLvlLbl val="0"/>
      </c:catAx>
      <c:valAx>
        <c:axId val="539305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Umschlagshäufigkeit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9304320"/>
        <c:crosses val="autoZero"/>
        <c:crossBetween val="between"/>
      </c:valAx>
      <c:valAx>
        <c:axId val="5393121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Kapitalumschlag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539314048"/>
        <c:crosses val="max"/>
        <c:crossBetween val="between"/>
      </c:valAx>
      <c:catAx>
        <c:axId val="5393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93121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 baseline="0"/>
              <a:t>Anlagedeckungsgrad</a:t>
            </a:r>
          </a:p>
        </c:rich>
      </c:tx>
      <c:layout/>
      <c:overlay val="0"/>
      <c:spPr>
        <a:noFill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Ratios!$B$35</c:f>
              <c:strCache>
                <c:ptCount val="1"/>
                <c:pt idx="0">
                  <c:v>Anlagedeckungsgrad I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Ratios!$C$15:$F$15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Ratios!$C$35:$F$35</c:f>
              <c:numCache>
                <c:formatCode>0%</c:formatCode>
                <c:ptCount val="4"/>
                <c:pt idx="0">
                  <c:v>0.73405405405405411</c:v>
                </c:pt>
                <c:pt idx="1">
                  <c:v>0.5917073170731707</c:v>
                </c:pt>
                <c:pt idx="2">
                  <c:v>0.50701754385964914</c:v>
                </c:pt>
                <c:pt idx="3">
                  <c:v>0.36367187499999998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AA-43FA-BD02-CB50782156F3}"/>
            </c:ext>
          </c:extLst>
        </c:ser>
        <c:ser>
          <c:idx val="5"/>
          <c:order val="1"/>
          <c:tx>
            <c:strRef>
              <c:f>Ratios!$B$36</c:f>
              <c:strCache>
                <c:ptCount val="1"/>
                <c:pt idx="0">
                  <c:v>Anlagedeckungsgrad II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Ratios!$C$15:$F$15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Ratios!$C$36:$F$36</c:f>
              <c:numCache>
                <c:formatCode>0%</c:formatCode>
                <c:ptCount val="4"/>
                <c:pt idx="0">
                  <c:v>0.78482142857142856</c:v>
                </c:pt>
                <c:pt idx="1">
                  <c:v>0.8166328600405679</c:v>
                </c:pt>
                <c:pt idx="2">
                  <c:v>0.827247191011236</c:v>
                </c:pt>
                <c:pt idx="3">
                  <c:v>0.81687995124923829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AA-43FA-BD02-CB50782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341184"/>
        <c:axId val="539342720"/>
      </c:barChart>
      <c:catAx>
        <c:axId val="5393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9342720"/>
        <c:crosses val="autoZero"/>
        <c:auto val="1"/>
        <c:lblAlgn val="ctr"/>
        <c:lblOffset val="100"/>
        <c:noMultiLvlLbl val="0"/>
      </c:catAx>
      <c:valAx>
        <c:axId val="539342720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934118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1"/>
            </a:pPr>
            <a:r>
              <a:rPr lang="en-US" sz="1200" b="1"/>
              <a:t>Verschuldungsgrad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Ratios!$B$61</c:f>
              <c:strCache>
                <c:ptCount val="1"/>
                <c:pt idx="0">
                  <c:v>Verschuldungsgrad (Verbindlichkeiten)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Ratios!$C$59:$F$59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Ratios!$C$61:$F$61</c:f>
              <c:numCache>
                <c:formatCode>0.0%</c:formatCode>
                <c:ptCount val="4"/>
                <c:pt idx="0">
                  <c:v>0.39374999999999999</c:v>
                </c:pt>
                <c:pt idx="1">
                  <c:v>0.50791075050709944</c:v>
                </c:pt>
                <c:pt idx="2">
                  <c:v>0.5941011235955056</c:v>
                </c:pt>
                <c:pt idx="3">
                  <c:v>0.7163315051797684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3-4EEF-97B8-D4ABF32BF8E3}"/>
            </c:ext>
          </c:extLst>
        </c:ser>
        <c:ser>
          <c:idx val="5"/>
          <c:order val="1"/>
          <c:tx>
            <c:strRef>
              <c:f>Ratios!$B$62</c:f>
              <c:strCache>
                <c:ptCount val="1"/>
                <c:pt idx="0">
                  <c:v>Verschuldungsgrad (verz. Fremdkapital)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Ratios!$C$59:$F$59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Ratios!$C$62:$F$62</c:f>
              <c:numCache>
                <c:formatCode>0.0%</c:formatCode>
                <c:ptCount val="4"/>
                <c:pt idx="0">
                  <c:v>0.3401360544217687</c:v>
                </c:pt>
                <c:pt idx="1">
                  <c:v>0.4639858594785683</c:v>
                </c:pt>
                <c:pt idx="2">
                  <c:v>0.56475903614457834</c:v>
                </c:pt>
                <c:pt idx="3">
                  <c:v>0.69782538136968519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3-4EEF-97B8-D4ABF32B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687744"/>
        <c:axId val="534689280"/>
      </c:barChart>
      <c:catAx>
        <c:axId val="5346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4689280"/>
        <c:crosses val="autoZero"/>
        <c:auto val="1"/>
        <c:lblAlgn val="ctr"/>
        <c:lblOffset val="100"/>
        <c:noMultiLvlLbl val="0"/>
      </c:catAx>
      <c:valAx>
        <c:axId val="534689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Verschuldungsgrad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468774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Umsatz und Margen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1"/>
          <c:tx>
            <c:strRef>
              <c:f>Ratios!$B$83</c:f>
              <c:strCache>
                <c:ptCount val="1"/>
                <c:pt idx="0">
                  <c:v>Bruttomarge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Ratios!$C$79:$F$79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Ratios!$C$83:$F$83</c:f>
              <c:numCache>
                <c:formatCode>0.0%</c:formatCode>
                <c:ptCount val="4"/>
                <c:pt idx="0">
                  <c:v>0.72850000000000004</c:v>
                </c:pt>
                <c:pt idx="1">
                  <c:v>0.69516483516483518</c:v>
                </c:pt>
                <c:pt idx="2">
                  <c:v>0.72257777777777776</c:v>
                </c:pt>
                <c:pt idx="3">
                  <c:v>0.7261194029850746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6-4E1F-941D-A7B7487F6B57}"/>
            </c:ext>
          </c:extLst>
        </c:ser>
        <c:ser>
          <c:idx val="0"/>
          <c:order val="2"/>
          <c:tx>
            <c:strRef>
              <c:f>Ratios!$B$84</c:f>
              <c:strCache>
                <c:ptCount val="1"/>
                <c:pt idx="0">
                  <c:v>EBIT-Marge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Ratios!$C$79:$F$79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Ratios!$C$84:$F$84</c:f>
              <c:numCache>
                <c:formatCode>0.0%</c:formatCode>
                <c:ptCount val="4"/>
                <c:pt idx="0">
                  <c:v>0.19999999999999996</c:v>
                </c:pt>
                <c:pt idx="1">
                  <c:v>0.18999999999999995</c:v>
                </c:pt>
                <c:pt idx="2">
                  <c:v>0.15000000000000002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6-4E1F-941D-A7B7487F6B57}"/>
            </c:ext>
          </c:extLst>
        </c:ser>
        <c:ser>
          <c:idx val="1"/>
          <c:order val="3"/>
          <c:tx>
            <c:strRef>
              <c:f>Ratios!$B$85</c:f>
              <c:strCache>
                <c:ptCount val="1"/>
                <c:pt idx="0">
                  <c:v>Nettomarge (Umsatzrendite)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Ratios!$C$79:$F$79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Ratios!$C$85:$F$85</c:f>
              <c:numCache>
                <c:formatCode>0.0%</c:formatCode>
                <c:ptCount val="4"/>
                <c:pt idx="0">
                  <c:v>0.14062499999999994</c:v>
                </c:pt>
                <c:pt idx="1">
                  <c:v>0.13010989010989005</c:v>
                </c:pt>
                <c:pt idx="2">
                  <c:v>9.551111111111113E-2</c:v>
                </c:pt>
                <c:pt idx="3">
                  <c:v>6.951492537313432E-2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99968"/>
        <c:axId val="535298048"/>
      </c:barChart>
      <c:lineChart>
        <c:grouping val="standard"/>
        <c:varyColors val="0"/>
        <c:ser>
          <c:idx val="4"/>
          <c:order val="0"/>
          <c:tx>
            <c:strRef>
              <c:f>Ratios!$B$80</c:f>
              <c:strCache>
                <c:ptCount val="1"/>
                <c:pt idx="0">
                  <c:v>Umsatz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Ratios!$C$79:$F$79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Ratios!$C$80:$F$80</c:f>
              <c:numCache>
                <c:formatCode>#,##0</c:formatCode>
                <c:ptCount val="4"/>
                <c:pt idx="0">
                  <c:v>16000</c:v>
                </c:pt>
                <c:pt idx="1">
                  <c:v>18200</c:v>
                </c:pt>
                <c:pt idx="2">
                  <c:v>22500</c:v>
                </c:pt>
                <c:pt idx="3">
                  <c:v>26800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925696"/>
        <c:axId val="534927232"/>
      </c:lineChart>
      <c:catAx>
        <c:axId val="53492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4927232"/>
        <c:crosses val="autoZero"/>
        <c:auto val="1"/>
        <c:lblAlgn val="ctr"/>
        <c:lblOffset val="100"/>
        <c:noMultiLvlLbl val="0"/>
      </c:catAx>
      <c:valAx>
        <c:axId val="534927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Umsatz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4925696"/>
        <c:crosses val="autoZero"/>
        <c:crossBetween val="between"/>
      </c:valAx>
      <c:valAx>
        <c:axId val="5352980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Marge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299968"/>
        <c:crosses val="max"/>
        <c:crossBetween val="between"/>
      </c:valAx>
      <c:catAx>
        <c:axId val="53529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52980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Rentabilität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Ratios!$B$87</c:f>
              <c:strCache>
                <c:ptCount val="1"/>
                <c:pt idx="0">
                  <c:v>Eigenkapitalrendite (ROE)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Ratios!$C$79:$F$79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Ratios!$D$87:$F$87</c:f>
              <c:numCache>
                <c:formatCode>0.0%</c:formatCode>
                <c:ptCount val="3"/>
                <c:pt idx="0">
                  <c:v>0.18420847919097627</c:v>
                </c:pt>
                <c:pt idx="1">
                  <c:v>0.18142676234698185</c:v>
                </c:pt>
                <c:pt idx="2">
                  <c:v>0.17853378054623861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D-4CA1-8CE2-A14F03677F4C}"/>
            </c:ext>
          </c:extLst>
        </c:ser>
        <c:ser>
          <c:idx val="0"/>
          <c:order val="1"/>
          <c:tx>
            <c:strRef>
              <c:f>Ratios!$B$89</c:f>
              <c:strCache>
                <c:ptCount val="1"/>
                <c:pt idx="0">
                  <c:v>Gesamtkapitalrendite (ROA, NOPLAT)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Ratios!$C$79:$F$79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Ratios!$D$89:$F$89</c:f>
              <c:numCache>
                <c:formatCode>0.0%</c:formatCode>
                <c:ptCount val="3"/>
                <c:pt idx="0">
                  <c:v>0.11024442082890543</c:v>
                </c:pt>
                <c:pt idx="1">
                  <c:v>9.5285149632975713E-2</c:v>
                </c:pt>
                <c:pt idx="2">
                  <c:v>7.8694942903752035E-2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D-4CA1-8CE2-A14F03677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324928"/>
        <c:axId val="535330816"/>
      </c:barChart>
      <c:lineChart>
        <c:grouping val="standard"/>
        <c:varyColors val="0"/>
        <c:ser>
          <c:idx val="1"/>
          <c:order val="2"/>
          <c:tx>
            <c:strRef>
              <c:f>Ratios!$B$99</c:f>
              <c:strCache>
                <c:ptCount val="1"/>
                <c:pt idx="0">
                  <c:v>Gewinn pro Aktie (EPS)</c:v>
                </c:pt>
              </c:strCache>
            </c:strRef>
          </c:tx>
          <c:marker>
            <c:symbol val="none"/>
          </c:marker>
          <c:val>
            <c:numRef>
              <c:f>Ratios!$D$99:$F$99</c:f>
              <c:numCache>
                <c:formatCode>0.00</c:formatCode>
                <c:ptCount val="3"/>
                <c:pt idx="0">
                  <c:v>2.3679999999999999</c:v>
                </c:pt>
                <c:pt idx="1">
                  <c:v>2.149</c:v>
                </c:pt>
                <c:pt idx="2">
                  <c:v>1.863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D-433D-BB27-EEB9EC701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39008"/>
        <c:axId val="535332736"/>
      </c:lineChart>
      <c:catAx>
        <c:axId val="53532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330816"/>
        <c:crosses val="autoZero"/>
        <c:auto val="1"/>
        <c:lblAlgn val="ctr"/>
        <c:lblOffset val="100"/>
        <c:noMultiLvlLbl val="0"/>
      </c:catAx>
      <c:valAx>
        <c:axId val="535330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Renditen (%)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324928"/>
        <c:crosses val="autoZero"/>
        <c:crossBetween val="between"/>
      </c:valAx>
      <c:valAx>
        <c:axId val="5353327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Gewinn pro</a:t>
                </a:r>
                <a:r>
                  <a:rPr lang="en-US" baseline="0"/>
                  <a:t> Aktie (EPS)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35339008"/>
        <c:crosses val="max"/>
        <c:crossBetween val="between"/>
      </c:valAx>
      <c:catAx>
        <c:axId val="53533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53533273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Ausschüttungspolitik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Ratios!$B$108</c:f>
              <c:strCache>
                <c:ptCount val="1"/>
                <c:pt idx="0">
                  <c:v>Dividendenzahlungen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Ratios!$C$107:$F$107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Ratios!$C$108:$F$108</c:f>
              <c:numCache>
                <c:formatCode>#,##0</c:formatCode>
                <c:ptCount val="4"/>
                <c:pt idx="0">
                  <c:v>3000</c:v>
                </c:pt>
                <c:pt idx="1">
                  <c:v>3818</c:v>
                </c:pt>
                <c:pt idx="2">
                  <c:v>2719</c:v>
                </c:pt>
                <c:pt idx="3">
                  <c:v>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6-4E1F-941D-A7B7487F6B57}"/>
            </c:ext>
          </c:extLst>
        </c:ser>
        <c:ser>
          <c:idx val="1"/>
          <c:order val="2"/>
          <c:tx>
            <c:strRef>
              <c:f>Ratios!$B$109</c:f>
              <c:strCache>
                <c:ptCount val="1"/>
                <c:pt idx="0">
                  <c:v>Aktienrückkäufe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Ratios!$C$107:$F$107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Ratios!$C$109:$F$109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360256"/>
        <c:axId val="535361792"/>
      </c:barChart>
      <c:lineChart>
        <c:grouping val="standard"/>
        <c:varyColors val="0"/>
        <c:ser>
          <c:idx val="0"/>
          <c:order val="1"/>
          <c:tx>
            <c:strRef>
              <c:f>Ratios!$B$112</c:f>
              <c:strCache>
                <c:ptCount val="1"/>
                <c:pt idx="0">
                  <c:v>Dividendenausschüttungsquote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Ref>
              <c:f>Ratios!$C$107:$F$107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Ratios!$C$112:$F$112</c:f>
              <c:numCache>
                <c:formatCode>0%</c:formatCode>
                <c:ptCount val="4"/>
                <c:pt idx="0">
                  <c:v>1.3333333333333333</c:v>
                </c:pt>
                <c:pt idx="1">
                  <c:v>1.6123310810810811</c:v>
                </c:pt>
                <c:pt idx="2">
                  <c:v>1.2652396463471383</c:v>
                </c:pt>
                <c:pt idx="3">
                  <c:v>2.2077294685990339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6-4E1F-941D-A7B7487F6B57}"/>
            </c:ext>
          </c:extLst>
        </c:ser>
        <c:ser>
          <c:idx val="2"/>
          <c:order val="3"/>
          <c:tx>
            <c:strRef>
              <c:f>Ratios!$B$113</c:f>
              <c:strCache>
                <c:ptCount val="1"/>
                <c:pt idx="0">
                  <c:v>Total Ausschüttungsquote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Ratios!$C$107:$F$107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Ratios!$C$113:$F$113</c:f>
              <c:numCache>
                <c:formatCode>0%</c:formatCode>
                <c:ptCount val="4"/>
                <c:pt idx="0">
                  <c:v>1.3333333333333333</c:v>
                </c:pt>
                <c:pt idx="1">
                  <c:v>1.6123310810810811</c:v>
                </c:pt>
                <c:pt idx="2">
                  <c:v>1.2652396463471383</c:v>
                </c:pt>
                <c:pt idx="3">
                  <c:v>2.2077294685990339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C-49DF-A429-0054EEBD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69984"/>
        <c:axId val="535368064"/>
      </c:lineChart>
      <c:catAx>
        <c:axId val="5353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361792"/>
        <c:crosses val="autoZero"/>
        <c:auto val="1"/>
        <c:lblAlgn val="ctr"/>
        <c:lblOffset val="100"/>
        <c:noMultiLvlLbl val="0"/>
      </c:catAx>
      <c:valAx>
        <c:axId val="535361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Dividendenzahlungen 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360256"/>
        <c:crosses val="autoZero"/>
        <c:crossBetween val="between"/>
      </c:valAx>
      <c:valAx>
        <c:axId val="535368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Ausschüttungsquote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369984"/>
        <c:crosses val="max"/>
        <c:crossBetween val="between"/>
      </c:valAx>
      <c:catAx>
        <c:axId val="53536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3680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1"/>
            </a:pPr>
            <a:r>
              <a:rPr lang="en-US" sz="1200" b="1"/>
              <a:t>Zinsdeckungsgrad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Ratios!$B$71</c:f>
              <c:strCache>
                <c:ptCount val="1"/>
                <c:pt idx="0">
                  <c:v>Fremdkapital/EBIT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Ratios!$C$59:$F$59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Ratios!$C$71:$F$71</c:f>
              <c:numCache>
                <c:formatCode>0.00</c:formatCode>
                <c:ptCount val="4"/>
                <c:pt idx="0">
                  <c:v>2.1875</c:v>
                </c:pt>
                <c:pt idx="1">
                  <c:v>3.0364372469635628</c:v>
                </c:pt>
                <c:pt idx="2">
                  <c:v>4.4444444444444446</c:v>
                </c:pt>
                <c:pt idx="3">
                  <c:v>6.6853233830845769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3-4EEF-97B8-D4ABF32BF8E3}"/>
            </c:ext>
          </c:extLst>
        </c:ser>
        <c:ser>
          <c:idx val="5"/>
          <c:order val="1"/>
          <c:tx>
            <c:strRef>
              <c:f>Ratios!$B$72</c:f>
              <c:strCache>
                <c:ptCount val="1"/>
                <c:pt idx="0">
                  <c:v>Fremdkapital/EBITDA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Ratios!$C$59:$F$59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Ratios!$C$72:$F$72</c:f>
              <c:numCache>
                <c:formatCode>0.00</c:formatCode>
                <c:ptCount val="4"/>
                <c:pt idx="0">
                  <c:v>1.3318112633181127</c:v>
                </c:pt>
                <c:pt idx="1">
                  <c:v>1.8305439330543933</c:v>
                </c:pt>
                <c:pt idx="2">
                  <c:v>2.5389302640487474</c:v>
                </c:pt>
                <c:pt idx="3">
                  <c:v>3.547854785478548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3-4EEF-97B8-D4ABF32B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389312"/>
        <c:axId val="535390848"/>
      </c:barChart>
      <c:lineChart>
        <c:grouping val="standard"/>
        <c:varyColors val="0"/>
        <c:ser>
          <c:idx val="0"/>
          <c:order val="2"/>
          <c:tx>
            <c:v>ICR (EBIT)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Ratios!$C$68:$F$68</c:f>
              <c:numCache>
                <c:formatCode>0.00</c:formatCode>
                <c:ptCount val="4"/>
                <c:pt idx="0">
                  <c:v>16</c:v>
                </c:pt>
                <c:pt idx="1">
                  <c:v>11.526666666666667</c:v>
                </c:pt>
                <c:pt idx="2">
                  <c:v>6.617647058823529</c:v>
                </c:pt>
                <c:pt idx="3">
                  <c:v>4.3934426229508201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6-4244-9F41-24C98B8BD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403136"/>
        <c:axId val="535401216"/>
      </c:lineChart>
      <c:catAx>
        <c:axId val="5353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390848"/>
        <c:crosses val="autoZero"/>
        <c:auto val="1"/>
        <c:lblAlgn val="ctr"/>
        <c:lblOffset val="100"/>
        <c:noMultiLvlLbl val="0"/>
      </c:catAx>
      <c:valAx>
        <c:axId val="535390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Fremdkapital/EBIT(DA) </a:t>
                </a:r>
              </a:p>
            </c:rich>
          </c:tx>
          <c:layout/>
          <c:overlay val="0"/>
        </c:title>
        <c:numFmt formatCode="#,##0.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389312"/>
        <c:crosses val="autoZero"/>
        <c:crossBetween val="between"/>
      </c:valAx>
      <c:valAx>
        <c:axId val="5354012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Zinsdeckungsgrad (ICR)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535403136"/>
        <c:crosses val="max"/>
        <c:crossBetween val="between"/>
      </c:valAx>
      <c:catAx>
        <c:axId val="53540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5354012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Wertschöpfung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95885416666699"/>
          <c:y val="0.13717219186985499"/>
          <c:w val="0.74355781249999997"/>
          <c:h val="0.7026498797142709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Ratios!$B$129</c:f>
              <c:strCache>
                <c:ptCount val="1"/>
                <c:pt idx="0">
                  <c:v>EVA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Ratios!$C$107:$F$107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Ratios!$D$129:$F$129</c:f>
              <c:numCache>
                <c:formatCode>#,##0</c:formatCode>
                <c:ptCount val="3"/>
                <c:pt idx="0">
                  <c:v>535.5</c:v>
                </c:pt>
                <c:pt idx="1">
                  <c:v>268.25</c:v>
                </c:pt>
                <c:pt idx="2">
                  <c:v>-244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26560"/>
        <c:axId val="535428096"/>
      </c:barChart>
      <c:lineChart>
        <c:grouping val="standard"/>
        <c:varyColors val="0"/>
        <c:ser>
          <c:idx val="0"/>
          <c:order val="1"/>
          <c:tx>
            <c:strRef>
              <c:f>Ratios!$B$128</c:f>
              <c:strCache>
                <c:ptCount val="1"/>
                <c:pt idx="0">
                  <c:v>Return Spread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Ref>
              <c:f>Ratios!$C$107:$F$107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Ratios!$D$128:$F$128</c:f>
              <c:numCache>
                <c:formatCode>0.0%</c:formatCode>
                <c:ptCount val="3"/>
                <c:pt idx="0">
                  <c:v>2.6020408163265313E-2</c:v>
                </c:pt>
                <c:pt idx="1">
                  <c:v>1.1853733981440559E-2</c:v>
                </c:pt>
                <c:pt idx="2">
                  <c:v>-9.1867469879518132E-3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452672"/>
        <c:axId val="535450752"/>
      </c:lineChart>
      <c:catAx>
        <c:axId val="5354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428096"/>
        <c:crosses val="autoZero"/>
        <c:auto val="1"/>
        <c:lblAlgn val="ctr"/>
        <c:lblOffset val="100"/>
        <c:noMultiLvlLbl val="0"/>
      </c:catAx>
      <c:valAx>
        <c:axId val="535428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Economic Value Added (EVA)</a:t>
                </a:r>
              </a:p>
            </c:rich>
          </c:tx>
          <c:layout>
            <c:manualLayout>
              <c:xMode val="edge"/>
              <c:yMode val="edge"/>
              <c:x val="2.21653878942881E-2"/>
              <c:y val="0.2819527256037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426560"/>
        <c:crosses val="autoZero"/>
        <c:crossBetween val="between"/>
      </c:valAx>
      <c:valAx>
        <c:axId val="5354507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Return Spread (ROIC - WACC)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452672"/>
        <c:crosses val="max"/>
        <c:crossBetween val="between"/>
      </c:valAx>
      <c:catAx>
        <c:axId val="53545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4507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Liquiditätsmasse</a:t>
            </a:r>
            <a:endParaRPr lang="en-US" sz="1400" b="1" baseline="0"/>
          </a:p>
        </c:rich>
      </c:tx>
      <c:layout/>
      <c:overlay val="0"/>
      <c:spPr>
        <a:noFill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Ratios!$B$7</c:f>
              <c:strCache>
                <c:ptCount val="1"/>
                <c:pt idx="0">
                  <c:v>Current Ratio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Ratios!$C$15:$F$15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Ratios!$C$7:$F$7</c:f>
              <c:numCache>
                <c:formatCode>0.00</c:formatCode>
                <c:ptCount val="4"/>
                <c:pt idx="0">
                  <c:v>0.82627118644067798</c:v>
                </c:pt>
                <c:pt idx="1">
                  <c:v>0.93891402714932126</c:v>
                </c:pt>
                <c:pt idx="2">
                  <c:v>1.1784232365145229</c:v>
                </c:pt>
                <c:pt idx="3">
                  <c:v>1.2216582064297801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AA-43FA-BD02-CB50782156F3}"/>
            </c:ext>
          </c:extLst>
        </c:ser>
        <c:ser>
          <c:idx val="5"/>
          <c:order val="1"/>
          <c:tx>
            <c:strRef>
              <c:f>Ratios!$B$8</c:f>
              <c:strCache>
                <c:ptCount val="1"/>
                <c:pt idx="0">
                  <c:v>Quick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Ratios!$C$15:$F$15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Ratios!$C$8:$F$8</c:f>
              <c:numCache>
                <c:formatCode>0.00</c:formatCode>
                <c:ptCount val="4"/>
                <c:pt idx="0">
                  <c:v>0.52966101694915257</c:v>
                </c:pt>
                <c:pt idx="1">
                  <c:v>0.52601809954751133</c:v>
                </c:pt>
                <c:pt idx="2">
                  <c:v>0.70539419087136934</c:v>
                </c:pt>
                <c:pt idx="3">
                  <c:v>0.81218274111675126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AA-43FA-BD02-CB50782156F3}"/>
            </c:ext>
          </c:extLst>
        </c:ser>
        <c:ser>
          <c:idx val="6"/>
          <c:order val="2"/>
          <c:tx>
            <c:strRef>
              <c:f>Ratios!$B$9</c:f>
              <c:strCache>
                <c:ptCount val="1"/>
                <c:pt idx="0">
                  <c:v>Cash Ratio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Ratios!$C$15:$F$15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Ratios!$C$9:$F$9</c:f>
              <c:numCache>
                <c:formatCode>0.00</c:formatCode>
                <c:ptCount val="4"/>
                <c:pt idx="0">
                  <c:v>0.21186440677966101</c:v>
                </c:pt>
                <c:pt idx="1">
                  <c:v>0.18099547511312217</c:v>
                </c:pt>
                <c:pt idx="2">
                  <c:v>0.14522821576763487</c:v>
                </c:pt>
                <c:pt idx="3">
                  <c:v>0.10152284263959391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AA-43FA-BD02-CB50782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73152"/>
        <c:axId val="535479040"/>
      </c:barChart>
      <c:catAx>
        <c:axId val="53547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479040"/>
        <c:crosses val="autoZero"/>
        <c:auto val="1"/>
        <c:lblAlgn val="ctr"/>
        <c:lblOffset val="100"/>
        <c:noMultiLvlLbl val="0"/>
      </c:catAx>
      <c:valAx>
        <c:axId val="535479040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547315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Umsatz und Wachstum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1"/>
          <c:tx>
            <c:strRef>
              <c:f>Ratios!$B$80</c:f>
              <c:strCache>
                <c:ptCount val="1"/>
                <c:pt idx="0">
                  <c:v>Umsatz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76470588235294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7F-4927-9219-0098C17E1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Ratios!$C$79:$F$79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Ratios!$C$80:$F$80</c:f>
              <c:numCache>
                <c:formatCode>#,##0</c:formatCode>
                <c:ptCount val="4"/>
                <c:pt idx="0">
                  <c:v>16000</c:v>
                </c:pt>
                <c:pt idx="1">
                  <c:v>18200</c:v>
                </c:pt>
                <c:pt idx="2">
                  <c:v>22500</c:v>
                </c:pt>
                <c:pt idx="3">
                  <c:v>26800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726784"/>
        <c:axId val="538728320"/>
      </c:barChart>
      <c:lineChart>
        <c:grouping val="standard"/>
        <c:varyColors val="0"/>
        <c:ser>
          <c:idx val="4"/>
          <c:order val="0"/>
          <c:tx>
            <c:strRef>
              <c:f>Ratios!$B$81</c:f>
              <c:strCache>
                <c:ptCount val="1"/>
                <c:pt idx="0">
                  <c:v>Umsatzwachstum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372549019607799E-2"/>
                  <c:y val="-7.820099590354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7F-4927-9219-0098C17E1F7A}"/>
                </c:ext>
              </c:extLst>
            </c:dLbl>
            <c:dLbl>
              <c:idx val="4"/>
              <c:layout>
                <c:manualLayout>
                  <c:x val="-3.7411764705882401E-2"/>
                  <c:y val="4.3294331199254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7F-4927-9219-0098C17E1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Ratios!$C$79:$F$79</c:f>
              <c:strCache>
                <c:ptCount val="4"/>
                <c:pt idx="0">
                  <c:v>Jahr -3</c:v>
                </c:pt>
                <c:pt idx="1">
                  <c:v>Jahr -2</c:v>
                </c:pt>
                <c:pt idx="2">
                  <c:v>Jahr -1</c:v>
                </c:pt>
                <c:pt idx="3">
                  <c:v>Jahr 0</c:v>
                </c:pt>
              </c:strCache>
            </c:strRef>
          </c:cat>
          <c:val>
            <c:numRef>
              <c:f>Ratios!$C$81:$F$81</c:f>
              <c:numCache>
                <c:formatCode>0.0%</c:formatCode>
                <c:ptCount val="4"/>
                <c:pt idx="1">
                  <c:v>0.13749999999999996</c:v>
                </c:pt>
                <c:pt idx="2">
                  <c:v>0.23626373626373631</c:v>
                </c:pt>
                <c:pt idx="3">
                  <c:v>0.19111111111111101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732416"/>
        <c:axId val="538730496"/>
      </c:lineChart>
      <c:catAx>
        <c:axId val="5387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8728320"/>
        <c:crosses val="autoZero"/>
        <c:auto val="1"/>
        <c:lblAlgn val="ctr"/>
        <c:lblOffset val="100"/>
        <c:noMultiLvlLbl val="0"/>
      </c:catAx>
      <c:valAx>
        <c:axId val="538728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Umsatz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8726784"/>
        <c:crosses val="autoZero"/>
        <c:crossBetween val="between"/>
      </c:valAx>
      <c:valAx>
        <c:axId val="5387304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Umsatzwachstum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538732416"/>
        <c:crosses val="max"/>
        <c:crossBetween val="between"/>
      </c:valAx>
      <c:catAx>
        <c:axId val="5387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87304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1364823</xdr:colOff>
      <xdr:row>29</xdr:row>
      <xdr:rowOff>76440</xdr:rowOff>
    </xdr:from>
    <xdr:to>
      <xdr:col>4</xdr:col>
      <xdr:colOff>549089</xdr:colOff>
      <xdr:row>29</xdr:row>
      <xdr:rowOff>3676440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178680</xdr:colOff>
      <xdr:row>73</xdr:row>
      <xdr:rowOff>117155</xdr:rowOff>
    </xdr:from>
    <xdr:to>
      <xdr:col>5</xdr:col>
      <xdr:colOff>102015</xdr:colOff>
      <xdr:row>73</xdr:row>
      <xdr:rowOff>3717155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207818</xdr:colOff>
      <xdr:row>101</xdr:row>
      <xdr:rowOff>57203</xdr:rowOff>
    </xdr:from>
    <xdr:to>
      <xdr:col>5</xdr:col>
      <xdr:colOff>131153</xdr:colOff>
      <xdr:row>101</xdr:row>
      <xdr:rowOff>3657203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747566</xdr:colOff>
      <xdr:row>102</xdr:row>
      <xdr:rowOff>65714</xdr:rowOff>
    </xdr:from>
    <xdr:to>
      <xdr:col>5</xdr:col>
      <xdr:colOff>691712</xdr:colOff>
      <xdr:row>102</xdr:row>
      <xdr:rowOff>3665714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328655</xdr:colOff>
      <xdr:row>114</xdr:row>
      <xdr:rowOff>76040</xdr:rowOff>
    </xdr:from>
    <xdr:to>
      <xdr:col>5</xdr:col>
      <xdr:colOff>272801</xdr:colOff>
      <xdr:row>114</xdr:row>
      <xdr:rowOff>3676040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142315</xdr:colOff>
      <xdr:row>74</xdr:row>
      <xdr:rowOff>35538</xdr:rowOff>
    </xdr:from>
    <xdr:to>
      <xdr:col>5</xdr:col>
      <xdr:colOff>86461</xdr:colOff>
      <xdr:row>74</xdr:row>
      <xdr:rowOff>3635538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359630</xdr:colOff>
      <xdr:row>130</xdr:row>
      <xdr:rowOff>84044</xdr:rowOff>
    </xdr:from>
    <xdr:to>
      <xdr:col>5</xdr:col>
      <xdr:colOff>303776</xdr:colOff>
      <xdr:row>130</xdr:row>
      <xdr:rowOff>3684044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10</xdr:row>
      <xdr:rowOff>38101</xdr:rowOff>
    </xdr:from>
    <xdr:to>
      <xdr:col>5</xdr:col>
      <xdr:colOff>448235</xdr:colOff>
      <xdr:row>10</xdr:row>
      <xdr:rowOff>3721100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428811</xdr:colOff>
      <xdr:row>101</xdr:row>
      <xdr:rowOff>61153</xdr:rowOff>
    </xdr:from>
    <xdr:to>
      <xdr:col>11</xdr:col>
      <xdr:colOff>175253</xdr:colOff>
      <xdr:row>101</xdr:row>
      <xdr:rowOff>3661153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1680081</xdr:colOff>
      <xdr:row>29</xdr:row>
      <xdr:rowOff>58698</xdr:rowOff>
    </xdr:from>
    <xdr:to>
      <xdr:col>10</xdr:col>
      <xdr:colOff>297131</xdr:colOff>
      <xdr:row>29</xdr:row>
      <xdr:rowOff>3658698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476250</xdr:colOff>
      <xdr:row>37</xdr:row>
      <xdr:rowOff>0</xdr:rowOff>
    </xdr:from>
    <xdr:to>
      <xdr:col>5</xdr:col>
      <xdr:colOff>918882</xdr:colOff>
      <xdr:row>55</xdr:row>
      <xdr:rowOff>63499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4"/>
  <sheetViews>
    <sheetView topLeftCell="A8" workbookViewId="0">
      <selection activeCell="G40" sqref="G40"/>
    </sheetView>
  </sheetViews>
  <sheetFormatPr defaultColWidth="8.81640625" defaultRowHeight="14.5" x14ac:dyDescent="0.35"/>
  <cols>
    <col min="2" max="2" width="36.54296875" bestFit="1" customWidth="1"/>
    <col min="3" max="6" width="10.54296875" style="70" bestFit="1" customWidth="1"/>
  </cols>
  <sheetData>
    <row r="2" spans="2:6" x14ac:dyDescent="0.35">
      <c r="B2" s="93" t="s">
        <v>37</v>
      </c>
      <c r="C2" s="94"/>
      <c r="D2" s="94"/>
      <c r="E2" s="94"/>
      <c r="F2" s="94"/>
    </row>
    <row r="3" spans="2:6" x14ac:dyDescent="0.35">
      <c r="B3" s="16"/>
      <c r="C3" s="94"/>
      <c r="D3" s="94"/>
      <c r="E3" s="94"/>
      <c r="F3" s="94"/>
    </row>
    <row r="4" spans="2:6" x14ac:dyDescent="0.35">
      <c r="B4" s="89" t="s">
        <v>42</v>
      </c>
      <c r="C4" s="79" t="s">
        <v>21</v>
      </c>
      <c r="D4" s="79" t="s">
        <v>22</v>
      </c>
      <c r="E4" s="79" t="s">
        <v>23</v>
      </c>
      <c r="F4" s="79" t="s">
        <v>24</v>
      </c>
    </row>
    <row r="5" spans="2:6" x14ac:dyDescent="0.35">
      <c r="B5" s="82"/>
      <c r="C5" s="20" t="s">
        <v>25</v>
      </c>
      <c r="D5" s="20" t="s">
        <v>25</v>
      </c>
      <c r="E5" s="20" t="s">
        <v>25</v>
      </c>
      <c r="F5" s="20" t="s">
        <v>25</v>
      </c>
    </row>
    <row r="6" spans="2:6" x14ac:dyDescent="0.35">
      <c r="B6" s="9" t="s">
        <v>13</v>
      </c>
      <c r="C6" s="11">
        <v>1000</v>
      </c>
      <c r="D6" s="11">
        <v>800</v>
      </c>
      <c r="E6" s="11">
        <v>700</v>
      </c>
      <c r="F6" s="11">
        <v>600</v>
      </c>
    </row>
    <row r="7" spans="2:6" x14ac:dyDescent="0.35">
      <c r="B7" s="9" t="s">
        <v>14</v>
      </c>
      <c r="C7" s="71">
        <v>1500</v>
      </c>
      <c r="D7" s="71">
        <v>1525</v>
      </c>
      <c r="E7" s="71">
        <v>2700</v>
      </c>
      <c r="F7" s="71">
        <v>4200</v>
      </c>
    </row>
    <row r="8" spans="2:6" x14ac:dyDescent="0.35">
      <c r="B8" s="9" t="s">
        <v>15</v>
      </c>
      <c r="C8" s="71">
        <v>900</v>
      </c>
      <c r="D8" s="71">
        <v>1300</v>
      </c>
      <c r="E8" s="71">
        <v>1800</v>
      </c>
      <c r="F8" s="71">
        <v>1900</v>
      </c>
    </row>
    <row r="9" spans="2:6" x14ac:dyDescent="0.35">
      <c r="B9" s="9" t="s">
        <v>16</v>
      </c>
      <c r="C9" s="71">
        <v>500</v>
      </c>
      <c r="D9" s="71">
        <v>525</v>
      </c>
      <c r="E9" s="71">
        <v>480</v>
      </c>
      <c r="F9" s="71">
        <v>520</v>
      </c>
    </row>
    <row r="10" spans="2:6" x14ac:dyDescent="0.35">
      <c r="B10" s="13" t="s">
        <v>17</v>
      </c>
      <c r="C10" s="72">
        <f>SUM(C6:C9)</f>
        <v>3900</v>
      </c>
      <c r="D10" s="72">
        <f>SUM(D6:D9)</f>
        <v>4150</v>
      </c>
      <c r="E10" s="72">
        <f>SUM(E6:E9)</f>
        <v>5680</v>
      </c>
      <c r="F10" s="72">
        <f>SUM(F6:F9)</f>
        <v>7220</v>
      </c>
    </row>
    <row r="11" spans="2:6" x14ac:dyDescent="0.35">
      <c r="B11" s="9" t="s">
        <v>18</v>
      </c>
      <c r="C11" s="71">
        <v>10000</v>
      </c>
      <c r="D11" s="71">
        <v>11500</v>
      </c>
      <c r="E11" s="71">
        <v>14000</v>
      </c>
      <c r="F11" s="71">
        <v>17000</v>
      </c>
    </row>
    <row r="12" spans="2:6" x14ac:dyDescent="0.35">
      <c r="B12" s="9" t="s">
        <v>1</v>
      </c>
      <c r="C12" s="71">
        <v>6000</v>
      </c>
      <c r="D12" s="71">
        <v>6000</v>
      </c>
      <c r="E12" s="71">
        <v>6000</v>
      </c>
      <c r="F12" s="71">
        <v>6000</v>
      </c>
    </row>
    <row r="13" spans="2:6" x14ac:dyDescent="0.35">
      <c r="B13" s="9" t="s">
        <v>19</v>
      </c>
      <c r="C13" s="71">
        <v>2500</v>
      </c>
      <c r="D13" s="71">
        <v>3000</v>
      </c>
      <c r="E13" s="71">
        <v>2800</v>
      </c>
      <c r="F13" s="71">
        <v>2600</v>
      </c>
    </row>
    <row r="14" spans="2:6" x14ac:dyDescent="0.35">
      <c r="B14" s="13" t="s">
        <v>74</v>
      </c>
      <c r="C14" s="72">
        <f>SUM(C11:C13)</f>
        <v>18500</v>
      </c>
      <c r="D14" s="72">
        <f t="shared" ref="D14:F14" si="0">SUM(D11:D13)</f>
        <v>20500</v>
      </c>
      <c r="E14" s="72">
        <f t="shared" si="0"/>
        <v>22800</v>
      </c>
      <c r="F14" s="72">
        <f t="shared" si="0"/>
        <v>25600</v>
      </c>
    </row>
    <row r="15" spans="2:6" x14ac:dyDescent="0.35">
      <c r="B15" s="8" t="s">
        <v>20</v>
      </c>
      <c r="C15" s="73">
        <f>C14+C10</f>
        <v>22400</v>
      </c>
      <c r="D15" s="73">
        <f t="shared" ref="D15:F15" si="1">D14+D10</f>
        <v>24650</v>
      </c>
      <c r="E15" s="73">
        <f t="shared" si="1"/>
        <v>28480</v>
      </c>
      <c r="F15" s="73">
        <f t="shared" si="1"/>
        <v>32820</v>
      </c>
    </row>
    <row r="16" spans="2:6" x14ac:dyDescent="0.35">
      <c r="B16" s="16"/>
      <c r="C16" s="11"/>
      <c r="D16" s="11"/>
      <c r="E16" s="11" t="s">
        <v>0</v>
      </c>
      <c r="F16" s="11" t="s">
        <v>0</v>
      </c>
    </row>
    <row r="17" spans="2:6" x14ac:dyDescent="0.35">
      <c r="B17" s="89" t="s">
        <v>26</v>
      </c>
      <c r="C17" s="79" t="s">
        <v>21</v>
      </c>
      <c r="D17" s="79" t="s">
        <v>22</v>
      </c>
      <c r="E17" s="79" t="s">
        <v>23</v>
      </c>
      <c r="F17" s="79" t="s">
        <v>24</v>
      </c>
    </row>
    <row r="18" spans="2:6" x14ac:dyDescent="0.35">
      <c r="B18" s="82"/>
      <c r="C18" s="20" t="s">
        <v>25</v>
      </c>
      <c r="D18" s="20" t="s">
        <v>25</v>
      </c>
      <c r="E18" s="20" t="s">
        <v>25</v>
      </c>
      <c r="F18" s="20" t="s">
        <v>25</v>
      </c>
    </row>
    <row r="19" spans="2:6" x14ac:dyDescent="0.35">
      <c r="B19" s="9" t="s">
        <v>27</v>
      </c>
      <c r="C19" s="71">
        <v>500</v>
      </c>
      <c r="D19" s="71">
        <v>530</v>
      </c>
      <c r="E19" s="71">
        <v>400</v>
      </c>
      <c r="F19" s="71">
        <v>300</v>
      </c>
    </row>
    <row r="20" spans="2:6" x14ac:dyDescent="0.35">
      <c r="B20" s="9" t="s">
        <v>34</v>
      </c>
      <c r="C20" s="11">
        <v>500</v>
      </c>
      <c r="D20" s="11">
        <v>550</v>
      </c>
      <c r="E20" s="11">
        <v>600</v>
      </c>
      <c r="F20" s="11">
        <v>700</v>
      </c>
    </row>
    <row r="21" spans="2:6" x14ac:dyDescent="0.35">
      <c r="B21" s="9" t="s">
        <v>35</v>
      </c>
      <c r="C21" s="71">
        <v>720</v>
      </c>
      <c r="D21" s="71">
        <v>840</v>
      </c>
      <c r="E21" s="71">
        <v>820</v>
      </c>
      <c r="F21" s="71">
        <v>910</v>
      </c>
    </row>
    <row r="22" spans="2:6" x14ac:dyDescent="0.35">
      <c r="B22" s="9" t="s">
        <v>28</v>
      </c>
      <c r="C22" s="71">
        <v>3000</v>
      </c>
      <c r="D22" s="71">
        <v>2500</v>
      </c>
      <c r="E22" s="71">
        <v>3000</v>
      </c>
      <c r="F22" s="71">
        <v>4000</v>
      </c>
    </row>
    <row r="23" spans="2:6" x14ac:dyDescent="0.35">
      <c r="B23" s="13" t="s">
        <v>36</v>
      </c>
      <c r="C23" s="72">
        <f>SUM(C19:C22)</f>
        <v>4720</v>
      </c>
      <c r="D23" s="72">
        <f>SUM(D19:D22)</f>
        <v>4420</v>
      </c>
      <c r="E23" s="72">
        <f>SUM(E19:E22)</f>
        <v>4820</v>
      </c>
      <c r="F23" s="72">
        <f>SUM(F19:F22)</f>
        <v>5910</v>
      </c>
    </row>
    <row r="24" spans="2:6" x14ac:dyDescent="0.35">
      <c r="B24" s="9" t="s">
        <v>29</v>
      </c>
      <c r="C24" s="71">
        <v>4000</v>
      </c>
      <c r="D24" s="71">
        <v>8000</v>
      </c>
      <c r="E24" s="71">
        <v>12000</v>
      </c>
      <c r="F24" s="71">
        <v>17500</v>
      </c>
    </row>
    <row r="25" spans="2:6" x14ac:dyDescent="0.35">
      <c r="B25" s="9" t="s">
        <v>30</v>
      </c>
      <c r="C25" s="71">
        <v>100</v>
      </c>
      <c r="D25" s="71">
        <v>100</v>
      </c>
      <c r="E25" s="71">
        <v>100</v>
      </c>
      <c r="F25" s="71">
        <v>100</v>
      </c>
    </row>
    <row r="26" spans="2:6" x14ac:dyDescent="0.35">
      <c r="B26" s="8" t="s">
        <v>31</v>
      </c>
      <c r="C26" s="73">
        <f>SUM(C23:C25)</f>
        <v>8820</v>
      </c>
      <c r="D26" s="73">
        <f>SUM(D23:D25)</f>
        <v>12520</v>
      </c>
      <c r="E26" s="73">
        <f>SUM(E23:E25)</f>
        <v>16920</v>
      </c>
      <c r="F26" s="73">
        <f>SUM(F23:F25)</f>
        <v>23510</v>
      </c>
    </row>
    <row r="27" spans="2:6" x14ac:dyDescent="0.35">
      <c r="B27" s="18" t="s">
        <v>0</v>
      </c>
      <c r="C27" s="11"/>
      <c r="D27" s="11"/>
      <c r="E27" s="11" t="s">
        <v>0</v>
      </c>
      <c r="F27" s="11" t="s">
        <v>0</v>
      </c>
    </row>
    <row r="28" spans="2:6" x14ac:dyDescent="0.35">
      <c r="B28" s="9" t="s">
        <v>75</v>
      </c>
      <c r="C28" s="71">
        <v>1000</v>
      </c>
      <c r="D28" s="71">
        <v>1000</v>
      </c>
      <c r="E28" s="71">
        <v>1000</v>
      </c>
      <c r="F28" s="71">
        <v>1000</v>
      </c>
    </row>
    <row r="29" spans="2:6" x14ac:dyDescent="0.35">
      <c r="B29" s="9" t="s">
        <v>76</v>
      </c>
      <c r="C29" s="71">
        <f>C15-C26-C28</f>
        <v>12580</v>
      </c>
      <c r="D29" s="71">
        <f t="shared" ref="D29:F29" si="2">D15-D26-D28</f>
        <v>11130</v>
      </c>
      <c r="E29" s="71">
        <f t="shared" si="2"/>
        <v>10560</v>
      </c>
      <c r="F29" s="71">
        <f t="shared" si="2"/>
        <v>8310</v>
      </c>
    </row>
    <row r="30" spans="2:6" x14ac:dyDescent="0.35">
      <c r="B30" s="8" t="s">
        <v>32</v>
      </c>
      <c r="C30" s="74">
        <f>SUM(C28:C29)</f>
        <v>13580</v>
      </c>
      <c r="D30" s="74">
        <f>SUM(D28:D29)</f>
        <v>12130</v>
      </c>
      <c r="E30" s="74">
        <f>SUM(E28:E29)</f>
        <v>11560</v>
      </c>
      <c r="F30" s="74">
        <f>SUM(F28:F29)</f>
        <v>9310</v>
      </c>
    </row>
    <row r="31" spans="2:6" x14ac:dyDescent="0.35">
      <c r="B31" s="8" t="s">
        <v>33</v>
      </c>
      <c r="C31" s="73">
        <f>C30+C26</f>
        <v>22400</v>
      </c>
      <c r="D31" s="73">
        <f>D30+D26</f>
        <v>24650</v>
      </c>
      <c r="E31" s="73">
        <f>E30+E26</f>
        <v>28480</v>
      </c>
      <c r="F31" s="73">
        <f>F30+F26</f>
        <v>32820</v>
      </c>
    </row>
    <row r="35" spans="2:6" x14ac:dyDescent="0.35">
      <c r="B35" s="65" t="s">
        <v>38</v>
      </c>
    </row>
    <row r="36" spans="2:6" x14ac:dyDescent="0.35">
      <c r="B36" s="90" t="s">
        <v>39</v>
      </c>
      <c r="C36" s="91">
        <v>1000</v>
      </c>
      <c r="D36" s="91">
        <v>1000</v>
      </c>
      <c r="E36" s="91">
        <v>1000</v>
      </c>
      <c r="F36" s="91">
        <v>1000</v>
      </c>
    </row>
    <row r="39" spans="2:6" x14ac:dyDescent="0.35">
      <c r="B39" s="122" t="s">
        <v>133</v>
      </c>
      <c r="C39" s="97" t="s">
        <v>21</v>
      </c>
      <c r="D39" s="97" t="s">
        <v>22</v>
      </c>
      <c r="E39" s="97" t="s">
        <v>23</v>
      </c>
      <c r="F39" s="97" t="s">
        <v>24</v>
      </c>
    </row>
    <row r="40" spans="2:6" x14ac:dyDescent="0.35">
      <c r="B40" s="123" t="s">
        <v>134</v>
      </c>
      <c r="C40" s="124">
        <f>C6</f>
        <v>1000</v>
      </c>
      <c r="D40" s="124">
        <f t="shared" ref="D40:F40" si="3">D6</f>
        <v>800</v>
      </c>
      <c r="E40" s="124">
        <f t="shared" si="3"/>
        <v>700</v>
      </c>
      <c r="F40" s="124">
        <f t="shared" si="3"/>
        <v>600</v>
      </c>
    </row>
    <row r="41" spans="2:6" x14ac:dyDescent="0.35">
      <c r="B41" s="123" t="s">
        <v>135</v>
      </c>
      <c r="C41" s="124">
        <f t="shared" ref="C41:F41" si="4">C7</f>
        <v>1500</v>
      </c>
      <c r="D41" s="124">
        <f t="shared" si="4"/>
        <v>1525</v>
      </c>
      <c r="E41" s="124">
        <f t="shared" si="4"/>
        <v>2700</v>
      </c>
      <c r="F41" s="124">
        <f t="shared" si="4"/>
        <v>4200</v>
      </c>
    </row>
    <row r="42" spans="2:6" x14ac:dyDescent="0.35">
      <c r="B42" s="123" t="s">
        <v>15</v>
      </c>
      <c r="C42" s="124">
        <f t="shared" ref="C42:F42" si="5">C8</f>
        <v>900</v>
      </c>
      <c r="D42" s="124">
        <f t="shared" si="5"/>
        <v>1300</v>
      </c>
      <c r="E42" s="124">
        <f t="shared" si="5"/>
        <v>1800</v>
      </c>
      <c r="F42" s="124">
        <f t="shared" si="5"/>
        <v>1900</v>
      </c>
    </row>
    <row r="43" spans="2:6" x14ac:dyDescent="0.35">
      <c r="B43" s="123" t="s">
        <v>136</v>
      </c>
      <c r="C43" s="124">
        <f t="shared" ref="C43:F43" si="6">C9</f>
        <v>500</v>
      </c>
      <c r="D43" s="124">
        <f t="shared" si="6"/>
        <v>525</v>
      </c>
      <c r="E43" s="124">
        <f t="shared" si="6"/>
        <v>480</v>
      </c>
      <c r="F43" s="124">
        <f t="shared" si="6"/>
        <v>520</v>
      </c>
    </row>
    <row r="44" spans="2:6" x14ac:dyDescent="0.35">
      <c r="B44" s="122" t="s">
        <v>137</v>
      </c>
      <c r="C44" s="125">
        <f>SUM(C40:C43)</f>
        <v>3900</v>
      </c>
      <c r="D44" s="125">
        <f t="shared" ref="D44:F44" si="7">SUM(D40:D43)</f>
        <v>4150</v>
      </c>
      <c r="E44" s="125">
        <f t="shared" si="7"/>
        <v>5680</v>
      </c>
      <c r="F44" s="125">
        <f t="shared" si="7"/>
        <v>7220</v>
      </c>
    </row>
    <row r="45" spans="2:6" x14ac:dyDescent="0.35">
      <c r="B45" s="122" t="s">
        <v>138</v>
      </c>
      <c r="C45" s="125"/>
      <c r="D45" s="125">
        <f>D44-C44</f>
        <v>250</v>
      </c>
      <c r="E45" s="125">
        <f t="shared" ref="E45:F45" si="8">E44-D44</f>
        <v>1530</v>
      </c>
      <c r="F45" s="125">
        <f t="shared" si="8"/>
        <v>1540</v>
      </c>
    </row>
    <row r="48" spans="2:6" x14ac:dyDescent="0.35">
      <c r="B48" s="122" t="s">
        <v>139</v>
      </c>
      <c r="C48" s="97" t="s">
        <v>21</v>
      </c>
      <c r="D48" s="97" t="s">
        <v>22</v>
      </c>
      <c r="E48" s="97" t="s">
        <v>23</v>
      </c>
      <c r="F48" s="97" t="s">
        <v>24</v>
      </c>
    </row>
    <row r="49" spans="2:6" x14ac:dyDescent="0.35">
      <c r="B49" s="123" t="s">
        <v>27</v>
      </c>
      <c r="C49" s="124">
        <f>C19</f>
        <v>500</v>
      </c>
      <c r="D49" s="124">
        <f t="shared" ref="D49:F49" si="9">D19</f>
        <v>530</v>
      </c>
      <c r="E49" s="124">
        <f t="shared" si="9"/>
        <v>400</v>
      </c>
      <c r="F49" s="124">
        <f t="shared" si="9"/>
        <v>300</v>
      </c>
    </row>
    <row r="50" spans="2:6" x14ac:dyDescent="0.35">
      <c r="B50" s="123" t="s">
        <v>34</v>
      </c>
      <c r="C50" s="124">
        <f t="shared" ref="C50:F51" si="10">C20</f>
        <v>500</v>
      </c>
      <c r="D50" s="124">
        <f t="shared" si="10"/>
        <v>550</v>
      </c>
      <c r="E50" s="124">
        <f t="shared" si="10"/>
        <v>600</v>
      </c>
      <c r="F50" s="124">
        <f t="shared" si="10"/>
        <v>700</v>
      </c>
    </row>
    <row r="51" spans="2:6" x14ac:dyDescent="0.35">
      <c r="B51" s="123" t="s">
        <v>35</v>
      </c>
      <c r="C51" s="124">
        <f t="shared" si="10"/>
        <v>720</v>
      </c>
      <c r="D51" s="124">
        <f t="shared" si="10"/>
        <v>840</v>
      </c>
      <c r="E51" s="124">
        <f t="shared" si="10"/>
        <v>820</v>
      </c>
      <c r="F51" s="124">
        <f t="shared" si="10"/>
        <v>910</v>
      </c>
    </row>
    <row r="52" spans="2:6" x14ac:dyDescent="0.35">
      <c r="B52" s="123" t="s">
        <v>30</v>
      </c>
      <c r="C52" s="124">
        <f>C25</f>
        <v>100</v>
      </c>
      <c r="D52" s="124">
        <f t="shared" ref="D52:F52" si="11">D25</f>
        <v>100</v>
      </c>
      <c r="E52" s="124">
        <f t="shared" si="11"/>
        <v>100</v>
      </c>
      <c r="F52" s="124">
        <f t="shared" si="11"/>
        <v>100</v>
      </c>
    </row>
    <row r="53" spans="2:6" x14ac:dyDescent="0.35">
      <c r="B53" s="122" t="s">
        <v>140</v>
      </c>
      <c r="C53" s="125">
        <f>SUM(C49:C52)</f>
        <v>1820</v>
      </c>
      <c r="D53" s="125">
        <f t="shared" ref="D53:F53" si="12">SUM(D49:D52)</f>
        <v>2020</v>
      </c>
      <c r="E53" s="125">
        <f t="shared" si="12"/>
        <v>1920</v>
      </c>
      <c r="F53" s="125">
        <f t="shared" si="12"/>
        <v>2010</v>
      </c>
    </row>
    <row r="54" spans="2:6" x14ac:dyDescent="0.35">
      <c r="B54" s="122" t="s">
        <v>141</v>
      </c>
      <c r="C54" s="125"/>
      <c r="D54" s="125">
        <f>D53-C53</f>
        <v>200</v>
      </c>
      <c r="E54" s="125">
        <f t="shared" ref="E54:F54" si="13">E53-D53</f>
        <v>-100</v>
      </c>
      <c r="F54" s="125">
        <f t="shared" si="13"/>
        <v>90</v>
      </c>
    </row>
  </sheetData>
  <pageMargins left="0.7" right="0.7" top="0.75" bottom="0.75" header="0.3" footer="0.3"/>
  <pageSetup paperSize="9" scale="82" orientation="portrait" verticalDpi="0" r:id="rId1"/>
  <ignoredErrors>
    <ignoredError sqref="E5:F5 E18:F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3"/>
  <sheetViews>
    <sheetView zoomScale="85" zoomScaleNormal="85" zoomScalePageLayoutView="85" workbookViewId="0">
      <selection activeCell="F52" sqref="F52"/>
    </sheetView>
  </sheetViews>
  <sheetFormatPr defaultColWidth="8.81640625" defaultRowHeight="14.5" x14ac:dyDescent="0.35"/>
  <cols>
    <col min="2" max="2" width="33.7265625" customWidth="1"/>
    <col min="3" max="6" width="12.1796875" customWidth="1"/>
  </cols>
  <sheetData>
    <row r="2" spans="2:6" x14ac:dyDescent="0.35">
      <c r="B2" s="65" t="s">
        <v>12</v>
      </c>
    </row>
    <row r="4" spans="2:6" x14ac:dyDescent="0.35">
      <c r="B4" s="89" t="s">
        <v>42</v>
      </c>
      <c r="C4" s="79" t="s">
        <v>21</v>
      </c>
      <c r="D4" s="79" t="s">
        <v>22</v>
      </c>
      <c r="E4" s="79" t="s">
        <v>23</v>
      </c>
      <c r="F4" s="79" t="s">
        <v>24</v>
      </c>
    </row>
    <row r="5" spans="2:6" x14ac:dyDescent="0.35">
      <c r="B5" s="82"/>
      <c r="C5" s="20" t="s">
        <v>40</v>
      </c>
      <c r="D5" s="20" t="s">
        <v>40</v>
      </c>
      <c r="E5" s="20" t="s">
        <v>40</v>
      </c>
      <c r="F5" s="20" t="s">
        <v>40</v>
      </c>
    </row>
    <row r="6" spans="2:6" x14ac:dyDescent="0.35">
      <c r="B6" s="9" t="s">
        <v>13</v>
      </c>
      <c r="C6" s="10">
        <f>'BILANZ (CHF)'!C6/'BILANZ (CHF)'!C$15</f>
        <v>4.4642857142857144E-2</v>
      </c>
      <c r="D6" s="10">
        <f>'BILANZ (CHF)'!D6/'BILANZ (CHF)'!D$15</f>
        <v>3.2454361054766734E-2</v>
      </c>
      <c r="E6" s="10">
        <f>'BILANZ (CHF)'!E6/'BILANZ (CHF)'!E$15</f>
        <v>2.4578651685393259E-2</v>
      </c>
      <c r="F6" s="10">
        <f>'BILANZ (CHF)'!F6/'BILANZ (CHF)'!F$15</f>
        <v>1.8281535648994516E-2</v>
      </c>
    </row>
    <row r="7" spans="2:6" x14ac:dyDescent="0.35">
      <c r="B7" s="9" t="s">
        <v>14</v>
      </c>
      <c r="C7" s="10">
        <f>'BILANZ (CHF)'!C7/'BILANZ (CHF)'!C$15</f>
        <v>6.6964285714285712E-2</v>
      </c>
      <c r="D7" s="10">
        <f>'BILANZ (CHF)'!D7/'BILANZ (CHF)'!D$15</f>
        <v>6.1866125760649086E-2</v>
      </c>
      <c r="E7" s="10">
        <f>'BILANZ (CHF)'!E7/'BILANZ (CHF)'!E$15</f>
        <v>9.480337078651685E-2</v>
      </c>
      <c r="F7" s="10">
        <f>'BILANZ (CHF)'!F7/'BILANZ (CHF)'!F$15</f>
        <v>0.12797074954296161</v>
      </c>
    </row>
    <row r="8" spans="2:6" x14ac:dyDescent="0.35">
      <c r="B8" s="9" t="s">
        <v>15</v>
      </c>
      <c r="C8" s="10">
        <f>'BILANZ (CHF)'!C8/'BILANZ (CHF)'!C$15</f>
        <v>4.0178571428571432E-2</v>
      </c>
      <c r="D8" s="10">
        <f>'BILANZ (CHF)'!D8/'BILANZ (CHF)'!D$15</f>
        <v>5.2738336713995942E-2</v>
      </c>
      <c r="E8" s="10">
        <f>'BILANZ (CHF)'!E8/'BILANZ (CHF)'!E$15</f>
        <v>6.3202247191011238E-2</v>
      </c>
      <c r="F8" s="10">
        <f>'BILANZ (CHF)'!F8/'BILANZ (CHF)'!F$15</f>
        <v>5.7891529555149299E-2</v>
      </c>
    </row>
    <row r="9" spans="2:6" x14ac:dyDescent="0.35">
      <c r="B9" s="9" t="s">
        <v>16</v>
      </c>
      <c r="C9" s="10">
        <f>'BILANZ (CHF)'!C9/'BILANZ (CHF)'!C$15</f>
        <v>2.2321428571428572E-2</v>
      </c>
      <c r="D9" s="10">
        <f>'BILANZ (CHF)'!D9/'BILANZ (CHF)'!D$15</f>
        <v>2.1298174442190669E-2</v>
      </c>
      <c r="E9" s="10">
        <f>'BILANZ (CHF)'!E9/'BILANZ (CHF)'!E$15</f>
        <v>1.6853932584269662E-2</v>
      </c>
      <c r="F9" s="10">
        <f>'BILANZ (CHF)'!F9/'BILANZ (CHF)'!F$15</f>
        <v>1.5843997562461912E-2</v>
      </c>
    </row>
    <row r="10" spans="2:6" x14ac:dyDescent="0.35">
      <c r="B10" s="13" t="s">
        <v>17</v>
      </c>
      <c r="C10" s="14">
        <f>SUM(C6:C9)</f>
        <v>0.17410714285714285</v>
      </c>
      <c r="D10" s="14">
        <f t="shared" ref="D10:F10" si="0">SUM(D6:D9)</f>
        <v>0.16835699797160245</v>
      </c>
      <c r="E10" s="14">
        <f t="shared" si="0"/>
        <v>0.199438202247191</v>
      </c>
      <c r="F10" s="14">
        <f t="shared" si="0"/>
        <v>0.21998781230956732</v>
      </c>
    </row>
    <row r="11" spans="2:6" x14ac:dyDescent="0.35">
      <c r="B11" s="9" t="s">
        <v>18</v>
      </c>
      <c r="C11" s="10">
        <f>'BILANZ (CHF)'!C11/'BILANZ (CHF)'!C$15</f>
        <v>0.44642857142857145</v>
      </c>
      <c r="D11" s="10">
        <f>'BILANZ (CHF)'!D11/'BILANZ (CHF)'!D$15</f>
        <v>0.46653144016227183</v>
      </c>
      <c r="E11" s="10">
        <f>'BILANZ (CHF)'!E11/'BILANZ (CHF)'!E$15</f>
        <v>0.49157303370786515</v>
      </c>
      <c r="F11" s="10">
        <f>'BILANZ (CHF)'!F11/'BILANZ (CHF)'!F$15</f>
        <v>0.51797684338817795</v>
      </c>
    </row>
    <row r="12" spans="2:6" x14ac:dyDescent="0.35">
      <c r="B12" s="9" t="s">
        <v>1</v>
      </c>
      <c r="C12" s="10">
        <f>'BILANZ (CHF)'!C12/'BILANZ (CHF)'!C$15</f>
        <v>0.26785714285714285</v>
      </c>
      <c r="D12" s="10">
        <f>'BILANZ (CHF)'!D12/'BILANZ (CHF)'!D$15</f>
        <v>0.2434077079107505</v>
      </c>
      <c r="E12" s="10">
        <f>'BILANZ (CHF)'!E12/'BILANZ (CHF)'!E$15</f>
        <v>0.21067415730337077</v>
      </c>
      <c r="F12" s="10">
        <f>'BILANZ (CHF)'!F12/'BILANZ (CHF)'!F$15</f>
        <v>0.18281535648994515</v>
      </c>
    </row>
    <row r="13" spans="2:6" x14ac:dyDescent="0.35">
      <c r="B13" s="9" t="s">
        <v>19</v>
      </c>
      <c r="C13" s="10">
        <f>'BILANZ (CHF)'!C13/'BILANZ (CHF)'!C$15</f>
        <v>0.11160714285714286</v>
      </c>
      <c r="D13" s="10">
        <f>'BILANZ (CHF)'!D13/'BILANZ (CHF)'!D$15</f>
        <v>0.12170385395537525</v>
      </c>
      <c r="E13" s="10">
        <f>'BILANZ (CHF)'!E13/'BILANZ (CHF)'!E$15</f>
        <v>9.8314606741573038E-2</v>
      </c>
      <c r="F13" s="10">
        <f>'BILANZ (CHF)'!F13/'BILANZ (CHF)'!F$15</f>
        <v>7.9219987812309572E-2</v>
      </c>
    </row>
    <row r="14" spans="2:6" x14ac:dyDescent="0.35">
      <c r="B14" s="13" t="s">
        <v>74</v>
      </c>
      <c r="C14" s="14">
        <f>SUM(C11:C13)</f>
        <v>0.82589285714285721</v>
      </c>
      <c r="D14" s="14">
        <f t="shared" ref="D14:F14" si="1">SUM(D11:D13)</f>
        <v>0.83164300202839758</v>
      </c>
      <c r="E14" s="14">
        <f t="shared" si="1"/>
        <v>0.80056179775280889</v>
      </c>
      <c r="F14" s="14">
        <f t="shared" si="1"/>
        <v>0.78001218769043268</v>
      </c>
    </row>
    <row r="15" spans="2:6" x14ac:dyDescent="0.35">
      <c r="B15" s="8" t="s">
        <v>20</v>
      </c>
      <c r="C15" s="15">
        <f>C14+C10</f>
        <v>1</v>
      </c>
      <c r="D15" s="15">
        <f t="shared" ref="D15:F15" si="2">D14+D10</f>
        <v>1</v>
      </c>
      <c r="E15" s="15">
        <f t="shared" si="2"/>
        <v>0.99999999999999989</v>
      </c>
      <c r="F15" s="15">
        <f t="shared" si="2"/>
        <v>1</v>
      </c>
    </row>
    <row r="16" spans="2:6" x14ac:dyDescent="0.35">
      <c r="B16" s="16"/>
      <c r="C16" s="17"/>
      <c r="D16" s="17"/>
      <c r="E16" s="17" t="s">
        <v>0</v>
      </c>
      <c r="F16" s="17" t="s">
        <v>0</v>
      </c>
    </row>
    <row r="17" spans="2:6" x14ac:dyDescent="0.35">
      <c r="B17" s="89" t="s">
        <v>26</v>
      </c>
      <c r="C17" s="79" t="s">
        <v>21</v>
      </c>
      <c r="D17" s="79" t="s">
        <v>22</v>
      </c>
      <c r="E17" s="79" t="s">
        <v>23</v>
      </c>
      <c r="F17" s="79" t="s">
        <v>24</v>
      </c>
    </row>
    <row r="18" spans="2:6" x14ac:dyDescent="0.35">
      <c r="B18" s="82"/>
      <c r="C18" s="20" t="s">
        <v>40</v>
      </c>
      <c r="D18" s="20" t="s">
        <v>40</v>
      </c>
      <c r="E18" s="20" t="s">
        <v>40</v>
      </c>
      <c r="F18" s="20" t="s">
        <v>40</v>
      </c>
    </row>
    <row r="19" spans="2:6" x14ac:dyDescent="0.35">
      <c r="B19" s="9" t="s">
        <v>27</v>
      </c>
      <c r="C19" s="10">
        <f>'BILANZ (CHF)'!C19/'BILANZ (CHF)'!C$15</f>
        <v>2.2321428571428572E-2</v>
      </c>
      <c r="D19" s="10">
        <f>'BILANZ (CHF)'!D19/'BILANZ (CHF)'!D$15</f>
        <v>2.1501014198782961E-2</v>
      </c>
      <c r="E19" s="10">
        <f>'BILANZ (CHF)'!E19/'BILANZ (CHF)'!E$15</f>
        <v>1.4044943820224719E-2</v>
      </c>
      <c r="F19" s="10">
        <f>'BILANZ (CHF)'!F19/'BILANZ (CHF)'!F$15</f>
        <v>9.140767824497258E-3</v>
      </c>
    </row>
    <row r="20" spans="2:6" x14ac:dyDescent="0.35">
      <c r="B20" s="9" t="s">
        <v>34</v>
      </c>
      <c r="C20" s="10">
        <f>'BILANZ (CHF)'!C20/'BILANZ (CHF)'!C$15</f>
        <v>2.2321428571428572E-2</v>
      </c>
      <c r="D20" s="10">
        <f>'BILANZ (CHF)'!D20/'BILANZ (CHF)'!D$15</f>
        <v>2.231237322515213E-2</v>
      </c>
      <c r="E20" s="10">
        <f>'BILANZ (CHF)'!E20/'BILANZ (CHF)'!E$15</f>
        <v>2.1067415730337078E-2</v>
      </c>
      <c r="F20" s="10">
        <f>'BILANZ (CHF)'!F20/'BILANZ (CHF)'!F$15</f>
        <v>2.1328458257160267E-2</v>
      </c>
    </row>
    <row r="21" spans="2:6" x14ac:dyDescent="0.35">
      <c r="B21" s="9" t="s">
        <v>35</v>
      </c>
      <c r="C21" s="10">
        <f>'BILANZ (CHF)'!C21/'BILANZ (CHF)'!C$15</f>
        <v>3.214285714285714E-2</v>
      </c>
      <c r="D21" s="10">
        <f>'BILANZ (CHF)'!D21/'BILANZ (CHF)'!D$15</f>
        <v>3.4077079107505071E-2</v>
      </c>
      <c r="E21" s="10">
        <f>'BILANZ (CHF)'!E21/'BILANZ (CHF)'!E$15</f>
        <v>2.8792134831460675E-2</v>
      </c>
      <c r="F21" s="10">
        <f>'BILANZ (CHF)'!F21/'BILANZ (CHF)'!F$15</f>
        <v>2.7726995734308348E-2</v>
      </c>
    </row>
    <row r="22" spans="2:6" x14ac:dyDescent="0.35">
      <c r="B22" s="9" t="s">
        <v>28</v>
      </c>
      <c r="C22" s="10">
        <f>'BILANZ (CHF)'!C22/'BILANZ (CHF)'!C$15</f>
        <v>0.13392857142857142</v>
      </c>
      <c r="D22" s="10">
        <f>'BILANZ (CHF)'!D22/'BILANZ (CHF)'!D$15</f>
        <v>0.10141987829614604</v>
      </c>
      <c r="E22" s="10">
        <f>'BILANZ (CHF)'!E22/'BILANZ (CHF)'!E$15</f>
        <v>0.10533707865168539</v>
      </c>
      <c r="F22" s="10">
        <f>'BILANZ (CHF)'!F22/'BILANZ (CHF)'!F$15</f>
        <v>0.12187690432663011</v>
      </c>
    </row>
    <row r="23" spans="2:6" x14ac:dyDescent="0.35">
      <c r="B23" s="13" t="s">
        <v>36</v>
      </c>
      <c r="C23" s="14">
        <f>SUM(C19:C22)</f>
        <v>0.21071428571428572</v>
      </c>
      <c r="D23" s="14">
        <f t="shared" ref="D23:F23" si="3">SUM(D19:D22)</f>
        <v>0.1793103448275862</v>
      </c>
      <c r="E23" s="14">
        <f t="shared" si="3"/>
        <v>0.16924157303370785</v>
      </c>
      <c r="F23" s="14">
        <f t="shared" si="3"/>
        <v>0.18007312614259596</v>
      </c>
    </row>
    <row r="24" spans="2:6" x14ac:dyDescent="0.35">
      <c r="B24" s="9" t="s">
        <v>29</v>
      </c>
      <c r="C24" s="10">
        <f>'BILANZ (CHF)'!C24/'BILANZ (CHF)'!C$15</f>
        <v>0.17857142857142858</v>
      </c>
      <c r="D24" s="10">
        <f>'BILANZ (CHF)'!D24/'BILANZ (CHF)'!D$15</f>
        <v>0.32454361054766734</v>
      </c>
      <c r="E24" s="10">
        <f>'BILANZ (CHF)'!E24/'BILANZ (CHF)'!E$15</f>
        <v>0.42134831460674155</v>
      </c>
      <c r="F24" s="10">
        <f>'BILANZ (CHF)'!F24/'BILANZ (CHF)'!F$15</f>
        <v>0.53321145642900669</v>
      </c>
    </row>
    <row r="25" spans="2:6" x14ac:dyDescent="0.35">
      <c r="B25" s="9" t="s">
        <v>30</v>
      </c>
      <c r="C25" s="10">
        <f>'BILANZ (CHF)'!C25/'BILANZ (CHF)'!C$15</f>
        <v>4.464285714285714E-3</v>
      </c>
      <c r="D25" s="10">
        <f>'BILANZ (CHF)'!D25/'BILANZ (CHF)'!D$15</f>
        <v>4.0567951318458417E-3</v>
      </c>
      <c r="E25" s="10">
        <f>'BILANZ (CHF)'!E25/'BILANZ (CHF)'!E$15</f>
        <v>3.5112359550561797E-3</v>
      </c>
      <c r="F25" s="10">
        <f>'BILANZ (CHF)'!F25/'BILANZ (CHF)'!F$15</f>
        <v>3.0469226081657527E-3</v>
      </c>
    </row>
    <row r="26" spans="2:6" x14ac:dyDescent="0.35">
      <c r="B26" s="8" t="s">
        <v>31</v>
      </c>
      <c r="C26" s="15">
        <f>SUM(C23:C25)</f>
        <v>0.39374999999999999</v>
      </c>
      <c r="D26" s="15">
        <f t="shared" ref="D26:F26" si="4">SUM(D23:D25)</f>
        <v>0.50791075050709944</v>
      </c>
      <c r="E26" s="15">
        <f t="shared" si="4"/>
        <v>0.5941011235955056</v>
      </c>
      <c r="F26" s="15">
        <f t="shared" si="4"/>
        <v>0.7163315051797684</v>
      </c>
    </row>
    <row r="27" spans="2:6" x14ac:dyDescent="0.35">
      <c r="B27" s="18" t="s">
        <v>0</v>
      </c>
      <c r="C27" s="12"/>
      <c r="D27" s="12"/>
      <c r="E27" s="12" t="s">
        <v>0</v>
      </c>
      <c r="F27" s="12" t="s">
        <v>0</v>
      </c>
    </row>
    <row r="28" spans="2:6" x14ac:dyDescent="0.35">
      <c r="B28" s="9" t="s">
        <v>75</v>
      </c>
      <c r="C28" s="10">
        <f>'BILANZ (CHF)'!C28/'BILANZ (CHF)'!C$15</f>
        <v>4.4642857142857144E-2</v>
      </c>
      <c r="D28" s="10">
        <f>'BILANZ (CHF)'!D28/'BILANZ (CHF)'!D$15</f>
        <v>4.0567951318458417E-2</v>
      </c>
      <c r="E28" s="10">
        <f>'BILANZ (CHF)'!E28/'BILANZ (CHF)'!E$15</f>
        <v>3.51123595505618E-2</v>
      </c>
      <c r="F28" s="10">
        <f>'BILANZ (CHF)'!F28/'BILANZ (CHF)'!F$15</f>
        <v>3.0469226081657527E-2</v>
      </c>
    </row>
    <row r="29" spans="2:6" x14ac:dyDescent="0.35">
      <c r="B29" s="9" t="s">
        <v>76</v>
      </c>
      <c r="C29" s="10">
        <f>'BILANZ (CHF)'!C29/'BILANZ (CHF)'!C$15</f>
        <v>0.56160714285714286</v>
      </c>
      <c r="D29" s="10">
        <f>'BILANZ (CHF)'!D29/'BILANZ (CHF)'!D$15</f>
        <v>0.4515212981744422</v>
      </c>
      <c r="E29" s="10">
        <f>'BILANZ (CHF)'!E29/'BILANZ (CHF)'!E$15</f>
        <v>0.3707865168539326</v>
      </c>
      <c r="F29" s="10">
        <f>'BILANZ (CHF)'!F29/'BILANZ (CHF)'!F$15</f>
        <v>0.25319926873857401</v>
      </c>
    </row>
    <row r="30" spans="2:6" x14ac:dyDescent="0.35">
      <c r="B30" s="8" t="s">
        <v>32</v>
      </c>
      <c r="C30" s="19">
        <f>SUM(C28:C29)</f>
        <v>0.60624999999999996</v>
      </c>
      <c r="D30" s="19">
        <f>SUM(D28:D29)</f>
        <v>0.49208924949290062</v>
      </c>
      <c r="E30" s="19">
        <f>SUM(E28:E29)</f>
        <v>0.4058988764044944</v>
      </c>
      <c r="F30" s="19">
        <f>SUM(F28:F29)</f>
        <v>0.28366849482023154</v>
      </c>
    </row>
    <row r="31" spans="2:6" x14ac:dyDescent="0.35">
      <c r="B31" s="8" t="s">
        <v>33</v>
      </c>
      <c r="C31" s="15">
        <f>C30+C26</f>
        <v>1</v>
      </c>
      <c r="D31" s="15">
        <f>D30+D26</f>
        <v>1</v>
      </c>
      <c r="E31" s="15">
        <f>E30+E26</f>
        <v>1</v>
      </c>
      <c r="F31" s="15">
        <f>F30+F26</f>
        <v>1</v>
      </c>
    </row>
    <row r="33" spans="2:6" x14ac:dyDescent="0.35">
      <c r="B33" s="75"/>
      <c r="C33" s="76"/>
    </row>
    <row r="34" spans="2:6" x14ac:dyDescent="0.35">
      <c r="B34" s="77"/>
      <c r="C34" s="76"/>
    </row>
    <row r="35" spans="2:6" x14ac:dyDescent="0.35">
      <c r="B35" s="78"/>
      <c r="C35" s="76"/>
    </row>
    <row r="36" spans="2:6" x14ac:dyDescent="0.35">
      <c r="B36" s="89" t="s">
        <v>42</v>
      </c>
      <c r="C36" s="69" t="s">
        <v>21</v>
      </c>
      <c r="D36" s="69" t="s">
        <v>22</v>
      </c>
      <c r="E36" s="69" t="s">
        <v>23</v>
      </c>
      <c r="F36" s="69" t="s">
        <v>24</v>
      </c>
    </row>
    <row r="37" spans="2:6" x14ac:dyDescent="0.35">
      <c r="B37" s="82"/>
      <c r="C37" s="20" t="s">
        <v>41</v>
      </c>
      <c r="D37" s="20" t="s">
        <v>41</v>
      </c>
      <c r="E37" s="20" t="s">
        <v>41</v>
      </c>
      <c r="F37" s="20" t="s">
        <v>41</v>
      </c>
    </row>
    <row r="38" spans="2:6" x14ac:dyDescent="0.35">
      <c r="B38" s="9" t="s">
        <v>13</v>
      </c>
      <c r="C38" s="10">
        <f>'BILANZ (CHF)'!C6/'Erfolgsrechnung (CHF)'!C$8</f>
        <v>6.25E-2</v>
      </c>
      <c r="D38" s="10">
        <f>'BILANZ (CHF)'!D6/'Erfolgsrechnung (CHF)'!D$8</f>
        <v>4.3956043956043959E-2</v>
      </c>
      <c r="E38" s="10">
        <f>'BILANZ (CHF)'!E6/'Erfolgsrechnung (CHF)'!E$8</f>
        <v>3.111111111111111E-2</v>
      </c>
      <c r="F38" s="10">
        <f>'BILANZ (CHF)'!F6/'Erfolgsrechnung (CHF)'!F$8</f>
        <v>2.2388059701492536E-2</v>
      </c>
    </row>
    <row r="39" spans="2:6" x14ac:dyDescent="0.35">
      <c r="B39" s="9" t="s">
        <v>14</v>
      </c>
      <c r="C39" s="10">
        <f>'BILANZ (CHF)'!C7/'Erfolgsrechnung (CHF)'!C$8</f>
        <v>9.375E-2</v>
      </c>
      <c r="D39" s="10">
        <f>'BILANZ (CHF)'!D7/'Erfolgsrechnung (CHF)'!D$8</f>
        <v>8.3791208791208785E-2</v>
      </c>
      <c r="E39" s="10">
        <f>'BILANZ (CHF)'!E7/'Erfolgsrechnung (CHF)'!E$8</f>
        <v>0.12</v>
      </c>
      <c r="F39" s="10">
        <f>'BILANZ (CHF)'!F7/'Erfolgsrechnung (CHF)'!F$8</f>
        <v>0.15671641791044777</v>
      </c>
    </row>
    <row r="40" spans="2:6" x14ac:dyDescent="0.35">
      <c r="B40" s="9" t="s">
        <v>15</v>
      </c>
      <c r="C40" s="10">
        <f>'BILANZ (CHF)'!C8/'Erfolgsrechnung (CHF)'!C$8</f>
        <v>5.6250000000000001E-2</v>
      </c>
      <c r="D40" s="10">
        <f>'BILANZ (CHF)'!D8/'Erfolgsrechnung (CHF)'!D$8</f>
        <v>7.1428571428571425E-2</v>
      </c>
      <c r="E40" s="10">
        <f>'BILANZ (CHF)'!E8/'Erfolgsrechnung (CHF)'!E$8</f>
        <v>0.08</v>
      </c>
      <c r="F40" s="10">
        <f>'BILANZ (CHF)'!F8/'Erfolgsrechnung (CHF)'!F$8</f>
        <v>7.0895522388059698E-2</v>
      </c>
    </row>
    <row r="41" spans="2:6" x14ac:dyDescent="0.35">
      <c r="B41" s="9" t="s">
        <v>16</v>
      </c>
      <c r="C41" s="10">
        <f>'BILANZ (CHF)'!C9/'Erfolgsrechnung (CHF)'!C$8</f>
        <v>3.125E-2</v>
      </c>
      <c r="D41" s="10">
        <f>'BILANZ (CHF)'!D9/'Erfolgsrechnung (CHF)'!D$8</f>
        <v>2.8846153846153848E-2</v>
      </c>
      <c r="E41" s="10">
        <f>'BILANZ (CHF)'!E9/'Erfolgsrechnung (CHF)'!E$8</f>
        <v>2.1333333333333333E-2</v>
      </c>
      <c r="F41" s="10">
        <f>'BILANZ (CHF)'!F9/'Erfolgsrechnung (CHF)'!F$8</f>
        <v>1.9402985074626865E-2</v>
      </c>
    </row>
    <row r="42" spans="2:6" x14ac:dyDescent="0.35">
      <c r="B42" s="13" t="s">
        <v>17</v>
      </c>
      <c r="C42" s="14">
        <f>SUM(C38:C41)</f>
        <v>0.24374999999999999</v>
      </c>
      <c r="D42" s="14">
        <f t="shared" ref="D42" si="5">SUM(D38:D41)</f>
        <v>0.22802197802197802</v>
      </c>
      <c r="E42" s="14">
        <f t="shared" ref="E42" si="6">SUM(E38:E41)</f>
        <v>0.25244444444444442</v>
      </c>
      <c r="F42" s="14">
        <f t="shared" ref="F42" si="7">SUM(F38:F41)</f>
        <v>0.26940298507462684</v>
      </c>
    </row>
    <row r="43" spans="2:6" x14ac:dyDescent="0.35">
      <c r="B43" s="9" t="s">
        <v>18</v>
      </c>
      <c r="C43" s="10">
        <f>'BILANZ (CHF)'!C11/'Erfolgsrechnung (CHF)'!C$8</f>
        <v>0.625</v>
      </c>
      <c r="D43" s="10">
        <f>'BILANZ (CHF)'!D11/'Erfolgsrechnung (CHF)'!D$8</f>
        <v>0.63186813186813184</v>
      </c>
      <c r="E43" s="10">
        <f>'BILANZ (CHF)'!E11/'Erfolgsrechnung (CHF)'!E$8</f>
        <v>0.62222222222222223</v>
      </c>
      <c r="F43" s="10">
        <f>'BILANZ (CHF)'!F11/'Erfolgsrechnung (CHF)'!F$8</f>
        <v>0.63432835820895528</v>
      </c>
    </row>
    <row r="44" spans="2:6" x14ac:dyDescent="0.35">
      <c r="B44" s="9" t="s">
        <v>1</v>
      </c>
      <c r="C44" s="10">
        <f>'BILANZ (CHF)'!C12/'Erfolgsrechnung (CHF)'!C$8</f>
        <v>0.375</v>
      </c>
      <c r="D44" s="10">
        <f>'BILANZ (CHF)'!D12/'Erfolgsrechnung (CHF)'!D$8</f>
        <v>0.32967032967032966</v>
      </c>
      <c r="E44" s="10">
        <f>'BILANZ (CHF)'!E12/'Erfolgsrechnung (CHF)'!E$8</f>
        <v>0.26666666666666666</v>
      </c>
      <c r="F44" s="10">
        <f>'BILANZ (CHF)'!F12/'Erfolgsrechnung (CHF)'!F$8</f>
        <v>0.22388059701492538</v>
      </c>
    </row>
    <row r="45" spans="2:6" x14ac:dyDescent="0.35">
      <c r="B45" s="9" t="s">
        <v>19</v>
      </c>
      <c r="C45" s="10">
        <f>'BILANZ (CHF)'!C13/'Erfolgsrechnung (CHF)'!C$8</f>
        <v>0.15625</v>
      </c>
      <c r="D45" s="10">
        <f>'BILANZ (CHF)'!D13/'Erfolgsrechnung (CHF)'!D$8</f>
        <v>0.16483516483516483</v>
      </c>
      <c r="E45" s="10">
        <f>'BILANZ (CHF)'!E13/'Erfolgsrechnung (CHF)'!E$8</f>
        <v>0.12444444444444444</v>
      </c>
      <c r="F45" s="10">
        <f>'BILANZ (CHF)'!F13/'Erfolgsrechnung (CHF)'!F$8</f>
        <v>9.7014925373134331E-2</v>
      </c>
    </row>
    <row r="46" spans="2:6" x14ac:dyDescent="0.35">
      <c r="B46" s="13" t="s">
        <v>74</v>
      </c>
      <c r="C46" s="14">
        <f>SUM(C43:C45)</f>
        <v>1.15625</v>
      </c>
      <c r="D46" s="14">
        <f t="shared" ref="D46" si="8">SUM(D43:D45)</f>
        <v>1.1263736263736264</v>
      </c>
      <c r="E46" s="14">
        <f t="shared" ref="E46" si="9">SUM(E43:E45)</f>
        <v>1.0133333333333332</v>
      </c>
      <c r="F46" s="14">
        <f t="shared" ref="F46" si="10">SUM(F43:F45)</f>
        <v>0.95522388059701502</v>
      </c>
    </row>
    <row r="47" spans="2:6" x14ac:dyDescent="0.35">
      <c r="B47" s="8" t="s">
        <v>20</v>
      </c>
      <c r="C47" s="15">
        <f>C46+C42</f>
        <v>1.4</v>
      </c>
      <c r="D47" s="15">
        <f t="shared" ref="D47" si="11">D46+D42</f>
        <v>1.3543956043956045</v>
      </c>
      <c r="E47" s="15">
        <f t="shared" ref="E47" si="12">E46+E42</f>
        <v>1.2657777777777777</v>
      </c>
      <c r="F47" s="15">
        <f t="shared" ref="F47" si="13">F46+F42</f>
        <v>1.2246268656716419</v>
      </c>
    </row>
    <row r="48" spans="2:6" x14ac:dyDescent="0.35">
      <c r="B48" s="16"/>
      <c r="C48" s="17"/>
      <c r="D48" s="17"/>
      <c r="E48" s="17" t="s">
        <v>0</v>
      </c>
      <c r="F48" s="17" t="s">
        <v>0</v>
      </c>
    </row>
    <row r="49" spans="2:6" x14ac:dyDescent="0.35">
      <c r="B49" s="89" t="s">
        <v>26</v>
      </c>
      <c r="C49" s="69" t="s">
        <v>21</v>
      </c>
      <c r="D49" s="69" t="s">
        <v>22</v>
      </c>
      <c r="E49" s="69" t="s">
        <v>23</v>
      </c>
      <c r="F49" s="69" t="s">
        <v>24</v>
      </c>
    </row>
    <row r="50" spans="2:6" x14ac:dyDescent="0.35">
      <c r="B50" s="82"/>
      <c r="C50" s="20" t="s">
        <v>41</v>
      </c>
      <c r="D50" s="20" t="s">
        <v>41</v>
      </c>
      <c r="E50" s="20" t="s">
        <v>41</v>
      </c>
      <c r="F50" s="20" t="s">
        <v>41</v>
      </c>
    </row>
    <row r="51" spans="2:6" x14ac:dyDescent="0.35">
      <c r="B51" s="9" t="s">
        <v>27</v>
      </c>
      <c r="C51" s="10">
        <f>'BILANZ (CHF)'!C19/'Erfolgsrechnung (CHF)'!C$8</f>
        <v>3.125E-2</v>
      </c>
      <c r="D51" s="10">
        <f>'BILANZ (CHF)'!D19/'Erfolgsrechnung (CHF)'!D$8</f>
        <v>2.9120879120879122E-2</v>
      </c>
      <c r="E51" s="10">
        <f>'BILANZ (CHF)'!E19/'Erfolgsrechnung (CHF)'!E$8</f>
        <v>1.7777777777777778E-2</v>
      </c>
      <c r="F51" s="10">
        <f>'BILANZ (CHF)'!F19/'Erfolgsrechnung (CHF)'!F$8</f>
        <v>1.1194029850746268E-2</v>
      </c>
    </row>
    <row r="52" spans="2:6" x14ac:dyDescent="0.35">
      <c r="B52" s="9" t="s">
        <v>34</v>
      </c>
      <c r="C52" s="10">
        <f>'BILANZ (CHF)'!C20/'Erfolgsrechnung (CHF)'!C$8</f>
        <v>3.125E-2</v>
      </c>
      <c r="D52" s="10">
        <f>'BILANZ (CHF)'!D20/'Erfolgsrechnung (CHF)'!D$8</f>
        <v>3.021978021978022E-2</v>
      </c>
      <c r="E52" s="10">
        <f>'BILANZ (CHF)'!E20/'Erfolgsrechnung (CHF)'!E$8</f>
        <v>2.6666666666666668E-2</v>
      </c>
      <c r="F52" s="10">
        <f>'BILANZ (CHF)'!F20/'Erfolgsrechnung (CHF)'!F$8</f>
        <v>2.6119402985074626E-2</v>
      </c>
    </row>
    <row r="53" spans="2:6" x14ac:dyDescent="0.35">
      <c r="B53" s="9" t="s">
        <v>35</v>
      </c>
      <c r="C53" s="10">
        <f>'BILANZ (CHF)'!C21/'Erfolgsrechnung (CHF)'!C$8</f>
        <v>4.4999999999999998E-2</v>
      </c>
      <c r="D53" s="10">
        <f>'BILANZ (CHF)'!D21/'Erfolgsrechnung (CHF)'!D$8</f>
        <v>4.6153846153846156E-2</v>
      </c>
      <c r="E53" s="10">
        <f>'BILANZ (CHF)'!E21/'Erfolgsrechnung (CHF)'!E$8</f>
        <v>3.6444444444444446E-2</v>
      </c>
      <c r="F53" s="10">
        <f>'BILANZ (CHF)'!F21/'Erfolgsrechnung (CHF)'!F$8</f>
        <v>3.3955223880597012E-2</v>
      </c>
    </row>
    <row r="54" spans="2:6" x14ac:dyDescent="0.35">
      <c r="B54" s="9" t="s">
        <v>28</v>
      </c>
      <c r="C54" s="10">
        <f>'BILANZ (CHF)'!C22/'Erfolgsrechnung (CHF)'!C$8</f>
        <v>0.1875</v>
      </c>
      <c r="D54" s="10">
        <f>'BILANZ (CHF)'!D22/'Erfolgsrechnung (CHF)'!D$8</f>
        <v>0.13736263736263737</v>
      </c>
      <c r="E54" s="10">
        <f>'BILANZ (CHF)'!E22/'Erfolgsrechnung (CHF)'!E$8</f>
        <v>0.13333333333333333</v>
      </c>
      <c r="F54" s="10">
        <f>'BILANZ (CHF)'!F22/'Erfolgsrechnung (CHF)'!F$8</f>
        <v>0.14925373134328357</v>
      </c>
    </row>
    <row r="55" spans="2:6" x14ac:dyDescent="0.35">
      <c r="B55" s="13" t="s">
        <v>36</v>
      </c>
      <c r="C55" s="14">
        <f>SUM(C51:C54)</f>
        <v>0.29499999999999998</v>
      </c>
      <c r="D55" s="14">
        <f t="shared" ref="D55" si="14">SUM(D51:D54)</f>
        <v>0.24285714285714288</v>
      </c>
      <c r="E55" s="14">
        <f t="shared" ref="E55" si="15">SUM(E51:E54)</f>
        <v>0.21422222222222223</v>
      </c>
      <c r="F55" s="14">
        <f t="shared" ref="F55" si="16">SUM(F51:F54)</f>
        <v>0.22052238805970148</v>
      </c>
    </row>
    <row r="56" spans="2:6" x14ac:dyDescent="0.35">
      <c r="B56" s="9" t="s">
        <v>29</v>
      </c>
      <c r="C56" s="10">
        <f>'BILANZ (CHF)'!C24/'Erfolgsrechnung (CHF)'!C$8</f>
        <v>0.25</v>
      </c>
      <c r="D56" s="10">
        <f>'BILANZ (CHF)'!D24/'Erfolgsrechnung (CHF)'!D$8</f>
        <v>0.43956043956043955</v>
      </c>
      <c r="E56" s="10">
        <f>'BILANZ (CHF)'!E24/'Erfolgsrechnung (CHF)'!E$8</f>
        <v>0.53333333333333333</v>
      </c>
      <c r="F56" s="10">
        <f>'BILANZ (CHF)'!F24/'Erfolgsrechnung (CHF)'!F$8</f>
        <v>0.65298507462686572</v>
      </c>
    </row>
    <row r="57" spans="2:6" x14ac:dyDescent="0.35">
      <c r="B57" s="9" t="s">
        <v>30</v>
      </c>
      <c r="C57" s="10">
        <f>'BILANZ (CHF)'!C25/'Erfolgsrechnung (CHF)'!C$8</f>
        <v>6.2500000000000003E-3</v>
      </c>
      <c r="D57" s="10">
        <f>'BILANZ (CHF)'!D25/'Erfolgsrechnung (CHF)'!D$8</f>
        <v>5.4945054945054949E-3</v>
      </c>
      <c r="E57" s="10">
        <f>'BILANZ (CHF)'!E25/'Erfolgsrechnung (CHF)'!E$8</f>
        <v>4.4444444444444444E-3</v>
      </c>
      <c r="F57" s="10">
        <f>'BILANZ (CHF)'!F25/'Erfolgsrechnung (CHF)'!F$8</f>
        <v>3.7313432835820895E-3</v>
      </c>
    </row>
    <row r="58" spans="2:6" x14ac:dyDescent="0.35">
      <c r="B58" s="8" t="s">
        <v>31</v>
      </c>
      <c r="C58" s="15">
        <f>SUM(C55:C57)</f>
        <v>0.55124999999999991</v>
      </c>
      <c r="D58" s="15">
        <f t="shared" ref="D58" si="17">SUM(D55:D57)</f>
        <v>0.68791208791208791</v>
      </c>
      <c r="E58" s="15">
        <f t="shared" ref="E58" si="18">SUM(E55:E57)</f>
        <v>0.752</v>
      </c>
      <c r="F58" s="15">
        <f t="shared" ref="F58" si="19">SUM(F55:F57)</f>
        <v>0.87723880597014925</v>
      </c>
    </row>
    <row r="59" spans="2:6" x14ac:dyDescent="0.35">
      <c r="B59" s="18" t="s">
        <v>0</v>
      </c>
      <c r="C59" s="12"/>
      <c r="D59" s="12"/>
      <c r="E59" s="12" t="s">
        <v>0</v>
      </c>
      <c r="F59" s="12" t="s">
        <v>0</v>
      </c>
    </row>
    <row r="60" spans="2:6" x14ac:dyDescent="0.35">
      <c r="B60" s="9" t="s">
        <v>75</v>
      </c>
      <c r="C60" s="10">
        <f>'BILANZ (CHF)'!C28/'Erfolgsrechnung (CHF)'!C$8</f>
        <v>6.25E-2</v>
      </c>
      <c r="D60" s="10">
        <f>'BILANZ (CHF)'!D28/'Erfolgsrechnung (CHF)'!D$8</f>
        <v>5.4945054945054944E-2</v>
      </c>
      <c r="E60" s="10">
        <f>'BILANZ (CHF)'!E28/'Erfolgsrechnung (CHF)'!E$8</f>
        <v>4.4444444444444446E-2</v>
      </c>
      <c r="F60" s="10">
        <f>'BILANZ (CHF)'!F28/'Erfolgsrechnung (CHF)'!F$8</f>
        <v>3.7313432835820892E-2</v>
      </c>
    </row>
    <row r="61" spans="2:6" x14ac:dyDescent="0.35">
      <c r="B61" s="9" t="s">
        <v>76</v>
      </c>
      <c r="C61" s="10">
        <f>'BILANZ (CHF)'!C29/'Erfolgsrechnung (CHF)'!C$8</f>
        <v>0.78625</v>
      </c>
      <c r="D61" s="10">
        <f>'BILANZ (CHF)'!D29/'Erfolgsrechnung (CHF)'!D$8</f>
        <v>0.61153846153846159</v>
      </c>
      <c r="E61" s="10">
        <f>'BILANZ (CHF)'!E29/'Erfolgsrechnung (CHF)'!E$8</f>
        <v>0.46933333333333332</v>
      </c>
      <c r="F61" s="10">
        <f>'BILANZ (CHF)'!F29/'Erfolgsrechnung (CHF)'!F$8</f>
        <v>0.31007462686567167</v>
      </c>
    </row>
    <row r="62" spans="2:6" x14ac:dyDescent="0.35">
      <c r="B62" s="8" t="s">
        <v>32</v>
      </c>
      <c r="C62" s="19">
        <f>SUM(C60:C61)</f>
        <v>0.84875</v>
      </c>
      <c r="D62" s="19">
        <f>SUM(D60:D61)</f>
        <v>0.66648351648351656</v>
      </c>
      <c r="E62" s="19">
        <f>SUM(E60:E61)</f>
        <v>0.51377777777777778</v>
      </c>
      <c r="F62" s="19">
        <f>SUM(F60:F61)</f>
        <v>0.34738805970149256</v>
      </c>
    </row>
    <row r="63" spans="2:6" x14ac:dyDescent="0.35">
      <c r="B63" s="8" t="s">
        <v>33</v>
      </c>
      <c r="C63" s="15">
        <f>C62+C58</f>
        <v>1.4</v>
      </c>
      <c r="D63" s="15">
        <f>D62+D58</f>
        <v>1.3543956043956045</v>
      </c>
      <c r="E63" s="15">
        <f>E62+E58</f>
        <v>1.2657777777777777</v>
      </c>
      <c r="F63" s="15">
        <f>F62+F58</f>
        <v>1.2246268656716417</v>
      </c>
    </row>
  </sheetData>
  <pageMargins left="0.7" right="0.7" top="0.75" bottom="0.75" header="0.3" footer="0.3"/>
  <pageSetup paperSize="9" scale="82" fitToHeight="0" orientation="portrait" verticalDpi="0" r:id="rId1"/>
  <rowBreaks count="1" manualBreakCount="1">
    <brk id="32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35"/>
  <sheetViews>
    <sheetView workbookViewId="0">
      <selection activeCell="C17" sqref="C17:F17"/>
    </sheetView>
  </sheetViews>
  <sheetFormatPr defaultColWidth="8.81640625" defaultRowHeight="14.5" x14ac:dyDescent="0.35"/>
  <cols>
    <col min="1" max="1" width="8.81640625" style="64"/>
    <col min="2" max="2" width="33.26953125" style="64" bestFit="1" customWidth="1"/>
    <col min="3" max="6" width="9.26953125" style="64" customWidth="1"/>
    <col min="7" max="16384" width="8.81640625" style="64"/>
  </cols>
  <sheetData>
    <row r="4" spans="2:12" x14ac:dyDescent="0.35">
      <c r="B4" s="93" t="s">
        <v>37</v>
      </c>
      <c r="C4" s="95"/>
      <c r="D4" s="95"/>
      <c r="E4" s="95"/>
      <c r="F4" s="95"/>
      <c r="G4" s="16"/>
      <c r="H4" s="16"/>
    </row>
    <row r="5" spans="2:12" x14ac:dyDescent="0.35">
      <c r="B5" s="16"/>
      <c r="C5" s="16"/>
      <c r="D5" s="16"/>
      <c r="E5" s="16"/>
      <c r="F5" s="16"/>
      <c r="G5" s="16"/>
      <c r="H5" s="16"/>
    </row>
    <row r="6" spans="2:12" x14ac:dyDescent="0.35">
      <c r="B6" s="96" t="s">
        <v>25</v>
      </c>
      <c r="C6" s="97" t="s">
        <v>21</v>
      </c>
      <c r="D6" s="97" t="s">
        <v>22</v>
      </c>
      <c r="E6" s="97" t="s">
        <v>23</v>
      </c>
      <c r="F6" s="97" t="s">
        <v>24</v>
      </c>
      <c r="G6" s="126" t="s">
        <v>0</v>
      </c>
      <c r="H6" s="126" t="s">
        <v>0</v>
      </c>
      <c r="I6" s="1" t="s">
        <v>0</v>
      </c>
      <c r="J6" s="1" t="s">
        <v>0</v>
      </c>
      <c r="K6" s="1" t="s">
        <v>0</v>
      </c>
      <c r="L6" s="1" t="s">
        <v>0</v>
      </c>
    </row>
    <row r="7" spans="2:12" x14ac:dyDescent="0.35">
      <c r="B7" s="16"/>
      <c r="C7" s="98"/>
      <c r="D7" s="98"/>
      <c r="E7" s="98"/>
      <c r="F7" s="98"/>
      <c r="G7" s="16"/>
      <c r="H7" s="16"/>
      <c r="I7" s="62"/>
      <c r="L7" s="62"/>
    </row>
    <row r="8" spans="2:12" x14ac:dyDescent="0.35">
      <c r="B8" s="99" t="s">
        <v>55</v>
      </c>
      <c r="C8" s="92">
        <v>16000</v>
      </c>
      <c r="D8" s="92">
        <v>18200</v>
      </c>
      <c r="E8" s="92">
        <v>22500</v>
      </c>
      <c r="F8" s="92">
        <v>26800</v>
      </c>
      <c r="G8" s="16"/>
      <c r="H8" s="127"/>
      <c r="I8" s="1" t="s">
        <v>0</v>
      </c>
      <c r="L8" s="1" t="s">
        <v>0</v>
      </c>
    </row>
    <row r="9" spans="2:12" x14ac:dyDescent="0.35">
      <c r="B9" s="100" t="s">
        <v>110</v>
      </c>
      <c r="C9" s="101">
        <v>4344</v>
      </c>
      <c r="D9" s="101">
        <v>5548</v>
      </c>
      <c r="E9" s="101">
        <v>6242</v>
      </c>
      <c r="F9" s="101">
        <v>7340</v>
      </c>
      <c r="G9" s="16"/>
      <c r="H9" s="101"/>
      <c r="I9" s="1" t="s">
        <v>0</v>
      </c>
      <c r="K9" s="3"/>
      <c r="L9" s="1" t="s">
        <v>0</v>
      </c>
    </row>
    <row r="10" spans="2:12" x14ac:dyDescent="0.35">
      <c r="B10" s="100" t="s">
        <v>111</v>
      </c>
      <c r="C10" s="102">
        <v>4800</v>
      </c>
      <c r="D10" s="102">
        <v>5278</v>
      </c>
      <c r="E10" s="102">
        <v>7874.9999999999991</v>
      </c>
      <c r="F10" s="102">
        <v>10720</v>
      </c>
      <c r="G10" s="16"/>
      <c r="H10" s="127"/>
      <c r="I10" s="1" t="s">
        <v>0</v>
      </c>
      <c r="K10" s="3"/>
      <c r="L10" s="1" t="s">
        <v>0</v>
      </c>
    </row>
    <row r="11" spans="2:12" x14ac:dyDescent="0.35">
      <c r="B11" s="100" t="s">
        <v>112</v>
      </c>
      <c r="C11" s="103">
        <v>1600</v>
      </c>
      <c r="D11" s="103">
        <v>1638</v>
      </c>
      <c r="E11" s="103">
        <v>2475</v>
      </c>
      <c r="F11" s="103">
        <v>2680</v>
      </c>
      <c r="G11" s="16"/>
      <c r="H11" s="127"/>
      <c r="I11" s="1" t="s">
        <v>0</v>
      </c>
      <c r="L11" s="1" t="s">
        <v>0</v>
      </c>
    </row>
    <row r="12" spans="2:12" x14ac:dyDescent="0.35">
      <c r="B12" s="100" t="s">
        <v>113</v>
      </c>
      <c r="C12" s="104">
        <v>2056</v>
      </c>
      <c r="D12" s="104">
        <v>2278</v>
      </c>
      <c r="E12" s="104">
        <v>2533</v>
      </c>
      <c r="F12" s="104">
        <v>2844</v>
      </c>
      <c r="G12" s="16"/>
      <c r="H12" s="127"/>
      <c r="I12" s="1" t="s">
        <v>0</v>
      </c>
      <c r="K12" s="3"/>
      <c r="L12" s="1" t="s">
        <v>0</v>
      </c>
    </row>
    <row r="13" spans="2:12" x14ac:dyDescent="0.35">
      <c r="B13" s="105" t="s">
        <v>47</v>
      </c>
      <c r="C13" s="106">
        <f>SUM(C9:C12)</f>
        <v>12800</v>
      </c>
      <c r="D13" s="106">
        <f>SUM(D9:D12)</f>
        <v>14742</v>
      </c>
      <c r="E13" s="106">
        <f>SUM(E9:E12)</f>
        <v>19125</v>
      </c>
      <c r="F13" s="106">
        <f>SUM(F9:F12)</f>
        <v>23584</v>
      </c>
      <c r="G13" s="16"/>
      <c r="H13" s="127"/>
      <c r="I13" s="1"/>
      <c r="K13" s="3"/>
      <c r="L13" s="1" t="s">
        <v>0</v>
      </c>
    </row>
    <row r="14" spans="2:12" x14ac:dyDescent="0.35">
      <c r="B14" s="105" t="s">
        <v>56</v>
      </c>
      <c r="C14" s="107">
        <f>C8-C13</f>
        <v>3200</v>
      </c>
      <c r="D14" s="107">
        <f>D8-D13</f>
        <v>3458</v>
      </c>
      <c r="E14" s="107">
        <f>E8-E13</f>
        <v>3375</v>
      </c>
      <c r="F14" s="107">
        <f>F8-F13</f>
        <v>3216</v>
      </c>
      <c r="G14" s="16"/>
      <c r="H14" s="127"/>
      <c r="I14" s="1"/>
      <c r="K14" s="3"/>
      <c r="L14" s="1" t="s">
        <v>0</v>
      </c>
    </row>
    <row r="15" spans="2:12" x14ac:dyDescent="0.35">
      <c r="B15" s="100" t="s">
        <v>114</v>
      </c>
      <c r="C15" s="101">
        <v>200</v>
      </c>
      <c r="D15" s="101">
        <v>300</v>
      </c>
      <c r="E15" s="101">
        <v>510</v>
      </c>
      <c r="F15" s="101">
        <v>732</v>
      </c>
      <c r="G15" s="16"/>
      <c r="H15" s="128"/>
      <c r="I15" s="80"/>
      <c r="J15" s="80"/>
      <c r="K15" s="3"/>
      <c r="L15" s="1" t="s">
        <v>0</v>
      </c>
    </row>
    <row r="16" spans="2:12" x14ac:dyDescent="0.35">
      <c r="B16" s="100" t="s">
        <v>115</v>
      </c>
      <c r="C16" s="101">
        <v>0</v>
      </c>
      <c r="D16" s="101">
        <v>0</v>
      </c>
      <c r="E16" s="101">
        <v>0</v>
      </c>
      <c r="F16" s="101">
        <v>0</v>
      </c>
      <c r="G16" s="16"/>
      <c r="H16" s="16"/>
      <c r="K16" s="3"/>
      <c r="L16" s="4" t="s">
        <v>0</v>
      </c>
    </row>
    <row r="17" spans="2:12" x14ac:dyDescent="0.35">
      <c r="B17" s="105" t="s">
        <v>50</v>
      </c>
      <c r="C17" s="107">
        <f>C14-C15+C16</f>
        <v>3000</v>
      </c>
      <c r="D17" s="107">
        <f t="shared" ref="D17:F17" si="0">D14-D15+D16</f>
        <v>3158</v>
      </c>
      <c r="E17" s="107">
        <f t="shared" si="0"/>
        <v>2865</v>
      </c>
      <c r="F17" s="107">
        <f t="shared" si="0"/>
        <v>2484</v>
      </c>
      <c r="G17" s="16"/>
      <c r="H17" s="127"/>
      <c r="I17" s="1"/>
      <c r="K17" s="3"/>
      <c r="L17" s="1" t="s">
        <v>0</v>
      </c>
    </row>
    <row r="18" spans="2:12" s="66" customFormat="1" ht="13" x14ac:dyDescent="0.3">
      <c r="B18" s="100" t="s">
        <v>116</v>
      </c>
      <c r="C18" s="101">
        <f>ROUND(C17*C24,0)</f>
        <v>750</v>
      </c>
      <c r="D18" s="101">
        <f t="shared" ref="D18:F18" si="1">ROUND(D17*D24,0)</f>
        <v>790</v>
      </c>
      <c r="E18" s="101">
        <f t="shared" si="1"/>
        <v>716</v>
      </c>
      <c r="F18" s="101">
        <f t="shared" si="1"/>
        <v>621</v>
      </c>
      <c r="G18" s="129"/>
      <c r="H18" s="130"/>
      <c r="I18" s="1"/>
      <c r="K18" s="3"/>
      <c r="L18" s="1" t="s">
        <v>0</v>
      </c>
    </row>
    <row r="19" spans="2:12" s="67" customFormat="1" x14ac:dyDescent="0.35">
      <c r="B19" s="105" t="s">
        <v>117</v>
      </c>
      <c r="C19" s="107">
        <f t="shared" ref="C19" si="2">C17-C18</f>
        <v>2250</v>
      </c>
      <c r="D19" s="107">
        <f>D17-D18</f>
        <v>2368</v>
      </c>
      <c r="E19" s="107">
        <f>E17-E18</f>
        <v>2149</v>
      </c>
      <c r="F19" s="107">
        <f>F17-F18</f>
        <v>1863</v>
      </c>
      <c r="G19" s="131"/>
      <c r="H19" s="127"/>
      <c r="I19" s="62"/>
      <c r="J19" s="62"/>
      <c r="K19" s="7"/>
      <c r="L19" s="6" t="s">
        <v>0</v>
      </c>
    </row>
    <row r="20" spans="2:12" x14ac:dyDescent="0.35">
      <c r="B20" s="16"/>
      <c r="C20" s="16"/>
      <c r="D20" s="16"/>
      <c r="E20" s="16"/>
      <c r="F20" s="16"/>
      <c r="G20" s="16"/>
      <c r="H20" s="16"/>
    </row>
    <row r="21" spans="2:12" x14ac:dyDescent="0.35">
      <c r="B21" s="16"/>
      <c r="C21" s="16"/>
      <c r="D21" s="16"/>
      <c r="E21" s="16"/>
      <c r="F21" s="16"/>
      <c r="G21" s="16"/>
      <c r="H21" s="16"/>
    </row>
    <row r="22" spans="2:12" x14ac:dyDescent="0.35">
      <c r="B22" s="132"/>
      <c r="C22" s="133"/>
      <c r="D22" s="133"/>
      <c r="E22" s="133"/>
      <c r="F22" s="133"/>
      <c r="G22" s="16"/>
      <c r="H22" s="16"/>
    </row>
    <row r="23" spans="2:12" x14ac:dyDescent="0.35">
      <c r="B23" s="105" t="s">
        <v>38</v>
      </c>
      <c r="C23" s="118"/>
      <c r="D23" s="118"/>
      <c r="E23" s="118"/>
      <c r="F23" s="118"/>
      <c r="G23" s="16"/>
      <c r="H23" s="16"/>
    </row>
    <row r="24" spans="2:12" x14ac:dyDescent="0.35">
      <c r="B24" s="134" t="s">
        <v>53</v>
      </c>
      <c r="C24" s="135">
        <v>0.25</v>
      </c>
      <c r="D24" s="136">
        <v>0.25</v>
      </c>
      <c r="E24" s="136">
        <v>0.25</v>
      </c>
      <c r="F24" s="136">
        <v>0.25</v>
      </c>
      <c r="G24" s="16"/>
      <c r="H24" s="16"/>
    </row>
    <row r="25" spans="2:12" x14ac:dyDescent="0.35">
      <c r="B25" s="16"/>
      <c r="C25" s="16"/>
      <c r="D25" s="16"/>
      <c r="E25" s="16"/>
      <c r="F25" s="16"/>
      <c r="G25" s="16"/>
      <c r="H25" s="16"/>
    </row>
    <row r="26" spans="2:12" x14ac:dyDescent="0.35">
      <c r="B26" s="105" t="s">
        <v>9</v>
      </c>
      <c r="C26" s="107">
        <f>C14+C12</f>
        <v>5256</v>
      </c>
      <c r="D26" s="107">
        <f t="shared" ref="D26:F26" si="3">D14+D12</f>
        <v>5736</v>
      </c>
      <c r="E26" s="107">
        <f t="shared" si="3"/>
        <v>5908</v>
      </c>
      <c r="F26" s="107">
        <f t="shared" si="3"/>
        <v>6060</v>
      </c>
      <c r="G26" s="16"/>
      <c r="H26" s="16"/>
    </row>
    <row r="27" spans="2:12" x14ac:dyDescent="0.35">
      <c r="B27" s="105" t="s">
        <v>106</v>
      </c>
      <c r="C27" s="107">
        <f t="shared" ref="C27:F27" si="4">C14*(1-C24)</f>
        <v>2400</v>
      </c>
      <c r="D27" s="107">
        <f t="shared" si="4"/>
        <v>2593.5</v>
      </c>
      <c r="E27" s="107">
        <f t="shared" si="4"/>
        <v>2531.25</v>
      </c>
      <c r="F27" s="107">
        <f t="shared" si="4"/>
        <v>2412</v>
      </c>
      <c r="G27" s="16"/>
      <c r="H27" s="16"/>
    </row>
    <row r="28" spans="2:12" x14ac:dyDescent="0.35">
      <c r="B28" s="105" t="s">
        <v>54</v>
      </c>
      <c r="C28" s="107">
        <v>3000</v>
      </c>
      <c r="D28" s="107">
        <f>'BILANZ (CHF)'!C29-'BILANZ (CHF)'!D29+'Erfolgsrechnung (CHF)'!D19</f>
        <v>3818</v>
      </c>
      <c r="E28" s="107">
        <f>'BILANZ (CHF)'!D29-'BILANZ (CHF)'!E29+'Erfolgsrechnung (CHF)'!E19</f>
        <v>2719</v>
      </c>
      <c r="F28" s="107">
        <f>'BILANZ (CHF)'!E29-'BILANZ (CHF)'!F29+'Erfolgsrechnung (CHF)'!F19</f>
        <v>4113</v>
      </c>
      <c r="G28" s="16"/>
      <c r="H28" s="16"/>
    </row>
    <row r="32" spans="2:12" x14ac:dyDescent="0.35">
      <c r="D32" s="68"/>
      <c r="E32" s="68"/>
      <c r="F32" s="68"/>
    </row>
    <row r="33" spans="3:9" x14ac:dyDescent="0.35">
      <c r="C33" s="62"/>
      <c r="D33" s="57" t="s">
        <v>0</v>
      </c>
      <c r="E33" s="51" t="s">
        <v>0</v>
      </c>
      <c r="G33" s="62"/>
      <c r="H33" s="57" t="s">
        <v>0</v>
      </c>
      <c r="I33" s="51" t="s">
        <v>0</v>
      </c>
    </row>
    <row r="35" spans="3:9" x14ac:dyDescent="0.35">
      <c r="C35" s="50"/>
      <c r="D35" s="62"/>
      <c r="E35" s="4"/>
      <c r="F35" s="63"/>
      <c r="H35" s="62"/>
      <c r="I35" s="57" t="s">
        <v>0</v>
      </c>
    </row>
  </sheetData>
  <pageMargins left="0.7" right="0.7" top="0.75" bottom="0.75" header="0.3" footer="0.3"/>
  <pageSetup paperSize="9" scale="99" orientation="portrait" r:id="rId1"/>
  <ignoredErrors>
    <ignoredError sqref="C13:F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20"/>
  <sheetViews>
    <sheetView topLeftCell="A2" workbookViewId="0">
      <selection activeCell="B24" sqref="B24"/>
    </sheetView>
  </sheetViews>
  <sheetFormatPr defaultColWidth="8.81640625" defaultRowHeight="14.5" x14ac:dyDescent="0.35"/>
  <cols>
    <col min="2" max="2" width="39.453125" customWidth="1"/>
    <col min="5" max="5" width="9.1796875" customWidth="1"/>
  </cols>
  <sheetData>
    <row r="4" spans="2:11" x14ac:dyDescent="0.35">
      <c r="B4" s="93" t="s">
        <v>37</v>
      </c>
      <c r="C4" s="16"/>
      <c r="D4" s="16"/>
      <c r="E4" s="16"/>
      <c r="F4" s="16"/>
    </row>
    <row r="5" spans="2:11" x14ac:dyDescent="0.35">
      <c r="B5" s="16"/>
      <c r="C5" s="16"/>
      <c r="D5" s="16"/>
      <c r="E5" s="16"/>
      <c r="F5" s="16"/>
    </row>
    <row r="6" spans="2:11" x14ac:dyDescent="0.35">
      <c r="B6" s="108" t="s">
        <v>57</v>
      </c>
      <c r="C6" s="79" t="s">
        <v>21</v>
      </c>
      <c r="D6" s="79" t="s">
        <v>22</v>
      </c>
      <c r="E6" s="79" t="s">
        <v>23</v>
      </c>
      <c r="F6" s="79" t="s">
        <v>24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</row>
    <row r="7" spans="2:11" x14ac:dyDescent="0.35">
      <c r="B7" s="82"/>
      <c r="C7" s="83"/>
      <c r="D7" s="83"/>
      <c r="E7" s="83"/>
      <c r="F7" s="83"/>
      <c r="G7" s="2"/>
      <c r="H7" s="1" t="s">
        <v>0</v>
      </c>
      <c r="K7" s="2"/>
    </row>
    <row r="8" spans="2:11" x14ac:dyDescent="0.35">
      <c r="B8" s="84" t="s">
        <v>55</v>
      </c>
      <c r="C8" s="81">
        <f>'Erfolgsrechnung (CHF)'!C8/'Erfolgsrechnung (CHF)'!C$8</f>
        <v>1</v>
      </c>
      <c r="D8" s="81">
        <f>'Erfolgsrechnung (CHF)'!D8/'Erfolgsrechnung (CHF)'!D$8</f>
        <v>1</v>
      </c>
      <c r="E8" s="81">
        <f>'Erfolgsrechnung (CHF)'!E8/'Erfolgsrechnung (CHF)'!E$8</f>
        <v>1</v>
      </c>
      <c r="F8" s="81">
        <f>'Erfolgsrechnung (CHF)'!F8/'Erfolgsrechnung (CHF)'!F$8</f>
        <v>1</v>
      </c>
      <c r="G8" s="1" t="s">
        <v>0</v>
      </c>
      <c r="H8" s="1" t="s">
        <v>0</v>
      </c>
      <c r="K8" s="1" t="s">
        <v>0</v>
      </c>
    </row>
    <row r="9" spans="2:11" x14ac:dyDescent="0.35">
      <c r="B9" s="85"/>
      <c r="C9" s="109"/>
      <c r="D9" s="109" t="s">
        <v>0</v>
      </c>
      <c r="E9" s="109" t="s">
        <v>0</v>
      </c>
      <c r="F9" s="109" t="s">
        <v>0</v>
      </c>
      <c r="H9" s="1" t="s">
        <v>0</v>
      </c>
    </row>
    <row r="10" spans="2:11" x14ac:dyDescent="0.35">
      <c r="B10" s="85" t="s">
        <v>66</v>
      </c>
      <c r="C10" s="81">
        <f>'Erfolgsrechnung (CHF)'!C9/'Erfolgsrechnung (CHF)'!C$8</f>
        <v>0.27150000000000002</v>
      </c>
      <c r="D10" s="81">
        <f>'Erfolgsrechnung (CHF)'!D9/'Erfolgsrechnung (CHF)'!D$8</f>
        <v>0.30483516483516482</v>
      </c>
      <c r="E10" s="81">
        <f>'Erfolgsrechnung (CHF)'!E9/'Erfolgsrechnung (CHF)'!E$8</f>
        <v>0.27742222222222224</v>
      </c>
      <c r="F10" s="81">
        <f>'Erfolgsrechnung (CHF)'!F9/'Erfolgsrechnung (CHF)'!F$8</f>
        <v>0.2738805970149254</v>
      </c>
      <c r="G10" s="1" t="s">
        <v>0</v>
      </c>
      <c r="H10" s="1" t="s">
        <v>0</v>
      </c>
      <c r="J10" s="3"/>
      <c r="K10" s="1" t="s">
        <v>0</v>
      </c>
    </row>
    <row r="11" spans="2:11" x14ac:dyDescent="0.35">
      <c r="B11" s="85" t="s">
        <v>44</v>
      </c>
      <c r="C11" s="81">
        <f>'Erfolgsrechnung (CHF)'!C10/'Erfolgsrechnung (CHF)'!C$8</f>
        <v>0.3</v>
      </c>
      <c r="D11" s="81">
        <f>'Erfolgsrechnung (CHF)'!D10/'Erfolgsrechnung (CHF)'!D$8</f>
        <v>0.28999999999999998</v>
      </c>
      <c r="E11" s="81">
        <f>'Erfolgsrechnung (CHF)'!E10/'Erfolgsrechnung (CHF)'!E$8</f>
        <v>0.35</v>
      </c>
      <c r="F11" s="81">
        <f>'Erfolgsrechnung (CHF)'!F10/'Erfolgsrechnung (CHF)'!F$8</f>
        <v>0.4</v>
      </c>
      <c r="G11" s="1" t="s">
        <v>0</v>
      </c>
      <c r="H11" s="1" t="s">
        <v>0</v>
      </c>
      <c r="J11" s="3"/>
      <c r="K11" s="1" t="s">
        <v>0</v>
      </c>
    </row>
    <row r="12" spans="2:11" x14ac:dyDescent="0.35">
      <c r="B12" s="85" t="s">
        <v>45</v>
      </c>
      <c r="C12" s="81">
        <f>'Erfolgsrechnung (CHF)'!C11/'Erfolgsrechnung (CHF)'!C$8</f>
        <v>0.1</v>
      </c>
      <c r="D12" s="81">
        <f>'Erfolgsrechnung (CHF)'!D11/'Erfolgsrechnung (CHF)'!D$8</f>
        <v>0.09</v>
      </c>
      <c r="E12" s="81">
        <f>'Erfolgsrechnung (CHF)'!E11/'Erfolgsrechnung (CHF)'!E$8</f>
        <v>0.11</v>
      </c>
      <c r="F12" s="81">
        <f>'Erfolgsrechnung (CHF)'!F11/'Erfolgsrechnung (CHF)'!F$8</f>
        <v>0.1</v>
      </c>
      <c r="G12" s="1" t="s">
        <v>0</v>
      </c>
      <c r="H12" s="1" t="s">
        <v>0</v>
      </c>
      <c r="K12" s="1" t="s">
        <v>0</v>
      </c>
    </row>
    <row r="13" spans="2:11" x14ac:dyDescent="0.35">
      <c r="B13" s="85" t="s">
        <v>46</v>
      </c>
      <c r="C13" s="81">
        <f>'Erfolgsrechnung (CHF)'!C12/'Erfolgsrechnung (CHF)'!C$8</f>
        <v>0.1285</v>
      </c>
      <c r="D13" s="81">
        <f>'Erfolgsrechnung (CHF)'!D12/'Erfolgsrechnung (CHF)'!D$8</f>
        <v>0.12516483516483518</v>
      </c>
      <c r="E13" s="81">
        <f>'Erfolgsrechnung (CHF)'!E12/'Erfolgsrechnung (CHF)'!E$8</f>
        <v>0.11257777777777778</v>
      </c>
      <c r="F13" s="81">
        <f>'Erfolgsrechnung (CHF)'!F12/'Erfolgsrechnung (CHF)'!F$8</f>
        <v>0.10611940298507462</v>
      </c>
      <c r="G13" s="1" t="s">
        <v>0</v>
      </c>
      <c r="H13" s="1" t="s">
        <v>0</v>
      </c>
      <c r="J13" s="3"/>
      <c r="K13" s="1" t="s">
        <v>0</v>
      </c>
    </row>
    <row r="14" spans="2:11" x14ac:dyDescent="0.35">
      <c r="B14" s="105" t="s">
        <v>47</v>
      </c>
      <c r="C14" s="110">
        <f>SUM(C10:C13)</f>
        <v>0.8</v>
      </c>
      <c r="D14" s="110">
        <f>SUM(D10:D13)</f>
        <v>0.81</v>
      </c>
      <c r="E14" s="110">
        <f>SUM(E10:E13)</f>
        <v>0.85</v>
      </c>
      <c r="F14" s="110">
        <f>SUM(F10:F13)</f>
        <v>0.88</v>
      </c>
      <c r="G14" s="1" t="s">
        <v>0</v>
      </c>
      <c r="H14" s="1" t="s">
        <v>0</v>
      </c>
      <c r="J14" s="3"/>
      <c r="K14" s="1" t="s">
        <v>0</v>
      </c>
    </row>
    <row r="15" spans="2:11" x14ac:dyDescent="0.35">
      <c r="B15" s="105" t="s">
        <v>56</v>
      </c>
      <c r="C15" s="111">
        <f t="shared" ref="C15" si="0">C8-C14</f>
        <v>0.19999999999999996</v>
      </c>
      <c r="D15" s="111">
        <f>D8-D14</f>
        <v>0.18999999999999995</v>
      </c>
      <c r="E15" s="111">
        <f t="shared" ref="E15:F15" si="1">E8-E14</f>
        <v>0.15000000000000002</v>
      </c>
      <c r="F15" s="111">
        <f t="shared" si="1"/>
        <v>0.12</v>
      </c>
      <c r="G15" s="1" t="s">
        <v>0</v>
      </c>
      <c r="H15" s="1" t="s">
        <v>0</v>
      </c>
      <c r="J15" s="3"/>
      <c r="K15" s="1" t="s">
        <v>0</v>
      </c>
    </row>
    <row r="16" spans="2:11" x14ac:dyDescent="0.35">
      <c r="B16" s="85" t="s">
        <v>48</v>
      </c>
      <c r="C16" s="81">
        <f>'Erfolgsrechnung (CHF)'!C15/'Erfolgsrechnung (CHF)'!C$8</f>
        <v>1.2500000000000001E-2</v>
      </c>
      <c r="D16" s="81">
        <f>'Erfolgsrechnung (CHF)'!D15/'Erfolgsrechnung (CHF)'!D$8</f>
        <v>1.6483516483516484E-2</v>
      </c>
      <c r="E16" s="81">
        <f>'Erfolgsrechnung (CHF)'!E15/'Erfolgsrechnung (CHF)'!E$8</f>
        <v>2.2666666666666668E-2</v>
      </c>
      <c r="F16" s="81">
        <f>'Erfolgsrechnung (CHF)'!F15/'Erfolgsrechnung (CHF)'!F$8</f>
        <v>2.7313432835820897E-2</v>
      </c>
      <c r="G16" s="1" t="s">
        <v>0</v>
      </c>
      <c r="H16" s="1" t="s">
        <v>0</v>
      </c>
      <c r="J16" s="3"/>
      <c r="K16" s="1" t="s">
        <v>0</v>
      </c>
    </row>
    <row r="17" spans="2:11" x14ac:dyDescent="0.35">
      <c r="B17" s="85" t="s">
        <v>49</v>
      </c>
      <c r="C17" s="81">
        <f>'Erfolgsrechnung (CHF)'!C16/'Erfolgsrechnung (CHF)'!C$8</f>
        <v>0</v>
      </c>
      <c r="D17" s="81">
        <f>'Erfolgsrechnung (CHF)'!D16/'Erfolgsrechnung (CHF)'!D$8</f>
        <v>0</v>
      </c>
      <c r="E17" s="81">
        <f>'Erfolgsrechnung (CHF)'!E16/'Erfolgsrechnung (CHF)'!E$8</f>
        <v>0</v>
      </c>
      <c r="F17" s="81">
        <f>'Erfolgsrechnung (CHF)'!F16/'Erfolgsrechnung (CHF)'!F$8</f>
        <v>0</v>
      </c>
      <c r="G17" s="1" t="s">
        <v>0</v>
      </c>
      <c r="H17" s="1" t="s">
        <v>0</v>
      </c>
      <c r="J17" s="3"/>
      <c r="K17" s="4" t="s">
        <v>0</v>
      </c>
    </row>
    <row r="18" spans="2:11" x14ac:dyDescent="0.35">
      <c r="B18" s="105" t="s">
        <v>50</v>
      </c>
      <c r="C18" s="111">
        <f>C15-C16+C17</f>
        <v>0.18749999999999994</v>
      </c>
      <c r="D18" s="111">
        <f t="shared" ref="D18:F18" si="2">D15-D16+D17</f>
        <v>0.17351648351648347</v>
      </c>
      <c r="E18" s="111">
        <f t="shared" si="2"/>
        <v>0.12733333333333335</v>
      </c>
      <c r="F18" s="111">
        <f t="shared" si="2"/>
        <v>9.2686567164179098E-2</v>
      </c>
      <c r="G18" s="1" t="s">
        <v>0</v>
      </c>
      <c r="H18" s="1" t="s">
        <v>0</v>
      </c>
      <c r="J18" s="3"/>
      <c r="K18" s="1" t="s">
        <v>0</v>
      </c>
    </row>
    <row r="19" spans="2:11" s="52" customFormat="1" x14ac:dyDescent="0.35">
      <c r="B19" s="85" t="s">
        <v>51</v>
      </c>
      <c r="C19" s="81">
        <f>'Erfolgsrechnung (CHF)'!C18/'Erfolgsrechnung (CHF)'!C$8</f>
        <v>4.6875E-2</v>
      </c>
      <c r="D19" s="81">
        <f>'Erfolgsrechnung (CHF)'!D18/'Erfolgsrechnung (CHF)'!D$8</f>
        <v>4.3406593406593405E-2</v>
      </c>
      <c r="E19" s="81">
        <f>'Erfolgsrechnung (CHF)'!E18/'Erfolgsrechnung (CHF)'!E$8</f>
        <v>3.1822222222222224E-2</v>
      </c>
      <c r="F19" s="81">
        <f>'Erfolgsrechnung (CHF)'!F18/'Erfolgsrechnung (CHF)'!F$8</f>
        <v>2.3171641791044775E-2</v>
      </c>
      <c r="G19" s="1" t="s">
        <v>0</v>
      </c>
      <c r="H19" s="1" t="s">
        <v>0</v>
      </c>
      <c r="J19" s="3"/>
      <c r="K19" s="1" t="s">
        <v>0</v>
      </c>
    </row>
    <row r="20" spans="2:11" s="5" customFormat="1" ht="13" x14ac:dyDescent="0.3">
      <c r="B20" s="105" t="s">
        <v>52</v>
      </c>
      <c r="C20" s="111">
        <f t="shared" ref="C20" si="3">C18-C19</f>
        <v>0.14062499999999994</v>
      </c>
      <c r="D20" s="111">
        <f>D18-D19</f>
        <v>0.13010989010989005</v>
      </c>
      <c r="E20" s="111">
        <f>E18-E19</f>
        <v>9.551111111111113E-2</v>
      </c>
      <c r="F20" s="111">
        <f>F18-F19</f>
        <v>6.951492537313432E-2</v>
      </c>
      <c r="G20" s="6" t="s">
        <v>0</v>
      </c>
      <c r="H20" s="6" t="s">
        <v>0</v>
      </c>
      <c r="J20" s="7"/>
      <c r="K20" s="6"/>
    </row>
  </sheetData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1"/>
  <sheetViews>
    <sheetView tabSelected="1" zoomScale="85" zoomScaleNormal="85" zoomScalePageLayoutView="85" workbookViewId="0">
      <selection activeCell="C35" sqref="C35"/>
    </sheetView>
  </sheetViews>
  <sheetFormatPr defaultColWidth="12.1796875" defaultRowHeight="15.5" x14ac:dyDescent="0.35"/>
  <cols>
    <col min="1" max="1" width="12.1796875" style="21"/>
    <col min="2" max="2" width="40.453125" style="21" customWidth="1"/>
    <col min="3" max="6" width="29.1796875" style="21" customWidth="1"/>
    <col min="7" max="16384" width="12.1796875" style="21"/>
  </cols>
  <sheetData>
    <row r="2" spans="2:6" x14ac:dyDescent="0.35">
      <c r="B2" s="24" t="s">
        <v>71</v>
      </c>
    </row>
    <row r="4" spans="2:6" x14ac:dyDescent="0.35">
      <c r="B4" s="137" t="s">
        <v>58</v>
      </c>
      <c r="C4" s="138"/>
      <c r="D4" s="138"/>
      <c r="E4" s="138"/>
      <c r="F4" s="139"/>
    </row>
    <row r="6" spans="2:6" x14ac:dyDescent="0.35">
      <c r="B6" s="22"/>
      <c r="C6" s="86" t="s">
        <v>21</v>
      </c>
      <c r="D6" s="86" t="s">
        <v>22</v>
      </c>
      <c r="E6" s="86" t="s">
        <v>23</v>
      </c>
      <c r="F6" s="86" t="s">
        <v>24</v>
      </c>
    </row>
    <row r="7" spans="2:6" x14ac:dyDescent="0.35">
      <c r="B7" s="21" t="s">
        <v>4</v>
      </c>
      <c r="C7" s="23">
        <f>'BILANZ (CHF)'!C10/'BILANZ (CHF)'!C23</f>
        <v>0.82627118644067798</v>
      </c>
      <c r="D7" s="23">
        <f>'BILANZ (CHF)'!D10/'BILANZ (CHF)'!D23</f>
        <v>0.93891402714932126</v>
      </c>
      <c r="E7" s="23">
        <f>'BILANZ (CHF)'!E10/'BILANZ (CHF)'!E23</f>
        <v>1.1784232365145229</v>
      </c>
      <c r="F7" s="23">
        <f>'BILANZ (CHF)'!F10/'BILANZ (CHF)'!F23</f>
        <v>1.2216582064297801</v>
      </c>
    </row>
    <row r="8" spans="2:6" x14ac:dyDescent="0.35">
      <c r="B8" s="21" t="s">
        <v>3</v>
      </c>
      <c r="C8" s="23">
        <f>('BILANZ (CHF)'!C6+'BILANZ (CHF)'!C7)/'BILANZ (CHF)'!C23</f>
        <v>0.52966101694915257</v>
      </c>
      <c r="D8" s="23">
        <f>('BILANZ (CHF)'!D6+'BILANZ (CHF)'!D7)/'BILANZ (CHF)'!D23</f>
        <v>0.52601809954751133</v>
      </c>
      <c r="E8" s="23">
        <f>('BILANZ (CHF)'!E6+'BILANZ (CHF)'!E7)/'BILANZ (CHF)'!E23</f>
        <v>0.70539419087136934</v>
      </c>
      <c r="F8" s="23">
        <f>('BILANZ (CHF)'!F6+'BILANZ (CHF)'!F7)/'BILANZ (CHF)'!F23</f>
        <v>0.81218274111675126</v>
      </c>
    </row>
    <row r="9" spans="2:6" x14ac:dyDescent="0.35">
      <c r="B9" s="21" t="s">
        <v>2</v>
      </c>
      <c r="C9" s="23">
        <f>'BILANZ (CHF)'!C6/'BILANZ (CHF)'!C23</f>
        <v>0.21186440677966101</v>
      </c>
      <c r="D9" s="23">
        <f>'BILANZ (CHF)'!D6/'BILANZ (CHF)'!D23</f>
        <v>0.18099547511312217</v>
      </c>
      <c r="E9" s="23">
        <f>'BILANZ (CHF)'!E6/'BILANZ (CHF)'!E23</f>
        <v>0.14522821576763487</v>
      </c>
      <c r="F9" s="23">
        <f>'BILANZ (CHF)'!F6/'BILANZ (CHF)'!F23</f>
        <v>0.10152284263959391</v>
      </c>
    </row>
    <row r="11" spans="2:6" ht="309" customHeight="1" x14ac:dyDescent="0.35"/>
    <row r="13" spans="2:6" x14ac:dyDescent="0.35">
      <c r="B13" s="137" t="s">
        <v>59</v>
      </c>
      <c r="C13" s="138"/>
      <c r="D13" s="138"/>
      <c r="E13" s="138"/>
      <c r="F13" s="139"/>
    </row>
    <row r="15" spans="2:6" x14ac:dyDescent="0.35">
      <c r="B15" s="22"/>
      <c r="C15" s="86" t="s">
        <v>21</v>
      </c>
      <c r="D15" s="86" t="s">
        <v>22</v>
      </c>
      <c r="E15" s="86" t="s">
        <v>23</v>
      </c>
      <c r="F15" s="86" t="s">
        <v>24</v>
      </c>
    </row>
    <row r="16" spans="2:6" x14ac:dyDescent="0.35">
      <c r="B16" s="24" t="s">
        <v>64</v>
      </c>
      <c r="C16" s="24"/>
      <c r="D16" s="24"/>
    </row>
    <row r="17" spans="1:6" x14ac:dyDescent="0.35">
      <c r="B17" s="21" t="s">
        <v>60</v>
      </c>
      <c r="C17" s="23"/>
      <c r="D17" s="23">
        <f>'Erfolgsrechnung (CHF)'!D8/AVERAGE('BILANZ (CHF)'!C7:D7)</f>
        <v>12.03305785123967</v>
      </c>
      <c r="E17" s="23">
        <f>'Erfolgsrechnung (CHF)'!E8/AVERAGE('BILANZ (CHF)'!D7:E7)</f>
        <v>10.650887573964496</v>
      </c>
      <c r="F17" s="23">
        <f>'Erfolgsrechnung (CHF)'!F8/AVERAGE('BILANZ (CHF)'!E7:F7)</f>
        <v>7.7681159420289854</v>
      </c>
    </row>
    <row r="18" spans="1:6" x14ac:dyDescent="0.35">
      <c r="A18" s="21" t="s">
        <v>5</v>
      </c>
      <c r="B18" s="21" t="s">
        <v>61</v>
      </c>
      <c r="C18" s="23"/>
      <c r="D18" s="23">
        <f>('Erfolgsrechnung (CHF)'!D9+'BILANZ (CHF)'!D8-'BILANZ (CHF)'!C8)/AVERAGE('BILANZ (CHF)'!C19:D19)</f>
        <v>11.549514563106795</v>
      </c>
      <c r="E18" s="23">
        <f>('Erfolgsrechnung (CHF)'!E9+'BILANZ (CHF)'!E8-'BILANZ (CHF)'!D8)/AVERAGE('BILANZ (CHF)'!D19:E19)</f>
        <v>14.498924731182795</v>
      </c>
      <c r="F18" s="23">
        <f>('Erfolgsrechnung (CHF)'!F9+'BILANZ (CHF)'!F8-'BILANZ (CHF)'!E8)/AVERAGE('BILANZ (CHF)'!E19:F19)</f>
        <v>21.257142857142856</v>
      </c>
    </row>
    <row r="19" spans="1:6" x14ac:dyDescent="0.35">
      <c r="B19" s="21" t="s">
        <v>62</v>
      </c>
      <c r="C19" s="23"/>
      <c r="D19" s="23">
        <f>'Erfolgsrechnung (CHF)'!D9/AVERAGE('BILANZ (CHF)'!C8:D8)</f>
        <v>5.0436363636363639</v>
      </c>
      <c r="E19" s="23">
        <f>'Erfolgsrechnung (CHF)'!E9/AVERAGE('BILANZ (CHF)'!D8:E8)</f>
        <v>4.0270967741935486</v>
      </c>
      <c r="F19" s="23">
        <f>'Erfolgsrechnung (CHF)'!F9/AVERAGE('BILANZ (CHF)'!E8:F8)</f>
        <v>3.9675675675675675</v>
      </c>
    </row>
    <row r="20" spans="1:6" x14ac:dyDescent="0.35">
      <c r="E20" s="23"/>
      <c r="F20" s="23"/>
    </row>
    <row r="21" spans="1:6" x14ac:dyDescent="0.35">
      <c r="B21" s="25" t="s">
        <v>63</v>
      </c>
      <c r="C21" s="23"/>
      <c r="D21" s="23">
        <f>'Erfolgsrechnung (CHF)'!D8/AVERAGE('BILANZ (CHF)'!C15:D15)</f>
        <v>0.7736450584484591</v>
      </c>
      <c r="E21" s="23">
        <f>'Erfolgsrechnung (CHF)'!E8/AVERAGE('BILANZ (CHF)'!D15:E15)</f>
        <v>0.84697910784867303</v>
      </c>
      <c r="F21" s="23">
        <f>'Erfolgsrechnung (CHF)'!F8/AVERAGE('BILANZ (CHF)'!E15:F15)</f>
        <v>0.87438825448613378</v>
      </c>
    </row>
    <row r="22" spans="1:6" x14ac:dyDescent="0.35">
      <c r="B22" s="26"/>
      <c r="C22" s="26"/>
      <c r="D22" s="26"/>
      <c r="E22" s="28"/>
      <c r="F22" s="28"/>
    </row>
    <row r="24" spans="1:6" x14ac:dyDescent="0.35">
      <c r="B24" s="24" t="s">
        <v>65</v>
      </c>
      <c r="C24" s="24"/>
      <c r="D24" s="24"/>
    </row>
    <row r="25" spans="1:6" x14ac:dyDescent="0.35">
      <c r="B25" s="21" t="s">
        <v>67</v>
      </c>
      <c r="C25" s="29"/>
      <c r="D25" s="29">
        <f t="shared" ref="D25:E25" si="0">365/D17</f>
        <v>30.333104395604394</v>
      </c>
      <c r="E25" s="29">
        <f t="shared" si="0"/>
        <v>34.269444444444446</v>
      </c>
      <c r="F25" s="29">
        <f>365/F17</f>
        <v>46.986940298507463</v>
      </c>
    </row>
    <row r="26" spans="1:6" x14ac:dyDescent="0.35">
      <c r="B26" s="21" t="s">
        <v>68</v>
      </c>
      <c r="C26" s="29"/>
      <c r="D26" s="29">
        <f t="shared" ref="D26:E26" si="1">365/D18</f>
        <v>31.603059852051111</v>
      </c>
      <c r="E26" s="29">
        <f t="shared" si="1"/>
        <v>25.174280628893506</v>
      </c>
      <c r="F26" s="29">
        <f>365/F18</f>
        <v>17.170698924731184</v>
      </c>
    </row>
    <row r="27" spans="1:6" x14ac:dyDescent="0.35">
      <c r="B27" s="21" t="s">
        <v>69</v>
      </c>
      <c r="C27" s="29"/>
      <c r="D27" s="29">
        <f t="shared" ref="D27:E27" si="2">365/D19</f>
        <v>72.368421052631575</v>
      </c>
      <c r="E27" s="29">
        <f t="shared" si="2"/>
        <v>90.636014098045493</v>
      </c>
      <c r="F27" s="29">
        <f>365/F19</f>
        <v>91.995912806539508</v>
      </c>
    </row>
    <row r="28" spans="1:6" s="24" customFormat="1" x14ac:dyDescent="0.35">
      <c r="B28" s="30" t="s">
        <v>11</v>
      </c>
      <c r="C28" s="61"/>
      <c r="D28" s="61">
        <f t="shared" ref="D28:F28" si="3">D25+D27-D26</f>
        <v>71.098465596184866</v>
      </c>
      <c r="E28" s="61">
        <f t="shared" si="3"/>
        <v>99.73117791359644</v>
      </c>
      <c r="F28" s="61">
        <f t="shared" si="3"/>
        <v>121.81215418031577</v>
      </c>
    </row>
    <row r="30" spans="1:6" ht="304" customHeight="1" x14ac:dyDescent="0.35"/>
    <row r="31" spans="1:6" ht="15.75" customHeight="1" x14ac:dyDescent="0.35"/>
    <row r="32" spans="1:6" ht="15.75" customHeight="1" x14ac:dyDescent="0.35">
      <c r="B32" s="137" t="s">
        <v>77</v>
      </c>
      <c r="C32" s="138"/>
      <c r="D32" s="138"/>
      <c r="E32" s="138"/>
      <c r="F32" s="139"/>
    </row>
    <row r="33" spans="2:6" ht="15.75" customHeight="1" x14ac:dyDescent="0.35"/>
    <row r="34" spans="2:6" ht="15.75" customHeight="1" x14ac:dyDescent="0.35">
      <c r="B34" s="22"/>
      <c r="C34" s="86" t="s">
        <v>21</v>
      </c>
      <c r="D34" s="86" t="s">
        <v>22</v>
      </c>
      <c r="E34" s="86" t="s">
        <v>23</v>
      </c>
      <c r="F34" s="86" t="s">
        <v>24</v>
      </c>
    </row>
    <row r="35" spans="2:6" ht="15.75" customHeight="1" x14ac:dyDescent="0.35">
      <c r="B35" s="21" t="s">
        <v>72</v>
      </c>
      <c r="C35" s="87">
        <f>'BILANZ (CHF)'!C30/'BILANZ (CHF)'!C14</f>
        <v>0.73405405405405411</v>
      </c>
      <c r="D35" s="87">
        <f>'BILANZ (CHF)'!D30/'BILANZ (CHF)'!D14</f>
        <v>0.5917073170731707</v>
      </c>
      <c r="E35" s="87">
        <f>'BILANZ (CHF)'!E30/'BILANZ (CHF)'!E14</f>
        <v>0.50701754385964914</v>
      </c>
      <c r="F35" s="87">
        <f>'BILANZ (CHF)'!F30/'BILANZ (CHF)'!F14</f>
        <v>0.36367187499999998</v>
      </c>
    </row>
    <row r="36" spans="2:6" ht="15.75" customHeight="1" x14ac:dyDescent="0.35">
      <c r="B36" s="27" t="s">
        <v>73</v>
      </c>
      <c r="C36" s="88">
        <f>('BILANZ (CHF)'!C30+'BILANZ (CHF)'!C24)/'BILANZ (CHF)'!C15</f>
        <v>0.78482142857142856</v>
      </c>
      <c r="D36" s="88">
        <f>('BILANZ (CHF)'!D30+'BILANZ (CHF)'!D24)/'BILANZ (CHF)'!D15</f>
        <v>0.8166328600405679</v>
      </c>
      <c r="E36" s="88">
        <f>('BILANZ (CHF)'!E30+'BILANZ (CHF)'!E24)/'BILANZ (CHF)'!E15</f>
        <v>0.827247191011236</v>
      </c>
      <c r="F36" s="88">
        <f>('BILANZ (CHF)'!F30+'BILANZ (CHF)'!F24)/'BILANZ (CHF)'!F15</f>
        <v>0.81687995124923829</v>
      </c>
    </row>
    <row r="37" spans="2:6" ht="15.75" customHeight="1" x14ac:dyDescent="0.35"/>
    <row r="38" spans="2:6" ht="15.75" customHeight="1" x14ac:dyDescent="0.35"/>
    <row r="39" spans="2:6" ht="15.75" customHeight="1" x14ac:dyDescent="0.35"/>
    <row r="40" spans="2:6" ht="15.75" customHeight="1" x14ac:dyDescent="0.35"/>
    <row r="41" spans="2:6" ht="15.75" customHeight="1" x14ac:dyDescent="0.35"/>
    <row r="42" spans="2:6" ht="15.75" customHeight="1" x14ac:dyDescent="0.35"/>
    <row r="43" spans="2:6" ht="15.75" customHeight="1" x14ac:dyDescent="0.35"/>
    <row r="44" spans="2:6" ht="15.75" customHeight="1" x14ac:dyDescent="0.35"/>
    <row r="45" spans="2:6" ht="15.75" customHeight="1" x14ac:dyDescent="0.35"/>
    <row r="46" spans="2:6" ht="15.75" customHeight="1" x14ac:dyDescent="0.35"/>
    <row r="47" spans="2:6" ht="15.75" customHeight="1" x14ac:dyDescent="0.35"/>
    <row r="48" spans="2:6" ht="15.75" customHeight="1" x14ac:dyDescent="0.35"/>
    <row r="49" spans="2:6" ht="15.75" customHeight="1" x14ac:dyDescent="0.35"/>
    <row r="50" spans="2:6" ht="15.75" customHeight="1" x14ac:dyDescent="0.35"/>
    <row r="51" spans="2:6" ht="15.75" customHeight="1" x14ac:dyDescent="0.35"/>
    <row r="52" spans="2:6" ht="15.75" customHeight="1" x14ac:dyDescent="0.35"/>
    <row r="53" spans="2:6" ht="15.75" customHeight="1" x14ac:dyDescent="0.35"/>
    <row r="54" spans="2:6" ht="15.75" customHeight="1" x14ac:dyDescent="0.35"/>
    <row r="55" spans="2:6" ht="15.75" customHeight="1" x14ac:dyDescent="0.35"/>
    <row r="57" spans="2:6" x14ac:dyDescent="0.35">
      <c r="B57" s="137" t="s">
        <v>70</v>
      </c>
      <c r="C57" s="138"/>
      <c r="D57" s="138"/>
      <c r="E57" s="138"/>
      <c r="F57" s="139"/>
    </row>
    <row r="59" spans="2:6" x14ac:dyDescent="0.35">
      <c r="B59" s="30"/>
      <c r="C59" s="86" t="s">
        <v>21</v>
      </c>
      <c r="D59" s="86" t="s">
        <v>22</v>
      </c>
      <c r="E59" s="86" t="s">
        <v>23</v>
      </c>
      <c r="F59" s="86" t="s">
        <v>24</v>
      </c>
    </row>
    <row r="60" spans="2:6" x14ac:dyDescent="0.35">
      <c r="B60" s="55"/>
      <c r="C60" s="56"/>
      <c r="D60" s="56"/>
      <c r="E60" s="56"/>
      <c r="F60" s="56"/>
    </row>
    <row r="61" spans="2:6" x14ac:dyDescent="0.35">
      <c r="B61" s="21" t="s">
        <v>118</v>
      </c>
      <c r="C61" s="31">
        <f>'BILANZ (CHF)'!C26/'BILANZ (CHF)'!C31</f>
        <v>0.39374999999999999</v>
      </c>
      <c r="D61" s="31">
        <f>'BILANZ (CHF)'!D26/'BILANZ (CHF)'!D31</f>
        <v>0.50791075050709944</v>
      </c>
      <c r="E61" s="31">
        <f>'BILANZ (CHF)'!E26/'BILANZ (CHF)'!E31</f>
        <v>0.5941011235955056</v>
      </c>
      <c r="F61" s="31">
        <f>'BILANZ (CHF)'!F26/'BILANZ (CHF)'!F31</f>
        <v>0.7163315051797684</v>
      </c>
    </row>
    <row r="62" spans="2:6" x14ac:dyDescent="0.35">
      <c r="B62" s="21" t="s">
        <v>119</v>
      </c>
      <c r="C62" s="31">
        <f>('BILANZ (CHF)'!C22+'BILANZ (CHF)'!C24)/('BILANZ (CHF)'!C22+'BILANZ (CHF)'!C24+'BILANZ (CHF)'!C30)</f>
        <v>0.3401360544217687</v>
      </c>
      <c r="D62" s="31">
        <f>('BILANZ (CHF)'!D22+'BILANZ (CHF)'!D24)/('BILANZ (CHF)'!D22+'BILANZ (CHF)'!D24+'BILANZ (CHF)'!D30)</f>
        <v>0.4639858594785683</v>
      </c>
      <c r="E62" s="31">
        <f>('BILANZ (CHF)'!E22+'BILANZ (CHF)'!E24)/('BILANZ (CHF)'!E22+'BILANZ (CHF)'!E24+'BILANZ (CHF)'!E30)</f>
        <v>0.56475903614457834</v>
      </c>
      <c r="F62" s="31">
        <f>('BILANZ (CHF)'!F22+'BILANZ (CHF)'!F24)/('BILANZ (CHF)'!F22+'BILANZ (CHF)'!F24+'BILANZ (CHF)'!F30)</f>
        <v>0.69782538136968519</v>
      </c>
    </row>
    <row r="63" spans="2:6" x14ac:dyDescent="0.35">
      <c r="E63" s="31"/>
      <c r="F63" s="31"/>
    </row>
    <row r="64" spans="2:6" x14ac:dyDescent="0.35">
      <c r="B64" s="21" t="s">
        <v>79</v>
      </c>
      <c r="C64" s="53">
        <f t="shared" ref="C64:F65" si="4">C61/(1-C61)</f>
        <v>0.64948453608247425</v>
      </c>
      <c r="D64" s="53">
        <f t="shared" si="4"/>
        <v>1.0321516900247323</v>
      </c>
      <c r="E64" s="53">
        <f t="shared" si="4"/>
        <v>1.4636678200692039</v>
      </c>
      <c r="F64" s="53">
        <f t="shared" si="4"/>
        <v>2.525241675617615</v>
      </c>
    </row>
    <row r="65" spans="2:6" x14ac:dyDescent="0.35">
      <c r="B65" s="21" t="s">
        <v>80</v>
      </c>
      <c r="C65" s="53">
        <f t="shared" si="4"/>
        <v>0.51546391752577314</v>
      </c>
      <c r="D65" s="53">
        <f t="shared" si="4"/>
        <v>0.86562242374278653</v>
      </c>
      <c r="E65" s="53">
        <f t="shared" si="4"/>
        <v>1.2975778546712804</v>
      </c>
      <c r="F65" s="53">
        <f t="shared" si="4"/>
        <v>2.3093447905477982</v>
      </c>
    </row>
    <row r="66" spans="2:6" ht="15" customHeight="1" x14ac:dyDescent="0.35">
      <c r="E66" s="31"/>
      <c r="F66" s="31"/>
    </row>
    <row r="67" spans="2:6" x14ac:dyDescent="0.35">
      <c r="B67" s="24" t="s">
        <v>78</v>
      </c>
      <c r="E67" s="31"/>
      <c r="F67" s="31"/>
    </row>
    <row r="68" spans="2:6" x14ac:dyDescent="0.35">
      <c r="B68" s="21" t="s">
        <v>81</v>
      </c>
      <c r="C68" s="53">
        <f>'Erfolgsrechnung (CHF)'!C14/'Erfolgsrechnung (CHF)'!C15</f>
        <v>16</v>
      </c>
      <c r="D68" s="53">
        <f>'Erfolgsrechnung (CHF)'!D14/'Erfolgsrechnung (CHF)'!D15</f>
        <v>11.526666666666667</v>
      </c>
      <c r="E68" s="53">
        <f>'Erfolgsrechnung (CHF)'!E14/'Erfolgsrechnung (CHF)'!E15</f>
        <v>6.617647058823529</v>
      </c>
      <c r="F68" s="53">
        <f>'Erfolgsrechnung (CHF)'!F14/'Erfolgsrechnung (CHF)'!F15</f>
        <v>4.3934426229508201</v>
      </c>
    </row>
    <row r="69" spans="2:6" x14ac:dyDescent="0.35">
      <c r="B69" s="21" t="s">
        <v>82</v>
      </c>
      <c r="C69" s="53">
        <f>'Erfolgsrechnung (CHF)'!C26/'Erfolgsrechnung (CHF)'!C15</f>
        <v>26.28</v>
      </c>
      <c r="D69" s="53">
        <f>'Erfolgsrechnung (CHF)'!D26/'Erfolgsrechnung (CHF)'!D15</f>
        <v>19.12</v>
      </c>
      <c r="E69" s="53">
        <f>'Erfolgsrechnung (CHF)'!E26/'Erfolgsrechnung (CHF)'!E15</f>
        <v>11.584313725490196</v>
      </c>
      <c r="F69" s="53">
        <f>'Erfolgsrechnung (CHF)'!F26/'Erfolgsrechnung (CHF)'!F15</f>
        <v>8.278688524590164</v>
      </c>
    </row>
    <row r="70" spans="2:6" x14ac:dyDescent="0.35">
      <c r="E70" s="31"/>
      <c r="F70" s="31"/>
    </row>
    <row r="71" spans="2:6" x14ac:dyDescent="0.35">
      <c r="B71" s="21" t="s">
        <v>83</v>
      </c>
      <c r="C71" s="53">
        <f>('BILANZ (CHF)'!C22+'BILANZ (CHF)'!C24)/'Erfolgsrechnung (CHF)'!C14</f>
        <v>2.1875</v>
      </c>
      <c r="D71" s="53">
        <f>('BILANZ (CHF)'!D22+'BILANZ (CHF)'!D24)/'Erfolgsrechnung (CHF)'!D14</f>
        <v>3.0364372469635628</v>
      </c>
      <c r="E71" s="53">
        <f>('BILANZ (CHF)'!E22+'BILANZ (CHF)'!E24)/'Erfolgsrechnung (CHF)'!E14</f>
        <v>4.4444444444444446</v>
      </c>
      <c r="F71" s="53">
        <f>('BILANZ (CHF)'!F22+'BILANZ (CHF)'!F24)/'Erfolgsrechnung (CHF)'!F14</f>
        <v>6.6853233830845769</v>
      </c>
    </row>
    <row r="72" spans="2:6" x14ac:dyDescent="0.35">
      <c r="B72" s="21" t="s">
        <v>84</v>
      </c>
      <c r="C72" s="53">
        <f>('BILANZ (CHF)'!C22+'BILANZ (CHF)'!C24)/'Erfolgsrechnung (CHF)'!C26</f>
        <v>1.3318112633181127</v>
      </c>
      <c r="D72" s="53">
        <f>('BILANZ (CHF)'!D22+'BILANZ (CHF)'!D24)/'Erfolgsrechnung (CHF)'!D26</f>
        <v>1.8305439330543933</v>
      </c>
      <c r="E72" s="53">
        <f>('BILANZ (CHF)'!E22+'BILANZ (CHF)'!E24)/'Erfolgsrechnung (CHF)'!E26</f>
        <v>2.5389302640487474</v>
      </c>
      <c r="F72" s="53">
        <f>('BILANZ (CHF)'!F22+'BILANZ (CHF)'!F24)/'Erfolgsrechnung (CHF)'!F26</f>
        <v>3.547854785478548</v>
      </c>
    </row>
    <row r="73" spans="2:6" x14ac:dyDescent="0.35">
      <c r="B73" s="46"/>
      <c r="C73" s="46"/>
      <c r="D73" s="46"/>
      <c r="E73" s="54"/>
      <c r="F73" s="54"/>
    </row>
    <row r="74" spans="2:6" ht="300" customHeight="1" x14ac:dyDescent="0.35"/>
    <row r="75" spans="2:6" ht="296.25" customHeight="1" x14ac:dyDescent="0.35"/>
    <row r="77" spans="2:6" x14ac:dyDescent="0.35">
      <c r="B77" s="137" t="s">
        <v>85</v>
      </c>
      <c r="C77" s="138"/>
      <c r="D77" s="138"/>
      <c r="E77" s="138"/>
      <c r="F77" s="139"/>
    </row>
    <row r="79" spans="2:6" x14ac:dyDescent="0.35">
      <c r="B79" s="30"/>
      <c r="C79" s="86" t="s">
        <v>21</v>
      </c>
      <c r="D79" s="86" t="s">
        <v>22</v>
      </c>
      <c r="E79" s="86" t="s">
        <v>23</v>
      </c>
      <c r="F79" s="86" t="s">
        <v>24</v>
      </c>
    </row>
    <row r="80" spans="2:6" x14ac:dyDescent="0.35">
      <c r="B80" s="32" t="s">
        <v>43</v>
      </c>
      <c r="C80" s="33">
        <f>'Erfolgsrechnung (CHF)'!C8</f>
        <v>16000</v>
      </c>
      <c r="D80" s="33">
        <f>'Erfolgsrechnung (CHF)'!D8</f>
        <v>18200</v>
      </c>
      <c r="E80" s="33">
        <f>'Erfolgsrechnung (CHF)'!E8</f>
        <v>22500</v>
      </c>
      <c r="F80" s="33">
        <f>'Erfolgsrechnung (CHF)'!F8</f>
        <v>26800</v>
      </c>
    </row>
    <row r="81" spans="2:6" x14ac:dyDescent="0.35">
      <c r="B81" s="27" t="s">
        <v>86</v>
      </c>
      <c r="C81" s="34"/>
      <c r="D81" s="34">
        <f>'Erfolgsrechnung (CHF)'!D8/'Erfolgsrechnung (CHF)'!C8-1</f>
        <v>0.13749999999999996</v>
      </c>
      <c r="E81" s="34">
        <f>'Erfolgsrechnung (CHF)'!E8/'Erfolgsrechnung (CHF)'!D8-1</f>
        <v>0.23626373626373631</v>
      </c>
      <c r="F81" s="34">
        <f>'Erfolgsrechnung (CHF)'!F8/'Erfolgsrechnung (CHF)'!E8-1</f>
        <v>0.19111111111111101</v>
      </c>
    </row>
    <row r="83" spans="2:6" x14ac:dyDescent="0.35">
      <c r="B83" s="32" t="s">
        <v>87</v>
      </c>
      <c r="C83" s="35">
        <f>('Erfolgsrechnung (CHF)'!C8-'Erfolgsrechnung (CHF)'!C9)/'Erfolgsrechnung (CHF)'!C8</f>
        <v>0.72850000000000004</v>
      </c>
      <c r="D83" s="35">
        <f>('Erfolgsrechnung (CHF)'!D8-'Erfolgsrechnung (CHF)'!D9)/'Erfolgsrechnung (CHF)'!D8</f>
        <v>0.69516483516483518</v>
      </c>
      <c r="E83" s="35">
        <f>('Erfolgsrechnung (CHF)'!E8-'Erfolgsrechnung (CHF)'!E9)/'Erfolgsrechnung (CHF)'!E8</f>
        <v>0.72257777777777776</v>
      </c>
      <c r="F83" s="35">
        <f>('Erfolgsrechnung (CHF)'!F8-'Erfolgsrechnung (CHF)'!F9)/'Erfolgsrechnung (CHF)'!F8</f>
        <v>0.7261194029850746</v>
      </c>
    </row>
    <row r="84" spans="2:6" x14ac:dyDescent="0.35">
      <c r="B84" s="25" t="s">
        <v>88</v>
      </c>
      <c r="C84" s="36">
        <f>'Erfolgsrechnung (normiert)'!C15</f>
        <v>0.19999999999999996</v>
      </c>
      <c r="D84" s="36">
        <f>'Erfolgsrechnung (normiert)'!D15</f>
        <v>0.18999999999999995</v>
      </c>
      <c r="E84" s="36">
        <f>'Erfolgsrechnung (normiert)'!E15</f>
        <v>0.15000000000000002</v>
      </c>
      <c r="F84" s="36">
        <f>'Erfolgsrechnung (normiert)'!F15</f>
        <v>0.12</v>
      </c>
    </row>
    <row r="85" spans="2:6" x14ac:dyDescent="0.35">
      <c r="B85" s="27" t="s">
        <v>89</v>
      </c>
      <c r="C85" s="34">
        <f>'Erfolgsrechnung (normiert)'!C20</f>
        <v>0.14062499999999994</v>
      </c>
      <c r="D85" s="34">
        <f>'Erfolgsrechnung (normiert)'!D20</f>
        <v>0.13010989010989005</v>
      </c>
      <c r="E85" s="34">
        <f>'Erfolgsrechnung (normiert)'!E20</f>
        <v>9.551111111111113E-2</v>
      </c>
      <c r="F85" s="34">
        <f>'Erfolgsrechnung (normiert)'!F20</f>
        <v>6.951492537313432E-2</v>
      </c>
    </row>
    <row r="87" spans="2:6" x14ac:dyDescent="0.35">
      <c r="B87" s="32" t="s">
        <v>90</v>
      </c>
      <c r="C87" s="35"/>
      <c r="D87" s="35">
        <f>'Erfolgsrechnung (CHF)'!D19/AVERAGE('BILANZ (CHF)'!C30:D30)</f>
        <v>0.18420847919097627</v>
      </c>
      <c r="E87" s="35">
        <f>'Erfolgsrechnung (CHF)'!E19/AVERAGE('BILANZ (CHF)'!D30:E30)</f>
        <v>0.18142676234698185</v>
      </c>
      <c r="F87" s="35">
        <f>'Erfolgsrechnung (CHF)'!F19/AVERAGE('BILANZ (CHF)'!E30:F30)</f>
        <v>0.17853378054623861</v>
      </c>
    </row>
    <row r="88" spans="2:6" x14ac:dyDescent="0.35">
      <c r="B88" s="25"/>
      <c r="C88" s="36"/>
      <c r="D88" s="36"/>
      <c r="E88" s="36"/>
      <c r="F88" s="36"/>
    </row>
    <row r="89" spans="2:6" x14ac:dyDescent="0.35">
      <c r="B89" s="25" t="s">
        <v>91</v>
      </c>
      <c r="C89" s="36"/>
      <c r="D89" s="36">
        <f>'Erfolgsrechnung (CHF)'!D27/AVERAGE('BILANZ (CHF)'!C31:D31)</f>
        <v>0.11024442082890543</v>
      </c>
      <c r="E89" s="36">
        <f>'Erfolgsrechnung (CHF)'!E27/AVERAGE('BILANZ (CHF)'!D31:E31)</f>
        <v>9.5285149632975713E-2</v>
      </c>
      <c r="F89" s="36">
        <f>'Erfolgsrechnung (CHF)'!F27/AVERAGE('BILANZ (CHF)'!E31:F31)</f>
        <v>7.8694942903752035E-2</v>
      </c>
    </row>
    <row r="90" spans="2:6" x14ac:dyDescent="0.35">
      <c r="B90" s="25" t="s">
        <v>92</v>
      </c>
      <c r="C90" s="36"/>
      <c r="D90" s="36">
        <f>'Erfolgsrechnung (CHF)'!D14/AVERAGE('BILANZ (CHF)'!C31:D31)</f>
        <v>0.14699256110520723</v>
      </c>
      <c r="E90" s="36">
        <f>'Erfolgsrechnung (CHF)'!E14/AVERAGE('BILANZ (CHF)'!D31:E31)</f>
        <v>0.12704686617730096</v>
      </c>
      <c r="F90" s="36">
        <f>'Erfolgsrechnung (CHF)'!F14/AVERAGE('BILANZ (CHF)'!E31:F31)</f>
        <v>0.10492659053833606</v>
      </c>
    </row>
    <row r="91" spans="2:6" x14ac:dyDescent="0.35">
      <c r="B91" s="27" t="s">
        <v>93</v>
      </c>
      <c r="C91" s="34"/>
      <c r="D91" s="34">
        <f>'Erfolgsrechnung (CHF)'!D19/AVERAGE('BILANZ (CHF)'!C31:D31)</f>
        <v>0.10065887353878852</v>
      </c>
      <c r="E91" s="34">
        <f>'Erfolgsrechnung (CHF)'!E19/AVERAGE('BILANZ (CHF)'!D31:E31)</f>
        <v>8.0895915678524374E-2</v>
      </c>
      <c r="F91" s="34">
        <f>'Erfolgsrechnung (CHF)'!F19/AVERAGE('BILANZ (CHF)'!E31:F31)</f>
        <v>6.0783034257748773E-2</v>
      </c>
    </row>
    <row r="92" spans="2:6" x14ac:dyDescent="0.35">
      <c r="B92" s="25"/>
      <c r="C92" s="25"/>
      <c r="D92" s="25"/>
      <c r="E92" s="36"/>
      <c r="F92" s="36"/>
    </row>
    <row r="93" spans="2:6" x14ac:dyDescent="0.35">
      <c r="B93" s="37" t="s">
        <v>94</v>
      </c>
      <c r="C93" s="37"/>
      <c r="D93" s="37"/>
      <c r="E93" s="38"/>
      <c r="F93" s="38"/>
    </row>
    <row r="94" spans="2:6" x14ac:dyDescent="0.35">
      <c r="B94" s="39" t="s">
        <v>95</v>
      </c>
      <c r="C94" s="36"/>
      <c r="D94" s="36">
        <f t="shared" ref="D94:E94" si="5">D85</f>
        <v>0.13010989010989005</v>
      </c>
      <c r="E94" s="36">
        <f t="shared" si="5"/>
        <v>9.551111111111113E-2</v>
      </c>
      <c r="F94" s="36">
        <f t="shared" ref="F94" si="6">F85</f>
        <v>6.951492537313432E-2</v>
      </c>
    </row>
    <row r="95" spans="2:6" x14ac:dyDescent="0.35">
      <c r="B95" s="39" t="s">
        <v>63</v>
      </c>
      <c r="C95" s="40"/>
      <c r="D95" s="40">
        <f>D21</f>
        <v>0.7736450584484591</v>
      </c>
      <c r="E95" s="40">
        <f>E21</f>
        <v>0.84697910784867303</v>
      </c>
      <c r="F95" s="40">
        <f>F21</f>
        <v>0.87438825448613378</v>
      </c>
    </row>
    <row r="96" spans="2:6" x14ac:dyDescent="0.35">
      <c r="B96" s="39" t="s">
        <v>96</v>
      </c>
      <c r="C96" s="40"/>
      <c r="D96" s="40">
        <f>AVERAGE('BILANZ (CHF)'!C30:D30)/AVERAGE('BILANZ (CHF)'!C31:D31)</f>
        <v>0.54643995749202978</v>
      </c>
      <c r="E96" s="40">
        <f>AVERAGE('BILANZ (CHF)'!D30:E30)/AVERAGE('BILANZ (CHF)'!D31:E31)</f>
        <v>0.44588744588744589</v>
      </c>
      <c r="F96" s="40">
        <f>AVERAGE('BILANZ (CHF)'!E30:F30)/AVERAGE('BILANZ (CHF)'!E31:F31)</f>
        <v>0.34045676998368679</v>
      </c>
    </row>
    <row r="97" spans="2:12" x14ac:dyDescent="0.35">
      <c r="B97" s="37" t="s">
        <v>6</v>
      </c>
      <c r="C97" s="38"/>
      <c r="D97" s="38">
        <f t="shared" ref="D97:E97" si="7">D94*D95/D96</f>
        <v>0.18420847919097619</v>
      </c>
      <c r="E97" s="38">
        <f t="shared" si="7"/>
        <v>0.18142676234698188</v>
      </c>
      <c r="F97" s="38">
        <f>F94*F95/F96</f>
        <v>0.17853378054623861</v>
      </c>
    </row>
    <row r="98" spans="2:12" x14ac:dyDescent="0.35">
      <c r="B98" s="25"/>
      <c r="C98" s="25"/>
      <c r="D98" s="25"/>
      <c r="E98" s="36"/>
      <c r="F98" s="36"/>
    </row>
    <row r="99" spans="2:12" x14ac:dyDescent="0.35">
      <c r="B99" s="37" t="s">
        <v>97</v>
      </c>
      <c r="C99" s="60"/>
      <c r="D99" s="60">
        <f>'Erfolgsrechnung (CHF)'!D19/AVERAGE('BILANZ (CHF)'!C36:D36)</f>
        <v>2.3679999999999999</v>
      </c>
      <c r="E99" s="60">
        <f>'Erfolgsrechnung (CHF)'!E19/AVERAGE('BILANZ (CHF)'!D36:E36)</f>
        <v>2.149</v>
      </c>
      <c r="F99" s="60">
        <f>'Erfolgsrechnung (CHF)'!F19/AVERAGE('BILANZ (CHF)'!E36:F36)</f>
        <v>1.863</v>
      </c>
      <c r="G99" s="2"/>
    </row>
    <row r="100" spans="2:12" x14ac:dyDescent="0.35">
      <c r="B100" s="25"/>
      <c r="D100" s="2"/>
      <c r="E100" s="1" t="s">
        <v>0</v>
      </c>
      <c r="F100" s="1" t="s">
        <v>0</v>
      </c>
      <c r="H100" s="2"/>
      <c r="I100" s="1" t="s">
        <v>0</v>
      </c>
      <c r="J100" s="1" t="s">
        <v>0</v>
      </c>
      <c r="L100" s="2"/>
    </row>
    <row r="102" spans="2:12" ht="293.25" customHeight="1" x14ac:dyDescent="0.35"/>
    <row r="103" spans="2:12" ht="297" customHeight="1" x14ac:dyDescent="0.35"/>
    <row r="105" spans="2:12" x14ac:dyDescent="0.35">
      <c r="B105" s="137" t="s">
        <v>98</v>
      </c>
      <c r="C105" s="138"/>
      <c r="D105" s="138"/>
      <c r="E105" s="138"/>
      <c r="F105" s="139"/>
    </row>
    <row r="107" spans="2:12" x14ac:dyDescent="0.35">
      <c r="B107" s="30"/>
      <c r="C107" s="86" t="s">
        <v>21</v>
      </c>
      <c r="D107" s="86" t="s">
        <v>22</v>
      </c>
      <c r="E107" s="86" t="s">
        <v>23</v>
      </c>
      <c r="F107" s="86" t="s">
        <v>24</v>
      </c>
    </row>
    <row r="108" spans="2:12" x14ac:dyDescent="0.35">
      <c r="B108" s="32" t="s">
        <v>99</v>
      </c>
      <c r="C108" s="33">
        <f>'Erfolgsrechnung (CHF)'!C28</f>
        <v>3000</v>
      </c>
      <c r="D108" s="33">
        <f>'Erfolgsrechnung (CHF)'!D28</f>
        <v>3818</v>
      </c>
      <c r="E108" s="33">
        <f>'Erfolgsrechnung (CHF)'!E28</f>
        <v>2719</v>
      </c>
      <c r="F108" s="33">
        <f>'Erfolgsrechnung (CHF)'!F28</f>
        <v>4113</v>
      </c>
    </row>
    <row r="109" spans="2:12" x14ac:dyDescent="0.35">
      <c r="B109" s="21" t="s">
        <v>100</v>
      </c>
      <c r="C109" s="41">
        <v>0</v>
      </c>
      <c r="D109" s="41">
        <v>0</v>
      </c>
      <c r="E109" s="41">
        <v>0</v>
      </c>
      <c r="F109" s="41">
        <v>0</v>
      </c>
    </row>
    <row r="110" spans="2:12" x14ac:dyDescent="0.35">
      <c r="B110" s="22" t="s">
        <v>101</v>
      </c>
      <c r="C110" s="42">
        <f t="shared" ref="C110:E110" si="8">C108+C109</f>
        <v>3000</v>
      </c>
      <c r="D110" s="42">
        <f t="shared" si="8"/>
        <v>3818</v>
      </c>
      <c r="E110" s="42">
        <f t="shared" si="8"/>
        <v>2719</v>
      </c>
      <c r="F110" s="42">
        <f t="shared" ref="F110" si="9">F108+F109</f>
        <v>4113</v>
      </c>
    </row>
    <row r="111" spans="2:12" x14ac:dyDescent="0.35">
      <c r="B111" s="25"/>
      <c r="C111" s="58"/>
      <c r="D111" s="58"/>
      <c r="E111" s="58"/>
      <c r="F111" s="58"/>
    </row>
    <row r="112" spans="2:12" x14ac:dyDescent="0.35">
      <c r="B112" s="30" t="s">
        <v>102</v>
      </c>
      <c r="C112" s="43">
        <f>C108/'Erfolgsrechnung (CHF)'!C19</f>
        <v>1.3333333333333333</v>
      </c>
      <c r="D112" s="43">
        <f>D108/'Erfolgsrechnung (CHF)'!D19</f>
        <v>1.6123310810810811</v>
      </c>
      <c r="E112" s="43">
        <f>E108/'Erfolgsrechnung (CHF)'!E19</f>
        <v>1.2652396463471383</v>
      </c>
      <c r="F112" s="43">
        <f>F108/'Erfolgsrechnung (CHF)'!F19</f>
        <v>2.2077294685990339</v>
      </c>
    </row>
    <row r="113" spans="2:6" x14ac:dyDescent="0.35">
      <c r="B113" s="30" t="s">
        <v>103</v>
      </c>
      <c r="C113" s="43">
        <f>C110/'Erfolgsrechnung (CHF)'!C19</f>
        <v>1.3333333333333333</v>
      </c>
      <c r="D113" s="43">
        <f>D110/'Erfolgsrechnung (CHF)'!D19</f>
        <v>1.6123310810810811</v>
      </c>
      <c r="E113" s="43">
        <f>E110/'Erfolgsrechnung (CHF)'!E19</f>
        <v>1.2652396463471383</v>
      </c>
      <c r="F113" s="43">
        <f>F110/'Erfolgsrechnung (CHF)'!F19</f>
        <v>2.2077294685990339</v>
      </c>
    </row>
    <row r="115" spans="2:6" ht="303.75" customHeight="1" x14ac:dyDescent="0.35"/>
    <row r="117" spans="2:6" x14ac:dyDescent="0.35">
      <c r="B117" s="137" t="s">
        <v>10</v>
      </c>
      <c r="C117" s="138"/>
      <c r="D117" s="138"/>
      <c r="E117" s="138"/>
      <c r="F117" s="139"/>
    </row>
    <row r="119" spans="2:6" x14ac:dyDescent="0.35">
      <c r="B119" s="30"/>
      <c r="C119" s="86" t="s">
        <v>21</v>
      </c>
      <c r="D119" s="86" t="s">
        <v>22</v>
      </c>
      <c r="E119" s="86" t="s">
        <v>23</v>
      </c>
      <c r="F119" s="86" t="s">
        <v>24</v>
      </c>
    </row>
    <row r="120" spans="2:6" x14ac:dyDescent="0.35">
      <c r="B120" s="21" t="s">
        <v>105</v>
      </c>
      <c r="C120" s="58"/>
      <c r="D120" s="58">
        <f>'BILANZ (CHF)'!C22+'BILANZ (CHF)'!C24+'BILANZ (CHF)'!C30</f>
        <v>20580</v>
      </c>
      <c r="E120" s="58">
        <f>'BILANZ (CHF)'!D22+'BILANZ (CHF)'!D24+'BILANZ (CHF)'!D30</f>
        <v>22630</v>
      </c>
      <c r="F120" s="58">
        <f>'BILANZ (CHF)'!E22+'BILANZ (CHF)'!E24+'BILANZ (CHF)'!E30</f>
        <v>26560</v>
      </c>
    </row>
    <row r="121" spans="2:6" x14ac:dyDescent="0.35">
      <c r="B121" s="21" t="s">
        <v>106</v>
      </c>
      <c r="C121" s="44"/>
      <c r="D121" s="44">
        <f>'Erfolgsrechnung (CHF)'!D27</f>
        <v>2593.5</v>
      </c>
      <c r="E121" s="44">
        <f>'Erfolgsrechnung (CHF)'!E27</f>
        <v>2531.25</v>
      </c>
      <c r="F121" s="44">
        <f>'Erfolgsrechnung (CHF)'!F27</f>
        <v>2412</v>
      </c>
    </row>
    <row r="122" spans="2:6" x14ac:dyDescent="0.35">
      <c r="B122" s="22" t="s">
        <v>107</v>
      </c>
      <c r="C122" s="38"/>
      <c r="D122" s="38">
        <f t="shared" ref="D122" si="10">D121/D120</f>
        <v>0.12602040816326532</v>
      </c>
      <c r="E122" s="38">
        <f t="shared" ref="E122:F122" si="11">E121/E120</f>
        <v>0.11185373398144056</v>
      </c>
      <c r="F122" s="38">
        <f t="shared" si="11"/>
        <v>9.0813253012048192E-2</v>
      </c>
    </row>
    <row r="123" spans="2:6" x14ac:dyDescent="0.35">
      <c r="E123" s="45"/>
      <c r="F123" s="45"/>
    </row>
    <row r="124" spans="2:6" x14ac:dyDescent="0.35">
      <c r="B124" s="21" t="s">
        <v>104</v>
      </c>
      <c r="C124" s="59"/>
      <c r="D124" s="59">
        <v>0.06</v>
      </c>
      <c r="E124" s="59">
        <v>0.06</v>
      </c>
      <c r="F124" s="59">
        <v>0.06</v>
      </c>
    </row>
    <row r="125" spans="2:6" x14ac:dyDescent="0.35">
      <c r="B125" s="21" t="s">
        <v>108</v>
      </c>
      <c r="C125" s="59"/>
      <c r="D125" s="59">
        <v>0.04</v>
      </c>
      <c r="E125" s="59">
        <v>0.04</v>
      </c>
      <c r="F125" s="59">
        <v>0.04</v>
      </c>
    </row>
    <row r="126" spans="2:6" x14ac:dyDescent="0.35">
      <c r="B126" s="21" t="s">
        <v>109</v>
      </c>
      <c r="C126" s="59"/>
      <c r="D126" s="59">
        <f>D124+D125</f>
        <v>0.1</v>
      </c>
      <c r="E126" s="59">
        <f t="shared" ref="E126:F126" si="12">E124+E125</f>
        <v>0.1</v>
      </c>
      <c r="F126" s="59">
        <f t="shared" si="12"/>
        <v>0.1</v>
      </c>
    </row>
    <row r="127" spans="2:6" x14ac:dyDescent="0.35">
      <c r="E127" s="45"/>
      <c r="F127" s="45"/>
    </row>
    <row r="128" spans="2:6" x14ac:dyDescent="0.35">
      <c r="B128" s="46" t="s">
        <v>7</v>
      </c>
      <c r="C128" s="47"/>
      <c r="D128" s="47">
        <f>D122-D126</f>
        <v>2.6020408163265313E-2</v>
      </c>
      <c r="E128" s="47">
        <f t="shared" ref="E128:F128" si="13">E122-E126</f>
        <v>1.1853733981440559E-2</v>
      </c>
      <c r="F128" s="47">
        <f t="shared" si="13"/>
        <v>-9.1867469879518132E-3</v>
      </c>
    </row>
    <row r="129" spans="2:6" x14ac:dyDescent="0.35">
      <c r="B129" s="48" t="s">
        <v>8</v>
      </c>
      <c r="C129" s="49"/>
      <c r="D129" s="49">
        <f>D121-D120*D126</f>
        <v>535.5</v>
      </c>
      <c r="E129" s="49">
        <f t="shared" ref="E129:F129" si="14">E121-E120*E126</f>
        <v>268.25</v>
      </c>
      <c r="F129" s="49">
        <f t="shared" si="14"/>
        <v>-244</v>
      </c>
    </row>
    <row r="131" spans="2:6" ht="303.75" customHeight="1" x14ac:dyDescent="0.35"/>
  </sheetData>
  <mergeCells count="7">
    <mergeCell ref="B117:F117"/>
    <mergeCell ref="B4:F4"/>
    <mergeCell ref="B13:F13"/>
    <mergeCell ref="B57:F57"/>
    <mergeCell ref="B77:F77"/>
    <mergeCell ref="B105:F105"/>
    <mergeCell ref="B32:F32"/>
  </mergeCells>
  <pageMargins left="0.7" right="0.7" top="0.75" bottom="0.75" header="0.3" footer="0.3"/>
  <pageSetup paperSize="9" scale="74" fitToHeight="0" orientation="landscape" r:id="rId1"/>
  <headerFooter>
    <oddFooter>&amp;LPrepared by TEBU Finance &amp;D&amp;RPage &amp;P</oddFooter>
  </headerFooter>
  <rowBreaks count="5" manualBreakCount="5">
    <brk id="11" min="1" max="6" man="1"/>
    <brk id="55" min="1" max="6" man="1"/>
    <brk id="75" min="1" max="6" man="1"/>
    <brk id="103" min="1" max="6" man="1"/>
    <brk id="115" min="1" max="6" man="1"/>
  </rowBreaks>
  <ignoredErrors>
    <ignoredError sqref="D17:F18 D19:F1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8"/>
  <sheetViews>
    <sheetView workbookViewId="0">
      <selection activeCell="F7" sqref="F7"/>
    </sheetView>
  </sheetViews>
  <sheetFormatPr defaultRowHeight="14.5" x14ac:dyDescent="0.35"/>
  <cols>
    <col min="3" max="3" width="42.81640625" customWidth="1"/>
    <col min="4" max="6" width="9.1796875" style="112"/>
  </cols>
  <sheetData>
    <row r="2" spans="3:6" x14ac:dyDescent="0.35">
      <c r="C2" s="79"/>
      <c r="D2" s="79" t="s">
        <v>22</v>
      </c>
      <c r="E2" s="79" t="s">
        <v>23</v>
      </c>
      <c r="F2" s="79" t="s">
        <v>24</v>
      </c>
    </row>
    <row r="3" spans="3:6" x14ac:dyDescent="0.35">
      <c r="C3" s="113"/>
      <c r="D3" s="113" t="s">
        <v>25</v>
      </c>
      <c r="E3" s="113" t="s">
        <v>25</v>
      </c>
      <c r="F3" s="113" t="s">
        <v>25</v>
      </c>
    </row>
    <row r="4" spans="3:6" x14ac:dyDescent="0.35">
      <c r="C4" s="114" t="s">
        <v>117</v>
      </c>
      <c r="D4" s="115">
        <f>'Erfolgsrechnung (CHF)'!D19</f>
        <v>2368</v>
      </c>
      <c r="E4" s="115">
        <f>'Erfolgsrechnung (CHF)'!E19</f>
        <v>2149</v>
      </c>
      <c r="F4" s="115">
        <f>'Erfolgsrechnung (CHF)'!F19</f>
        <v>1863</v>
      </c>
    </row>
    <row r="5" spans="3:6" x14ac:dyDescent="0.35">
      <c r="C5" s="116" t="s">
        <v>120</v>
      </c>
      <c r="D5" s="117">
        <f>'Erfolgsrechnung (CHF)'!D15*(1-'Erfolgsrechnung (CHF)'!D24)</f>
        <v>225</v>
      </c>
      <c r="E5" s="117">
        <f>'Erfolgsrechnung (CHF)'!E15*(1-'Erfolgsrechnung (CHF)'!E24)</f>
        <v>382.5</v>
      </c>
      <c r="F5" s="117">
        <f>'Erfolgsrechnung (CHF)'!F15*(1-'Erfolgsrechnung (CHF)'!F24)</f>
        <v>549</v>
      </c>
    </row>
    <row r="6" spans="3:6" x14ac:dyDescent="0.35">
      <c r="C6" s="118" t="s">
        <v>106</v>
      </c>
      <c r="D6" s="119">
        <f>D4+D5</f>
        <v>2593</v>
      </c>
      <c r="E6" s="119">
        <f>E4+E5</f>
        <v>2531.5</v>
      </c>
      <c r="F6" s="119">
        <f>F4+F5</f>
        <v>2412</v>
      </c>
    </row>
    <row r="7" spans="3:6" x14ac:dyDescent="0.35">
      <c r="C7" s="116" t="s">
        <v>121</v>
      </c>
      <c r="D7" s="117">
        <f>'Erfolgsrechnung (CHF)'!D12</f>
        <v>2278</v>
      </c>
      <c r="E7" s="117">
        <f>'Erfolgsrechnung (CHF)'!E12</f>
        <v>2533</v>
      </c>
      <c r="F7" s="117">
        <f>'Erfolgsrechnung (CHF)'!F12</f>
        <v>2844</v>
      </c>
    </row>
    <row r="8" spans="3:6" x14ac:dyDescent="0.35">
      <c r="C8" s="116" t="s">
        <v>131</v>
      </c>
      <c r="D8" s="117">
        <f>'BILANZ (CHF)'!D45</f>
        <v>250</v>
      </c>
      <c r="E8" s="117">
        <f>'BILANZ (CHF)'!E45</f>
        <v>1530</v>
      </c>
      <c r="F8" s="117">
        <f>'BILANZ (CHF)'!F45</f>
        <v>1540</v>
      </c>
    </row>
    <row r="9" spans="3:6" x14ac:dyDescent="0.35">
      <c r="C9" s="116" t="s">
        <v>132</v>
      </c>
      <c r="D9" s="117">
        <f>'BILANZ (CHF)'!D54</f>
        <v>200</v>
      </c>
      <c r="E9" s="117">
        <f>'BILANZ (CHF)'!E54</f>
        <v>-100</v>
      </c>
      <c r="F9" s="117">
        <f>'BILANZ (CHF)'!F54</f>
        <v>90</v>
      </c>
    </row>
    <row r="10" spans="3:6" x14ac:dyDescent="0.35">
      <c r="C10" s="118" t="s">
        <v>122</v>
      </c>
      <c r="D10" s="119">
        <f>D6+D7-D8+D9</f>
        <v>4821</v>
      </c>
      <c r="E10" s="119">
        <f>E6+E7-E8+E9</f>
        <v>3434.5</v>
      </c>
      <c r="F10" s="119">
        <f>F6+F7-F8+F9</f>
        <v>3806</v>
      </c>
    </row>
    <row r="11" spans="3:6" x14ac:dyDescent="0.35">
      <c r="C11" s="120" t="s">
        <v>123</v>
      </c>
      <c r="D11" s="121">
        <f>'BILANZ (CHF)'!D11+'BILANZ (CHF)'!D12+'BILANZ (CHF)'!D13-'BILANZ (CHF)'!C11-'BILANZ (CHF)'!C12-'BILANZ (CHF)'!C13+D7</f>
        <v>4278</v>
      </c>
      <c r="E11" s="121">
        <f>'BILANZ (CHF)'!E11+'BILANZ (CHF)'!E12+'BILANZ (CHF)'!E13-'BILANZ (CHF)'!D11-'BILANZ (CHF)'!D12-'BILANZ (CHF)'!D13+E7</f>
        <v>4833</v>
      </c>
      <c r="F11" s="121">
        <f>'BILANZ (CHF)'!F11+'BILANZ (CHF)'!F12+'BILANZ (CHF)'!F13-'BILANZ (CHF)'!E11-'BILANZ (CHF)'!E12-'BILANZ (CHF)'!E13+F7</f>
        <v>5644</v>
      </c>
    </row>
    <row r="12" spans="3:6" x14ac:dyDescent="0.35">
      <c r="C12" s="118" t="s">
        <v>124</v>
      </c>
      <c r="D12" s="119">
        <f>D10-D11</f>
        <v>543</v>
      </c>
      <c r="E12" s="119">
        <f>E10-E11</f>
        <v>-1398.5</v>
      </c>
      <c r="F12" s="119">
        <f>F10-F11</f>
        <v>-1838</v>
      </c>
    </row>
    <row r="13" spans="3:6" x14ac:dyDescent="0.35">
      <c r="C13" s="120" t="s">
        <v>125</v>
      </c>
      <c r="D13" s="121">
        <f>D5</f>
        <v>225</v>
      </c>
      <c r="E13" s="121">
        <f>E5</f>
        <v>382.5</v>
      </c>
      <c r="F13" s="121">
        <f>F5</f>
        <v>549</v>
      </c>
    </row>
    <row r="14" spans="3:6" x14ac:dyDescent="0.35">
      <c r="C14" s="120" t="s">
        <v>126</v>
      </c>
      <c r="D14" s="121">
        <f>'BILANZ (CHF)'!C22+'BILANZ (CHF)'!C24-'BILANZ (CHF)'!D22-'BILANZ (CHF)'!D24</f>
        <v>-3500</v>
      </c>
      <c r="E14" s="121">
        <f>'BILANZ (CHF)'!D22+'BILANZ (CHF)'!D24-'BILANZ (CHF)'!E22-'BILANZ (CHF)'!E24</f>
        <v>-4500</v>
      </c>
      <c r="F14" s="121">
        <f>'BILANZ (CHF)'!E22+'BILANZ (CHF)'!E24-'BILANZ (CHF)'!F22-'BILANZ (CHF)'!F24</f>
        <v>-6500</v>
      </c>
    </row>
    <row r="15" spans="3:6" x14ac:dyDescent="0.35">
      <c r="C15" s="118" t="s">
        <v>127</v>
      </c>
      <c r="D15" s="119">
        <f>D12-D13-D14</f>
        <v>3818</v>
      </c>
      <c r="E15" s="119">
        <f>E12-E13-E14</f>
        <v>2719</v>
      </c>
      <c r="F15" s="119">
        <f>F12-F13-F14</f>
        <v>4113</v>
      </c>
    </row>
    <row r="16" spans="3:6" x14ac:dyDescent="0.35">
      <c r="C16" s="120" t="s">
        <v>128</v>
      </c>
      <c r="D16" s="121">
        <f>D4+'BILANZ (CHF)'!C29-'BILANZ (CHF)'!D29</f>
        <v>3818</v>
      </c>
      <c r="E16" s="121">
        <f>E4+'BILANZ (CHF)'!D29-'BILANZ (CHF)'!E29</f>
        <v>2719</v>
      </c>
      <c r="F16" s="121">
        <f>F4+'BILANZ (CHF)'!E29-'BILANZ (CHF)'!F29</f>
        <v>4113</v>
      </c>
    </row>
    <row r="17" spans="3:6" x14ac:dyDescent="0.35">
      <c r="C17" s="120" t="s">
        <v>129</v>
      </c>
      <c r="D17" s="121">
        <f>'BILANZ (CHF)'!D28-'BILANZ (CHF)'!C28</f>
        <v>0</v>
      </c>
      <c r="E17" s="121">
        <f>'BILANZ (CHF)'!E28-'BILANZ (CHF)'!D28</f>
        <v>0</v>
      </c>
      <c r="F17" s="121">
        <f>'BILANZ (CHF)'!F28-'BILANZ (CHF)'!E28</f>
        <v>0</v>
      </c>
    </row>
    <row r="18" spans="3:6" x14ac:dyDescent="0.35">
      <c r="C18" s="118" t="s">
        <v>130</v>
      </c>
      <c r="D18" s="119">
        <f>D15-D16-+D17</f>
        <v>0</v>
      </c>
      <c r="E18" s="119">
        <f t="shared" ref="E18:F18" si="0">E15-E16-+E17</f>
        <v>0</v>
      </c>
      <c r="F18" s="11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BILANZ (CHF)</vt:lpstr>
      <vt:lpstr>BILANZ (normiert)</vt:lpstr>
      <vt:lpstr>Erfolgsrechnung (CHF)</vt:lpstr>
      <vt:lpstr>Erfolgsrechnung (normiert)</vt:lpstr>
      <vt:lpstr>Ratios</vt:lpstr>
      <vt:lpstr>Cashflow Rechnung</vt:lpstr>
      <vt:lpstr>'BILANZ (CHF)'!Print_Area</vt:lpstr>
      <vt:lpstr>'BILANZ (normiert)'!Print_Area</vt:lpstr>
      <vt:lpstr>'Erfolgsrechnung (CHF)'!Print_Area</vt:lpstr>
      <vt:lpstr>'Erfolgsrechnung (normiert)'!Print_Area</vt:lpstr>
      <vt:lpstr>Ratios!Print_Area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TEBU Finance</dc:creator>
  <cp:lastModifiedBy>Urs Wälchli</cp:lastModifiedBy>
  <cp:lastPrinted>2016-07-05T09:55:57Z</cp:lastPrinted>
  <dcterms:created xsi:type="dcterms:W3CDTF">2016-06-29T12:42:48Z</dcterms:created>
  <dcterms:modified xsi:type="dcterms:W3CDTF">2018-03-22T14:13:51Z</dcterms:modified>
</cp:coreProperties>
</file>