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610" windowHeight="11640" tabRatio="829"/>
  </bookViews>
  <sheets>
    <sheet name="Лист1" sheetId="1" r:id="rId1"/>
  </sheets>
  <calcPr calcId="125725" refMode="R1C1"/>
</workbook>
</file>

<file path=xl/calcChain.xml><?xml version="1.0" encoding="utf-8"?>
<calcChain xmlns="http://schemas.openxmlformats.org/spreadsheetml/2006/main">
  <c r="I4" i="1"/>
  <c r="I6"/>
  <c r="H6"/>
  <c r="E6"/>
  <c r="E4"/>
  <c r="D4"/>
  <c r="C6"/>
  <c r="B13"/>
  <c r="B10"/>
  <c r="H74"/>
  <c r="H73"/>
  <c r="H47"/>
  <c r="H69"/>
  <c r="H17"/>
  <c r="H13"/>
  <c r="H10"/>
  <c r="G6"/>
  <c r="F6"/>
  <c r="F4"/>
  <c r="G73" l="1"/>
  <c r="G56"/>
  <c r="H4" l="1"/>
  <c r="G4"/>
  <c r="G74" l="1"/>
  <c r="G20"/>
  <c r="G69"/>
  <c r="G63"/>
  <c r="G41"/>
  <c r="G47"/>
  <c r="G19"/>
  <c r="G13"/>
  <c r="G10"/>
  <c r="G8" s="1"/>
  <c r="G17" l="1"/>
  <c r="F10"/>
  <c r="F69" l="1"/>
  <c r="F74"/>
  <c r="F47" l="1"/>
  <c r="F41"/>
  <c r="F50"/>
  <c r="F51"/>
  <c r="F42"/>
  <c r="F20"/>
  <c r="F13"/>
  <c r="F73" l="1"/>
  <c r="F17"/>
  <c r="F8"/>
  <c r="E70"/>
  <c r="E74"/>
  <c r="E24" l="1"/>
  <c r="E51"/>
  <c r="E69"/>
  <c r="E21"/>
  <c r="E46"/>
  <c r="E57"/>
  <c r="E13"/>
  <c r="E10"/>
  <c r="D46"/>
  <c r="C17"/>
  <c r="D74"/>
  <c r="D21"/>
  <c r="E17" l="1"/>
  <c r="E73"/>
  <c r="E8"/>
  <c r="D10" l="1"/>
  <c r="D15"/>
  <c r="D13" s="1"/>
  <c r="D42"/>
  <c r="D57"/>
  <c r="D73" l="1"/>
  <c r="D17"/>
  <c r="C73"/>
  <c r="C74" l="1"/>
  <c r="C10"/>
  <c r="B6" l="1"/>
  <c r="B4" s="1"/>
  <c r="B21"/>
  <c r="B74" s="1"/>
  <c r="B42"/>
  <c r="B69"/>
  <c r="B73" s="1"/>
  <c r="B17" l="1"/>
  <c r="C4"/>
  <c r="D6"/>
  <c r="B8"/>
  <c r="N18"/>
  <c r="N22"/>
  <c r="N23"/>
  <c r="N25"/>
  <c r="N27"/>
  <c r="N30"/>
  <c r="N31"/>
  <c r="N33"/>
  <c r="N34"/>
  <c r="N36"/>
  <c r="N37"/>
  <c r="N38"/>
  <c r="N39"/>
  <c r="N40"/>
  <c r="N41"/>
  <c r="N44"/>
  <c r="N45"/>
  <c r="N46"/>
  <c r="N47"/>
  <c r="N49"/>
  <c r="N50"/>
  <c r="N52"/>
  <c r="N54"/>
  <c r="N55"/>
  <c r="N57"/>
  <c r="N59"/>
  <c r="N60"/>
  <c r="N68"/>
  <c r="M8"/>
  <c r="N14"/>
  <c r="N48"/>
  <c r="N51"/>
  <c r="L8"/>
  <c r="K8"/>
  <c r="J8"/>
  <c r="N69"/>
  <c r="N58"/>
  <c r="I8"/>
  <c r="H8"/>
  <c r="N70"/>
  <c r="N29"/>
  <c r="N12"/>
  <c r="D8"/>
  <c r="N16"/>
  <c r="N26"/>
  <c r="N32"/>
  <c r="N24"/>
  <c r="N15"/>
  <c r="N35"/>
  <c r="N21"/>
  <c r="N20"/>
  <c r="N19"/>
  <c r="N11"/>
  <c r="N13"/>
  <c r="N42" l="1"/>
  <c r="N17"/>
  <c r="N10" l="1"/>
  <c r="C8"/>
  <c r="N8" s="1"/>
</calcChain>
</file>

<file path=xl/sharedStrings.xml><?xml version="1.0" encoding="utf-8"?>
<sst xmlns="http://schemas.openxmlformats.org/spreadsheetml/2006/main" count="71" uniqueCount="70">
  <si>
    <t>членские взносы</t>
  </si>
  <si>
    <t>возмещение расходов на электроэнергию</t>
  </si>
  <si>
    <t>Поступления, всего</t>
  </si>
  <si>
    <t>Расходы, всего</t>
  </si>
  <si>
    <t>в том числе:</t>
  </si>
  <si>
    <t>заработная плата</t>
  </si>
  <si>
    <t>НДФЛ</t>
  </si>
  <si>
    <t>страховые взносы</t>
  </si>
  <si>
    <t>земельный налог</t>
  </si>
  <si>
    <t>расходы на оплату электроэнергии</t>
  </si>
  <si>
    <t>расходы на плату за негативное воздействие на окружающую среду</t>
  </si>
  <si>
    <t>НП СЗУ "Высокое"</t>
  </si>
  <si>
    <t>Итого</t>
  </si>
  <si>
    <t>расходы на юридический адрес</t>
  </si>
  <si>
    <t>расходы на информационное обслуживание по электроэнергии Партнер Энерго</t>
  </si>
  <si>
    <t xml:space="preserve">Налог по УСН </t>
  </si>
  <si>
    <t>членск взносы нал/р</t>
  </si>
  <si>
    <t>членские взносы безнал</t>
  </si>
  <si>
    <t>возмещение расходов на эл/эн безнал</t>
  </si>
  <si>
    <t>Расходы по аренде клуба г. Высоковск</t>
  </si>
  <si>
    <t>возмещение расх.на э/э нал расч.</t>
  </si>
  <si>
    <t>расходы н/расч</t>
  </si>
  <si>
    <t>расходы б/нал расчет</t>
  </si>
  <si>
    <t xml:space="preserve">Остаток денежных средств на начало периода </t>
  </si>
  <si>
    <t>в т.ч. на расчетном счете:</t>
  </si>
  <si>
    <t>налич./расч</t>
  </si>
  <si>
    <t>Целевые взносы на рем.шлагбаума</t>
  </si>
  <si>
    <t>Расходы на ремонт дороги</t>
  </si>
  <si>
    <t>Расходы на интернет(домик КПП)</t>
  </si>
  <si>
    <t>Расходы по ремонту дороги(Сосновый бор)</t>
  </si>
  <si>
    <t>Охрана/долг</t>
  </si>
  <si>
    <t>Оплата корпоративной Sim-карты, сим-карта ворота</t>
  </si>
  <si>
    <t>Взыскание по исполнительну листу (Мосэнергосбыт)</t>
  </si>
  <si>
    <t>Оплата услуг юриста</t>
  </si>
  <si>
    <t>Расходы на покупку монитора</t>
  </si>
  <si>
    <t>Покупка Сейфа</t>
  </si>
  <si>
    <t>Расходы на ремонт колодца</t>
  </si>
  <si>
    <t>Оплата металлрукава для видеокамер</t>
  </si>
  <si>
    <t>Оплата проезда (такси, ж/д, автобус))</t>
  </si>
  <si>
    <t>Комисси банка за РК0</t>
  </si>
  <si>
    <t>Расходы на покупку электромеханического замка</t>
  </si>
  <si>
    <t>Ворота (3й платеж)</t>
  </si>
  <si>
    <t>канцтовары</t>
  </si>
  <si>
    <t>Расходы на покупку МФУ</t>
  </si>
  <si>
    <t>Расходы на чистку дорог от  снега</t>
  </si>
  <si>
    <t>Расходы на подключение Электронного документооборота</t>
  </si>
  <si>
    <t>Чистый Город(пени, Госпошлина)</t>
  </si>
  <si>
    <t>Изготовление дубликатов ключей</t>
  </si>
  <si>
    <t>Оплата стройматериалов (Плита OSB, цемент, песок , земля,щебень)</t>
  </si>
  <si>
    <t>Покупка мотоблока, свеча зажигания</t>
  </si>
  <si>
    <t>Покупка тубостойки, дерева для клумбы</t>
  </si>
  <si>
    <t>Оплата солярки, бензин для газонокосилки</t>
  </si>
  <si>
    <t>Расходы на мероприятие/Собрание</t>
  </si>
  <si>
    <t>Доходы и расходы за 2018 год</t>
  </si>
  <si>
    <t>Покупка цифровой приставки</t>
  </si>
  <si>
    <t>Покупка электротоваров(электросчетчики, энергосберег.лампы, светильник, удлиннители, кабель,провод, маска, электроды)</t>
  </si>
  <si>
    <t>Покупка болгарки</t>
  </si>
  <si>
    <t>Покупка материала для мотоблока, рейка для ворот</t>
  </si>
  <si>
    <t>Оплата работ бульдозера(волейб.площадка)</t>
  </si>
  <si>
    <t>Покупка замка для калитки</t>
  </si>
  <si>
    <t>Покумка замка для мусорки</t>
  </si>
  <si>
    <t>Расходы на покупку хозтоваров(грунт, эмаль. Коса, серп,кусторез,зажим анкерный,муфта,гайки, шайбы, лейка,мастика. Краска, кисть., масло, свекло. Колесо для тележки, вешалка, диск, электрод, диск, перчатки, леска для триммера, растворитель, саморезы, ящик для инстр., петля)</t>
  </si>
  <si>
    <t>Покупка тележки для мотоблока</t>
  </si>
  <si>
    <t>Покукпка профлиста на вьездную группу</t>
  </si>
  <si>
    <t>Расходы по ремонту триммера</t>
  </si>
  <si>
    <t>Покупка поликарбоната для мусорки, оплата работ по изготовлению и установке каркаса для мусорки</t>
  </si>
  <si>
    <t>Почтовые расходы(предсудебные предупреждения, отправка отчетов)</t>
  </si>
  <si>
    <t>Покупка геотекстиля, стоек для волейбольной площадки, ракетки, мячи,лента для волейб/площ</t>
  </si>
  <si>
    <t>Оплата сайта</t>
  </si>
  <si>
    <t>Обработка борщевика</t>
  </si>
</sst>
</file>

<file path=xl/styles.xml><?xml version="1.0" encoding="utf-8"?>
<styleSheet xmlns="http://schemas.openxmlformats.org/spreadsheetml/2006/main">
  <numFmts count="1">
    <numFmt numFmtId="164" formatCode="[$-419]mmmm;@"/>
  </numFmts>
  <fonts count="14">
    <font>
      <sz val="11"/>
      <color theme="1"/>
      <name val="Calibri"/>
      <family val="2"/>
      <charset val="204"/>
      <scheme val="minor"/>
    </font>
    <font>
      <b/>
      <sz val="11"/>
      <color theme="1"/>
      <name val="Arial"/>
      <family val="2"/>
      <charset val="204"/>
    </font>
    <font>
      <sz val="11"/>
      <color theme="1"/>
      <name val="Arial"/>
      <family val="2"/>
      <charset val="204"/>
    </font>
    <font>
      <sz val="10"/>
      <color theme="1"/>
      <name val="Arial"/>
      <family val="2"/>
      <charset val="204"/>
    </font>
    <font>
      <b/>
      <u/>
      <sz val="11"/>
      <color theme="1"/>
      <name val="Arial"/>
      <family val="2"/>
      <charset val="204"/>
    </font>
    <font>
      <b/>
      <u/>
      <sz val="10"/>
      <color theme="1"/>
      <name val="Arial"/>
      <family val="2"/>
      <charset val="204"/>
    </font>
    <font>
      <i/>
      <sz val="9"/>
      <color theme="1"/>
      <name val="Arial"/>
      <family val="2"/>
      <charset val="204"/>
    </font>
    <font>
      <i/>
      <u/>
      <sz val="9"/>
      <color theme="1"/>
      <name val="Arial"/>
      <family val="2"/>
      <charset val="204"/>
    </font>
    <font>
      <b/>
      <sz val="10"/>
      <color theme="1"/>
      <name val="Arial"/>
      <family val="2"/>
      <charset val="204"/>
    </font>
    <font>
      <b/>
      <sz val="9"/>
      <color theme="1"/>
      <name val="Arial"/>
      <family val="2"/>
      <charset val="204"/>
    </font>
    <font>
      <sz val="9"/>
      <color theme="1"/>
      <name val="Arial"/>
      <family val="2"/>
      <charset val="204"/>
    </font>
    <font>
      <i/>
      <sz val="10"/>
      <color theme="1"/>
      <name val="Arial"/>
      <family val="2"/>
      <charset val="204"/>
    </font>
    <font>
      <b/>
      <i/>
      <u/>
      <sz val="10"/>
      <color theme="1"/>
      <name val="Arial"/>
      <family val="2"/>
      <charset val="204"/>
    </font>
    <font>
      <i/>
      <u/>
      <sz val="10"/>
      <color theme="1"/>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xf numFmtId="0" fontId="1" fillId="0" borderId="1" xfId="0" applyFont="1" applyBorder="1"/>
    <xf numFmtId="4" fontId="3" fillId="0" borderId="1" xfId="0" applyNumberFormat="1" applyFont="1" applyBorder="1"/>
    <xf numFmtId="0" fontId="4" fillId="0" borderId="0" xfId="0" applyFont="1"/>
    <xf numFmtId="4" fontId="2" fillId="0" borderId="0" xfId="0" applyNumberFormat="1" applyFont="1"/>
    <xf numFmtId="4" fontId="1" fillId="0" borderId="0" xfId="0" applyNumberFormat="1" applyFont="1"/>
    <xf numFmtId="4" fontId="1" fillId="0" borderId="1" xfId="0" applyNumberFormat="1" applyFont="1" applyBorder="1"/>
    <xf numFmtId="0" fontId="5" fillId="0" borderId="1" xfId="0" applyFont="1" applyBorder="1"/>
    <xf numFmtId="4" fontId="5" fillId="0" borderId="1" xfId="0" applyNumberFormat="1" applyFont="1" applyBorder="1"/>
    <xf numFmtId="0" fontId="3" fillId="0" borderId="1" xfId="0" applyFont="1" applyBorder="1"/>
    <xf numFmtId="0" fontId="3" fillId="0" borderId="1" xfId="0" applyFont="1" applyBorder="1" applyAlignment="1">
      <alignment horizontal="left" wrapText="1"/>
    </xf>
    <xf numFmtId="0" fontId="5" fillId="0" borderId="1" xfId="0" applyFont="1" applyBorder="1" applyAlignment="1">
      <alignment wrapText="1"/>
    </xf>
    <xf numFmtId="164" fontId="1" fillId="0" borderId="1" xfId="0" applyNumberFormat="1" applyFont="1" applyBorder="1" applyAlignment="1">
      <alignment horizontal="center"/>
    </xf>
    <xf numFmtId="0" fontId="6" fillId="0" borderId="0" xfId="0" applyFont="1"/>
    <xf numFmtId="0" fontId="7" fillId="0" borderId="0" xfId="0" applyFont="1" applyAlignment="1">
      <alignment wrapText="1"/>
    </xf>
    <xf numFmtId="0" fontId="3" fillId="0" borderId="1" xfId="0" applyFont="1" applyBorder="1" applyAlignment="1">
      <alignment horizontal="left" wrapText="1" indent="2"/>
    </xf>
    <xf numFmtId="4" fontId="7" fillId="0" borderId="2" xfId="0" applyNumberFormat="1" applyFont="1" applyBorder="1" applyAlignment="1">
      <alignment vertical="center"/>
    </xf>
    <xf numFmtId="4" fontId="7" fillId="0" borderId="0" xfId="0" applyNumberFormat="1" applyFont="1" applyAlignment="1">
      <alignment vertical="center"/>
    </xf>
    <xf numFmtId="4" fontId="2" fillId="0" borderId="0" xfId="0" applyNumberFormat="1" applyFont="1" applyFill="1"/>
    <xf numFmtId="4" fontId="1" fillId="0" borderId="0" xfId="0" applyNumberFormat="1" applyFont="1" applyFill="1"/>
    <xf numFmtId="4" fontId="7" fillId="0" borderId="2" xfId="0" applyNumberFormat="1" applyFont="1" applyFill="1" applyBorder="1" applyAlignment="1">
      <alignment vertical="center"/>
    </xf>
    <xf numFmtId="164" fontId="1" fillId="0" borderId="1" xfId="0" applyNumberFormat="1" applyFont="1" applyFill="1" applyBorder="1" applyAlignment="1">
      <alignment horizontal="center"/>
    </xf>
    <xf numFmtId="4" fontId="5" fillId="0" borderId="1" xfId="0" applyNumberFormat="1" applyFont="1" applyFill="1" applyBorder="1"/>
    <xf numFmtId="4" fontId="3" fillId="0" borderId="1" xfId="0" applyNumberFormat="1" applyFont="1" applyFill="1" applyBorder="1"/>
    <xf numFmtId="4" fontId="3" fillId="0" borderId="0" xfId="0" applyNumberFormat="1" applyFont="1" applyFill="1"/>
    <xf numFmtId="0" fontId="8" fillId="0" borderId="1" xfId="0" applyFont="1" applyBorder="1" applyAlignment="1">
      <alignment horizontal="left" wrapText="1"/>
    </xf>
    <xf numFmtId="0" fontId="9" fillId="0" borderId="1" xfId="0" applyFont="1" applyBorder="1" applyAlignment="1">
      <alignment horizontal="left" wrapText="1"/>
    </xf>
    <xf numFmtId="4" fontId="8" fillId="0" borderId="1" xfId="0" applyNumberFormat="1" applyFont="1" applyBorder="1"/>
    <xf numFmtId="4" fontId="8" fillId="0" borderId="1" xfId="0" applyNumberFormat="1" applyFont="1" applyFill="1" applyBorder="1"/>
    <xf numFmtId="4" fontId="10" fillId="0" borderId="0" xfId="0" applyNumberFormat="1" applyFont="1" applyFill="1"/>
    <xf numFmtId="4" fontId="8" fillId="0" borderId="0" xfId="0" applyNumberFormat="1" applyFont="1" applyAlignment="1">
      <alignment horizontal="right"/>
    </xf>
    <xf numFmtId="4" fontId="4" fillId="0" borderId="0" xfId="0" applyNumberFormat="1" applyFont="1"/>
    <xf numFmtId="0" fontId="3" fillId="0" borderId="0" xfId="0" applyFont="1" applyAlignment="1">
      <alignment horizontal="right"/>
    </xf>
    <xf numFmtId="4" fontId="8" fillId="0" borderId="0" xfId="0" applyNumberFormat="1" applyFont="1"/>
    <xf numFmtId="4" fontId="11" fillId="0" borderId="0" xfId="0" applyNumberFormat="1" applyFont="1"/>
    <xf numFmtId="4" fontId="12" fillId="0" borderId="0" xfId="0" applyNumberFormat="1" applyFont="1"/>
    <xf numFmtId="4" fontId="6" fillId="0" borderId="2" xfId="0" applyNumberFormat="1" applyFont="1" applyBorder="1" applyAlignment="1">
      <alignment vertical="center"/>
    </xf>
    <xf numFmtId="4" fontId="6" fillId="0" borderId="0" xfId="0" applyNumberFormat="1" applyFont="1" applyAlignment="1">
      <alignment horizontal="center" vertical="center"/>
    </xf>
    <xf numFmtId="0" fontId="8" fillId="0" borderId="1" xfId="0" applyFont="1" applyBorder="1" applyAlignment="1">
      <alignment wrapText="1"/>
    </xf>
    <xf numFmtId="4" fontId="11" fillId="0" borderId="0" xfId="0" applyNumberFormat="1" applyFont="1" applyFill="1" applyAlignment="1">
      <alignment horizontal="center"/>
    </xf>
    <xf numFmtId="4" fontId="6" fillId="0" borderId="2" xfId="0" applyNumberFormat="1" applyFont="1" applyFill="1" applyBorder="1" applyAlignment="1">
      <alignment vertical="center"/>
    </xf>
    <xf numFmtId="4" fontId="12" fillId="0" borderId="0" xfId="0" applyNumberFormat="1" applyFont="1" applyFill="1"/>
    <xf numFmtId="4" fontId="8" fillId="0" borderId="0" xfId="0" applyNumberFormat="1" applyFont="1" applyFill="1"/>
    <xf numFmtId="4" fontId="9" fillId="0" borderId="0" xfId="0" applyNumberFormat="1" applyFont="1" applyFill="1"/>
    <xf numFmtId="0" fontId="3" fillId="0" borderId="0" xfId="0" applyFont="1" applyBorder="1" applyAlignment="1">
      <alignment horizontal="left" wrapText="1" indent="2"/>
    </xf>
    <xf numFmtId="4" fontId="3" fillId="0" borderId="0" xfId="0" applyNumberFormat="1" applyFont="1" applyBorder="1"/>
    <xf numFmtId="4" fontId="3" fillId="0" borderId="0" xfId="0" applyNumberFormat="1" applyFont="1" applyFill="1" applyBorder="1"/>
    <xf numFmtId="4" fontId="11" fillId="0" borderId="0" xfId="0" applyNumberFormat="1" applyFont="1" applyFill="1"/>
    <xf numFmtId="4" fontId="12" fillId="0" borderId="0" xfId="0" applyNumberFormat="1" applyFont="1" applyFill="1" applyBorder="1"/>
    <xf numFmtId="4" fontId="13" fillId="0" borderId="0" xfId="0" applyNumberFormat="1" applyFont="1" applyFill="1"/>
    <xf numFmtId="4" fontId="6" fillId="0" borderId="0" xfId="0" applyNumberFormat="1" applyFont="1" applyFill="1" applyAlignment="1">
      <alignment vertical="center" wrapText="1"/>
    </xf>
    <xf numFmtId="4" fontId="13" fillId="0" borderId="0" xfId="0" applyNumberFormat="1" applyFont="1" applyFill="1" applyAlignment="1">
      <alignment vertical="center"/>
    </xf>
    <xf numFmtId="4" fontId="5" fillId="0" borderId="0" xfId="0" applyNumberFormat="1" applyFont="1" applyFill="1" applyBorder="1"/>
    <xf numFmtId="4" fontId="2" fillId="2" borderId="0" xfId="0" applyNumberFormat="1" applyFont="1" applyFill="1"/>
    <xf numFmtId="4" fontId="1" fillId="2" borderId="0" xfId="0" applyNumberFormat="1" applyFont="1" applyFill="1"/>
    <xf numFmtId="4" fontId="11" fillId="2" borderId="0" xfId="0" applyNumberFormat="1" applyFont="1" applyFill="1"/>
    <xf numFmtId="4" fontId="6" fillId="2" borderId="0" xfId="0" applyNumberFormat="1" applyFont="1" applyFill="1" applyAlignment="1">
      <alignment vertical="center"/>
    </xf>
    <xf numFmtId="164" fontId="1" fillId="2" borderId="1" xfId="0" applyNumberFormat="1" applyFont="1" applyFill="1" applyBorder="1" applyAlignment="1">
      <alignment horizontal="center"/>
    </xf>
    <xf numFmtId="4" fontId="5" fillId="2" borderId="1" xfId="0" applyNumberFormat="1" applyFont="1" applyFill="1" applyBorder="1"/>
    <xf numFmtId="4" fontId="3" fillId="2" borderId="1" xfId="0" applyNumberFormat="1" applyFont="1" applyFill="1" applyBorder="1"/>
    <xf numFmtId="4" fontId="8" fillId="2" borderId="1" xfId="0" applyNumberFormat="1" applyFont="1" applyFill="1" applyBorder="1"/>
    <xf numFmtId="4" fontId="3" fillId="2" borderId="0" xfId="0" applyNumberFormat="1" applyFont="1" applyFill="1" applyBorder="1"/>
    <xf numFmtId="4" fontId="8" fillId="2" borderId="0" xfId="0" applyNumberFormat="1" applyFont="1" applyFill="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76"/>
  <sheetViews>
    <sheetView tabSelected="1" workbookViewId="0">
      <selection activeCell="J11" sqref="J11"/>
    </sheetView>
  </sheetViews>
  <sheetFormatPr defaultRowHeight="14.25"/>
  <cols>
    <col min="1" max="1" width="40" style="2" customWidth="1"/>
    <col min="2" max="2" width="15.42578125" style="6" bestFit="1" customWidth="1"/>
    <col min="3" max="3" width="11.85546875" style="6" customWidth="1"/>
    <col min="4" max="4" width="11.28515625" style="6" customWidth="1"/>
    <col min="5" max="5" width="11.7109375" style="6" customWidth="1"/>
    <col min="6" max="6" width="10.7109375" style="20" customWidth="1"/>
    <col min="7" max="7" width="11.140625" style="55" customWidth="1"/>
    <col min="8" max="8" width="11.7109375" style="6" customWidth="1"/>
    <col min="9" max="11" width="11.28515625" style="20" customWidth="1"/>
    <col min="12" max="13" width="11.28515625" style="20" bestFit="1" customWidth="1"/>
    <col min="14" max="14" width="13.140625" style="6" bestFit="1" customWidth="1"/>
    <col min="15" max="15" width="14.28515625" style="2" bestFit="1" customWidth="1"/>
    <col min="16" max="16384" width="9.140625" style="2"/>
  </cols>
  <sheetData>
    <row r="1" spans="1:15" ht="15">
      <c r="A1" s="1" t="s">
        <v>53</v>
      </c>
    </row>
    <row r="2" spans="1:15" s="1" customFormat="1" ht="15">
      <c r="A2" s="1" t="s">
        <v>11</v>
      </c>
      <c r="B2" s="7"/>
      <c r="C2" s="7"/>
      <c r="D2" s="7"/>
      <c r="E2" s="7"/>
      <c r="F2" s="21"/>
      <c r="G2" s="56"/>
      <c r="H2" s="7"/>
      <c r="I2" s="21"/>
      <c r="J2" s="21"/>
      <c r="K2" s="21"/>
      <c r="L2" s="21"/>
      <c r="M2" s="21"/>
      <c r="N2" s="7"/>
    </row>
    <row r="3" spans="1:15" s="1" customFormat="1" ht="15">
      <c r="B3" s="7"/>
      <c r="C3" s="7"/>
      <c r="D3" s="7"/>
      <c r="E3" s="7"/>
      <c r="F3" s="21"/>
      <c r="G3" s="56"/>
      <c r="H3" s="7"/>
      <c r="I3" s="21"/>
      <c r="J3" s="21"/>
      <c r="K3" s="21"/>
      <c r="L3" s="21"/>
      <c r="M3" s="21"/>
      <c r="N3" s="7"/>
    </row>
    <row r="4" spans="1:15" s="1" customFormat="1" ht="24.75">
      <c r="A4" s="16" t="s">
        <v>23</v>
      </c>
      <c r="B4" s="37">
        <f t="shared" ref="B4:I4" si="0">SUM(B5:B6)</f>
        <v>49696.149999999994</v>
      </c>
      <c r="C4" s="37">
        <f t="shared" si="0"/>
        <v>63086.139999999985</v>
      </c>
      <c r="D4" s="37">
        <f>SUM(D5:D6)</f>
        <v>42059.199999999983</v>
      </c>
      <c r="E4" s="37">
        <f>SUM(E5:E6)</f>
        <v>78688.509999999966</v>
      </c>
      <c r="F4" s="37">
        <f>SUM(F5:F6)</f>
        <v>119725.73999999995</v>
      </c>
      <c r="G4" s="37">
        <f t="shared" si="0"/>
        <v>114640.00999999989</v>
      </c>
      <c r="H4" s="37">
        <f t="shared" si="0"/>
        <v>81118.5799999999</v>
      </c>
      <c r="I4" s="37">
        <f t="shared" si="0"/>
        <v>50931.419999999896</v>
      </c>
      <c r="J4" s="43"/>
      <c r="K4" s="51"/>
      <c r="L4" s="43"/>
      <c r="M4" s="54"/>
      <c r="N4" s="7"/>
    </row>
    <row r="5" spans="1:15" s="1" customFormat="1" ht="15">
      <c r="A5" s="16" t="s">
        <v>24</v>
      </c>
      <c r="B5" s="36">
        <v>41612.699999999997</v>
      </c>
      <c r="C5" s="36">
        <v>0</v>
      </c>
      <c r="D5" s="36">
        <v>0</v>
      </c>
      <c r="E5" s="36">
        <v>0</v>
      </c>
      <c r="F5" s="41">
        <v>6338.83</v>
      </c>
      <c r="G5" s="57">
        <v>0</v>
      </c>
      <c r="H5" s="36">
        <v>0</v>
      </c>
      <c r="I5" s="49">
        <v>0</v>
      </c>
      <c r="J5" s="50"/>
      <c r="K5" s="49"/>
      <c r="L5" s="49"/>
      <c r="M5" s="26"/>
      <c r="N5" s="7"/>
    </row>
    <row r="6" spans="1:15" s="15" customFormat="1" ht="12.75">
      <c r="A6" s="16" t="s">
        <v>25</v>
      </c>
      <c r="B6" s="38">
        <f>8083.45</f>
        <v>8083.45</v>
      </c>
      <c r="C6" s="38">
        <f>B6+B12+B15-B73</f>
        <v>63086.139999999985</v>
      </c>
      <c r="D6" s="38">
        <f>C6+C12-C73</f>
        <v>42059.199999999983</v>
      </c>
      <c r="E6" s="39">
        <f>D6+D12+D15-D73</f>
        <v>78688.509999999966</v>
      </c>
      <c r="F6" s="42">
        <f>E6+E12+E15-E73</f>
        <v>113386.90999999995</v>
      </c>
      <c r="G6" s="58">
        <f>F6+F12+F15-F73</f>
        <v>114640.00999999989</v>
      </c>
      <c r="H6" s="19">
        <f>G6+G12+G15-G73</f>
        <v>81118.5799999999</v>
      </c>
      <c r="I6" s="22">
        <f>H6+H12-H73</f>
        <v>50931.419999999896</v>
      </c>
      <c r="J6" s="42"/>
      <c r="K6" s="52"/>
      <c r="L6" s="53"/>
      <c r="M6" s="53"/>
      <c r="N6" s="18"/>
    </row>
    <row r="7" spans="1:15" s="1" customFormat="1" ht="15">
      <c r="A7" s="3"/>
      <c r="B7" s="14">
        <v>42005</v>
      </c>
      <c r="C7" s="14">
        <v>42036</v>
      </c>
      <c r="D7" s="14">
        <v>42064</v>
      </c>
      <c r="E7" s="14">
        <v>42095</v>
      </c>
      <c r="F7" s="23">
        <v>42125</v>
      </c>
      <c r="G7" s="59">
        <v>42156</v>
      </c>
      <c r="H7" s="14">
        <v>42186</v>
      </c>
      <c r="I7" s="23">
        <v>42217</v>
      </c>
      <c r="J7" s="23">
        <v>42248</v>
      </c>
      <c r="K7" s="23">
        <v>42278</v>
      </c>
      <c r="L7" s="23">
        <v>42309</v>
      </c>
      <c r="M7" s="23">
        <v>42339</v>
      </c>
      <c r="N7" s="8" t="s">
        <v>12</v>
      </c>
    </row>
    <row r="8" spans="1:15" s="5" customFormat="1" ht="15">
      <c r="A8" s="9" t="s">
        <v>2</v>
      </c>
      <c r="B8" s="10">
        <f>B10+B13+B16</f>
        <v>275217.58</v>
      </c>
      <c r="C8" s="10">
        <f>C10+C13+C16</f>
        <v>200100</v>
      </c>
      <c r="D8" s="10">
        <f>D10+D13+D16</f>
        <v>271899.99999999994</v>
      </c>
      <c r="E8" s="10">
        <f>E10+E13+E16</f>
        <v>335439.63</v>
      </c>
      <c r="F8" s="10">
        <f>F10+F13+F16</f>
        <v>364099.35</v>
      </c>
      <c r="G8" s="60">
        <f>G10+G13</f>
        <v>335000</v>
      </c>
      <c r="H8" s="10">
        <f>H10+H13</f>
        <v>158300</v>
      </c>
      <c r="I8" s="24">
        <f>I10+I13</f>
        <v>0</v>
      </c>
      <c r="J8" s="24">
        <f>J10+J13</f>
        <v>0</v>
      </c>
      <c r="K8" s="24">
        <f>K10</f>
        <v>0</v>
      </c>
      <c r="L8" s="24">
        <f>L10+L13</f>
        <v>0</v>
      </c>
      <c r="M8" s="24">
        <f>M10+M13</f>
        <v>0</v>
      </c>
      <c r="N8" s="10">
        <f>SUM(B8:M8)</f>
        <v>1940056.56</v>
      </c>
      <c r="O8" s="33"/>
    </row>
    <row r="9" spans="1:15">
      <c r="A9" s="11" t="s">
        <v>4</v>
      </c>
      <c r="B9" s="4"/>
      <c r="C9" s="4"/>
      <c r="D9" s="4"/>
      <c r="E9" s="4"/>
      <c r="F9" s="25"/>
      <c r="G9" s="61"/>
      <c r="H9" s="4"/>
      <c r="I9" s="25"/>
      <c r="J9" s="25"/>
      <c r="K9" s="25"/>
      <c r="L9" s="25"/>
      <c r="M9" s="25"/>
      <c r="N9" s="4"/>
    </row>
    <row r="10" spans="1:15" s="1" customFormat="1" ht="15">
      <c r="A10" s="27" t="s">
        <v>0</v>
      </c>
      <c r="B10" s="29">
        <f>SUM(B11:B12)</f>
        <v>247300</v>
      </c>
      <c r="C10" s="29">
        <f t="shared" ref="B10:H10" si="1">SUM(C11:C12)</f>
        <v>200100</v>
      </c>
      <c r="D10" s="29">
        <f t="shared" si="1"/>
        <v>271812.58999999997</v>
      </c>
      <c r="E10" s="29">
        <f t="shared" si="1"/>
        <v>326000</v>
      </c>
      <c r="F10" s="29">
        <f t="shared" si="1"/>
        <v>364085.94</v>
      </c>
      <c r="G10" s="62">
        <f t="shared" si="1"/>
        <v>330700</v>
      </c>
      <c r="H10" s="62">
        <f t="shared" si="1"/>
        <v>158300</v>
      </c>
      <c r="I10" s="30"/>
      <c r="J10" s="30"/>
      <c r="K10" s="30"/>
      <c r="L10" s="30"/>
      <c r="M10" s="30"/>
      <c r="N10" s="29">
        <f>SUM(B10:M10)</f>
        <v>1898298.53</v>
      </c>
    </row>
    <row r="11" spans="1:15">
      <c r="A11" s="12" t="s">
        <v>17</v>
      </c>
      <c r="B11" s="4">
        <v>134700</v>
      </c>
      <c r="C11" s="4">
        <v>80200</v>
      </c>
      <c r="D11" s="4">
        <v>143000</v>
      </c>
      <c r="E11" s="4">
        <v>133800</v>
      </c>
      <c r="F11" s="25">
        <v>156685.94</v>
      </c>
      <c r="G11" s="61">
        <v>61400</v>
      </c>
      <c r="H11" s="4">
        <v>45800</v>
      </c>
      <c r="I11" s="25"/>
      <c r="J11" s="25"/>
      <c r="K11" s="25"/>
      <c r="L11" s="25"/>
      <c r="M11" s="25"/>
      <c r="N11" s="29">
        <f>SUM(B11:M11)</f>
        <v>755585.94</v>
      </c>
    </row>
    <row r="12" spans="1:15">
      <c r="A12" s="12" t="s">
        <v>16</v>
      </c>
      <c r="B12" s="4">
        <v>112600</v>
      </c>
      <c r="C12" s="4">
        <v>119900</v>
      </c>
      <c r="D12" s="4">
        <v>128812.59</v>
      </c>
      <c r="E12" s="4">
        <v>192200</v>
      </c>
      <c r="F12" s="25">
        <v>207400</v>
      </c>
      <c r="G12" s="61">
        <v>269300</v>
      </c>
      <c r="H12" s="4">
        <v>112500</v>
      </c>
      <c r="I12" s="25"/>
      <c r="J12" s="25"/>
      <c r="K12" s="25"/>
      <c r="L12" s="25"/>
      <c r="M12" s="25"/>
      <c r="N12" s="29">
        <f t="shared" ref="N12:N70" si="2">SUM(B12:M12)</f>
        <v>1142712.5899999999</v>
      </c>
    </row>
    <row r="13" spans="1:15" s="1" customFormat="1" ht="15">
      <c r="A13" s="28" t="s">
        <v>1</v>
      </c>
      <c r="B13" s="29">
        <f>SUM(B14:B15)</f>
        <v>27917.579999999998</v>
      </c>
      <c r="C13" s="29">
        <v>0</v>
      </c>
      <c r="D13" s="29">
        <f>SUM(D14:D15)</f>
        <v>87.41</v>
      </c>
      <c r="E13" s="29">
        <f>SUM(E14:E15)</f>
        <v>9439.630000000001</v>
      </c>
      <c r="F13" s="29">
        <f>SUM(F14:F15)</f>
        <v>13.41</v>
      </c>
      <c r="G13" s="62">
        <f>SUM(G14:G15)</f>
        <v>4300</v>
      </c>
      <c r="H13" s="62">
        <f>SUM(H14:H15)</f>
        <v>0</v>
      </c>
      <c r="I13" s="30"/>
      <c r="J13" s="30"/>
      <c r="K13" s="30"/>
      <c r="L13" s="30"/>
      <c r="M13" s="30"/>
      <c r="N13" s="29">
        <f t="shared" si="2"/>
        <v>41758.03</v>
      </c>
    </row>
    <row r="14" spans="1:15">
      <c r="A14" s="12" t="s">
        <v>18</v>
      </c>
      <c r="B14" s="4">
        <v>1712.94</v>
      </c>
      <c r="C14" s="4"/>
      <c r="D14" s="4"/>
      <c r="E14" s="4">
        <v>6439.63</v>
      </c>
      <c r="F14" s="25">
        <v>0</v>
      </c>
      <c r="G14" s="61"/>
      <c r="H14" s="4">
        <v>0</v>
      </c>
      <c r="I14" s="25"/>
      <c r="J14" s="25"/>
      <c r="K14" s="25"/>
      <c r="L14" s="25"/>
      <c r="M14" s="25"/>
      <c r="N14" s="29">
        <f t="shared" si="2"/>
        <v>8152.57</v>
      </c>
    </row>
    <row r="15" spans="1:15">
      <c r="A15" s="12" t="s">
        <v>20</v>
      </c>
      <c r="B15" s="4">
        <v>26204.639999999999</v>
      </c>
      <c r="C15" s="4"/>
      <c r="D15" s="4">
        <f>87.41</f>
        <v>87.41</v>
      </c>
      <c r="E15" s="4">
        <v>3000</v>
      </c>
      <c r="F15" s="25">
        <v>13.41</v>
      </c>
      <c r="G15" s="61">
        <v>4300</v>
      </c>
      <c r="H15" s="4">
        <v>0</v>
      </c>
      <c r="I15" s="25"/>
      <c r="J15" s="25"/>
      <c r="K15" s="25"/>
      <c r="L15" s="25"/>
      <c r="M15" s="25"/>
      <c r="N15" s="29">
        <f t="shared" si="2"/>
        <v>33605.46</v>
      </c>
    </row>
    <row r="16" spans="1:15" hidden="1">
      <c r="A16" s="40" t="s">
        <v>26</v>
      </c>
      <c r="B16" s="29"/>
      <c r="C16" s="29"/>
      <c r="D16" s="29"/>
      <c r="E16" s="29"/>
      <c r="F16" s="25"/>
      <c r="G16" s="61"/>
      <c r="H16" s="4"/>
      <c r="I16" s="25"/>
      <c r="J16" s="25"/>
      <c r="K16" s="25"/>
      <c r="L16" s="25"/>
      <c r="M16" s="25"/>
      <c r="N16" s="29">
        <f t="shared" si="2"/>
        <v>0</v>
      </c>
    </row>
    <row r="17" spans="1:29" s="5" customFormat="1" ht="15">
      <c r="A17" s="13" t="s">
        <v>3</v>
      </c>
      <c r="B17" s="10">
        <f>SUM(B19:B70)</f>
        <v>261827.59</v>
      </c>
      <c r="C17" s="10">
        <f>SUM(C18:C70)</f>
        <v>221126.94</v>
      </c>
      <c r="D17" s="10">
        <f>SUM(D19:D70)</f>
        <v>228931.86000000002</v>
      </c>
      <c r="E17" s="10">
        <f>SUM(E19:E70)</f>
        <v>300741.23000000004</v>
      </c>
      <c r="F17" s="10">
        <f>SUM(F19:F70)</f>
        <v>369185.08</v>
      </c>
      <c r="G17" s="60">
        <f>SUM(G19:G70)</f>
        <v>368521.43000000005</v>
      </c>
      <c r="H17" s="60">
        <f>SUM(H19:H70)</f>
        <v>188487.15999999997</v>
      </c>
      <c r="I17" s="24"/>
      <c r="J17" s="24"/>
      <c r="K17" s="24"/>
      <c r="L17" s="24"/>
      <c r="M17" s="24"/>
      <c r="N17" s="29">
        <f t="shared" si="2"/>
        <v>1938821.2900000003</v>
      </c>
      <c r="O17" s="33"/>
    </row>
    <row r="18" spans="1:29">
      <c r="A18" s="17" t="s">
        <v>4</v>
      </c>
      <c r="B18" s="4"/>
      <c r="C18" s="4"/>
      <c r="D18" s="4"/>
      <c r="E18" s="4"/>
      <c r="F18" s="25"/>
      <c r="G18" s="61"/>
      <c r="H18" s="4"/>
      <c r="I18" s="25"/>
      <c r="J18" s="25"/>
      <c r="K18" s="25"/>
      <c r="L18" s="25"/>
      <c r="M18" s="25"/>
      <c r="N18" s="29">
        <f t="shared" si="2"/>
        <v>0</v>
      </c>
    </row>
    <row r="19" spans="1:29">
      <c r="A19" s="17" t="s">
        <v>5</v>
      </c>
      <c r="B19" s="4"/>
      <c r="C19" s="4">
        <v>23925</v>
      </c>
      <c r="D19" s="4">
        <v>23925</v>
      </c>
      <c r="E19" s="4">
        <v>35925</v>
      </c>
      <c r="F19" s="25">
        <v>35887.5</v>
      </c>
      <c r="G19" s="61">
        <f>800+1600+4800+1762.5+2837.5+2400+675+3725+2306.25+2981.25+1156.98+556.98+1843.02+2400+43.02+2956.98</f>
        <v>32844.480000000003</v>
      </c>
      <c r="H19" s="4">
        <v>45800</v>
      </c>
      <c r="I19" s="25"/>
      <c r="J19" s="25"/>
      <c r="K19" s="25"/>
      <c r="L19" s="25"/>
      <c r="M19" s="25"/>
      <c r="N19" s="29">
        <f t="shared" si="2"/>
        <v>198306.98</v>
      </c>
    </row>
    <row r="20" spans="1:29">
      <c r="A20" s="17" t="s">
        <v>6</v>
      </c>
      <c r="B20" s="4"/>
      <c r="C20" s="4">
        <v>7150</v>
      </c>
      <c r="D20" s="4">
        <v>3575</v>
      </c>
      <c r="E20" s="4">
        <v>1560</v>
      </c>
      <c r="F20" s="25">
        <f>4719.42+5362.5</f>
        <v>10081.92</v>
      </c>
      <c r="G20" s="61">
        <f>3803+1560+2043.02</f>
        <v>7406.02</v>
      </c>
      <c r="H20" s="4">
        <v>6181</v>
      </c>
      <c r="I20" s="25"/>
      <c r="J20" s="25"/>
      <c r="K20" s="25"/>
      <c r="L20" s="25"/>
      <c r="M20" s="25"/>
      <c r="N20" s="29">
        <f t="shared" si="2"/>
        <v>35953.94</v>
      </c>
    </row>
    <row r="21" spans="1:29" ht="11.25" customHeight="1">
      <c r="A21" s="17" t="s">
        <v>7</v>
      </c>
      <c r="B21" s="4">
        <f>797.5+1402.5+6050+55</f>
        <v>8305</v>
      </c>
      <c r="C21" s="4">
        <v>16610</v>
      </c>
      <c r="D21" s="4">
        <f>8305+8855.92</f>
        <v>17160.919999999998</v>
      </c>
      <c r="E21" s="4">
        <f>10.91+0.83+94.71</f>
        <v>106.44999999999999</v>
      </c>
      <c r="F21" s="25">
        <v>12460</v>
      </c>
      <c r="G21" s="61">
        <v>7095</v>
      </c>
      <c r="H21" s="4">
        <v>17982</v>
      </c>
      <c r="I21" s="25"/>
      <c r="J21" s="25"/>
      <c r="K21" s="25"/>
      <c r="L21" s="25"/>
      <c r="M21" s="25"/>
      <c r="N21" s="29">
        <f t="shared" si="2"/>
        <v>79719.37</v>
      </c>
    </row>
    <row r="22" spans="1:29">
      <c r="A22" s="17" t="s">
        <v>15</v>
      </c>
      <c r="B22" s="4"/>
      <c r="C22" s="4"/>
      <c r="D22" s="4"/>
      <c r="E22" s="4"/>
      <c r="F22" s="25"/>
      <c r="G22" s="61"/>
      <c r="H22" s="4"/>
      <c r="I22" s="25"/>
      <c r="J22" s="25"/>
      <c r="K22" s="25"/>
      <c r="L22" s="25"/>
      <c r="M22" s="25"/>
      <c r="N22" s="29">
        <f t="shared" si="2"/>
        <v>0</v>
      </c>
    </row>
    <row r="23" spans="1:29">
      <c r="A23" s="17" t="s">
        <v>8</v>
      </c>
      <c r="B23" s="4"/>
      <c r="C23" s="4"/>
      <c r="D23" s="4"/>
      <c r="E23" s="4"/>
      <c r="F23" s="25"/>
      <c r="G23" s="61"/>
      <c r="H23" s="4"/>
      <c r="I23" s="25"/>
      <c r="J23" s="25"/>
      <c r="K23" s="25"/>
      <c r="L23" s="25"/>
      <c r="M23" s="25"/>
      <c r="N23" s="29">
        <f t="shared" si="2"/>
        <v>0</v>
      </c>
    </row>
    <row r="24" spans="1:29">
      <c r="A24" s="17" t="s">
        <v>46</v>
      </c>
      <c r="B24" s="4"/>
      <c r="C24" s="4"/>
      <c r="D24" s="4"/>
      <c r="E24" s="4">
        <f>55039.12+4888</f>
        <v>59927.12</v>
      </c>
      <c r="F24" s="25"/>
      <c r="G24" s="61"/>
      <c r="H24" s="4"/>
      <c r="I24" s="25"/>
      <c r="J24" s="25"/>
      <c r="K24" s="25"/>
      <c r="L24" s="25"/>
      <c r="M24" s="25"/>
      <c r="N24" s="29">
        <f t="shared" si="2"/>
        <v>59927.12</v>
      </c>
    </row>
    <row r="25" spans="1:29">
      <c r="A25" s="17" t="s">
        <v>9</v>
      </c>
      <c r="B25" s="4">
        <v>24000</v>
      </c>
      <c r="C25" s="4">
        <v>25500</v>
      </c>
      <c r="D25" s="4">
        <v>14483.83</v>
      </c>
      <c r="E25" s="4">
        <v>9366.23</v>
      </c>
      <c r="F25" s="25">
        <v>11292</v>
      </c>
      <c r="G25" s="61"/>
      <c r="H25" s="4">
        <v>6130</v>
      </c>
      <c r="I25" s="25"/>
      <c r="J25" s="25"/>
      <c r="K25" s="25"/>
      <c r="L25" s="25"/>
      <c r="M25" s="25"/>
      <c r="N25" s="29">
        <f t="shared" si="2"/>
        <v>90772.06</v>
      </c>
    </row>
    <row r="26" spans="1:29">
      <c r="A26" s="17" t="s">
        <v>30</v>
      </c>
      <c r="B26" s="4"/>
      <c r="C26" s="4"/>
      <c r="D26" s="4"/>
      <c r="E26" s="4"/>
      <c r="F26" s="25"/>
      <c r="G26" s="61"/>
      <c r="H26" s="4"/>
      <c r="I26" s="25"/>
      <c r="J26" s="25"/>
      <c r="K26" s="25"/>
      <c r="L26" s="25"/>
      <c r="M26" s="25"/>
      <c r="N26" s="29">
        <f t="shared" si="2"/>
        <v>0</v>
      </c>
    </row>
    <row r="27" spans="1:29" ht="25.5">
      <c r="A27" s="17" t="s">
        <v>40</v>
      </c>
      <c r="B27" s="4">
        <v>9136.92</v>
      </c>
      <c r="C27" s="4"/>
      <c r="D27" s="4"/>
      <c r="E27" s="4">
        <v>12322</v>
      </c>
      <c r="F27" s="25"/>
      <c r="G27" s="61"/>
      <c r="H27" s="4"/>
      <c r="I27" s="25"/>
      <c r="J27" s="25"/>
      <c r="K27" s="25"/>
      <c r="L27" s="25"/>
      <c r="M27" s="25"/>
      <c r="N27" s="29">
        <f t="shared" si="2"/>
        <v>21458.92</v>
      </c>
    </row>
    <row r="28" spans="1:29">
      <c r="A28" s="17" t="s">
        <v>47</v>
      </c>
      <c r="B28" s="4"/>
      <c r="C28" s="4"/>
      <c r="D28" s="4"/>
      <c r="E28" s="4">
        <v>450</v>
      </c>
      <c r="F28" s="25"/>
      <c r="G28" s="61"/>
      <c r="H28" s="4"/>
      <c r="I28" s="25"/>
      <c r="J28" s="25"/>
      <c r="K28" s="25"/>
      <c r="L28" s="25"/>
      <c r="M28" s="25"/>
      <c r="N28" s="29"/>
    </row>
    <row r="29" spans="1:29" ht="25.5">
      <c r="A29" s="17" t="s">
        <v>32</v>
      </c>
      <c r="B29" s="4">
        <v>136493.72</v>
      </c>
      <c r="C29" s="4">
        <v>56275</v>
      </c>
      <c r="D29" s="4">
        <v>103880.25</v>
      </c>
      <c r="E29" s="4">
        <v>104314.63</v>
      </c>
      <c r="F29" s="25">
        <v>122417.85</v>
      </c>
      <c r="G29" s="61">
        <v>26512.5</v>
      </c>
      <c r="H29" s="4"/>
      <c r="I29" s="25"/>
      <c r="J29" s="25"/>
      <c r="K29" s="25"/>
      <c r="L29" s="25"/>
      <c r="M29" s="25"/>
      <c r="N29" s="29">
        <f t="shared" si="2"/>
        <v>549893.94999999995</v>
      </c>
    </row>
    <row r="30" spans="1:29">
      <c r="A30" s="17" t="s">
        <v>54</v>
      </c>
      <c r="B30" s="4"/>
      <c r="C30" s="4"/>
      <c r="D30" s="4"/>
      <c r="E30" s="4">
        <v>1320</v>
      </c>
      <c r="F30" s="25"/>
      <c r="G30" s="61"/>
      <c r="H30" s="4"/>
      <c r="I30" s="25"/>
      <c r="J30" s="25"/>
      <c r="K30" s="25"/>
      <c r="L30" s="25"/>
      <c r="M30" s="25"/>
      <c r="N30" s="29">
        <f t="shared" si="2"/>
        <v>1320</v>
      </c>
    </row>
    <row r="31" spans="1:29" ht="25.5">
      <c r="A31" s="17" t="s">
        <v>10</v>
      </c>
      <c r="B31" s="4"/>
      <c r="C31" s="4"/>
      <c r="D31" s="4">
        <v>5334.6</v>
      </c>
      <c r="E31" s="4"/>
      <c r="F31" s="25"/>
      <c r="G31" s="61"/>
      <c r="H31" s="4"/>
      <c r="I31" s="25"/>
      <c r="J31" s="25"/>
      <c r="K31" s="25"/>
      <c r="L31" s="25"/>
      <c r="M31" s="25"/>
      <c r="N31" s="29">
        <f t="shared" si="2"/>
        <v>5334.6</v>
      </c>
    </row>
    <row r="32" spans="1:29">
      <c r="A32" s="17" t="s">
        <v>44</v>
      </c>
      <c r="B32" s="4"/>
      <c r="C32" s="4">
        <v>39500</v>
      </c>
      <c r="D32" s="4">
        <v>7500</v>
      </c>
      <c r="E32" s="4"/>
      <c r="F32" s="25"/>
      <c r="G32" s="61"/>
      <c r="H32" s="4"/>
      <c r="I32" s="25"/>
      <c r="J32" s="25"/>
      <c r="K32" s="25"/>
      <c r="L32" s="25"/>
      <c r="M32" s="25"/>
      <c r="N32" s="29">
        <f t="shared" si="2"/>
        <v>47000</v>
      </c>
      <c r="AC32" s="2">
        <v>0</v>
      </c>
    </row>
    <row r="33" spans="1:14" hidden="1">
      <c r="A33" s="17" t="s">
        <v>27</v>
      </c>
      <c r="B33" s="4"/>
      <c r="C33" s="4"/>
      <c r="D33" s="4"/>
      <c r="E33" s="4"/>
      <c r="F33" s="25"/>
      <c r="G33" s="61"/>
      <c r="H33" s="4"/>
      <c r="I33" s="25"/>
      <c r="J33" s="25"/>
      <c r="K33" s="25"/>
      <c r="L33" s="25"/>
      <c r="M33" s="25"/>
      <c r="N33" s="29">
        <f t="shared" si="2"/>
        <v>0</v>
      </c>
    </row>
    <row r="34" spans="1:14" hidden="1">
      <c r="A34" s="17" t="s">
        <v>28</v>
      </c>
      <c r="B34" s="4"/>
      <c r="C34" s="4"/>
      <c r="D34" s="4"/>
      <c r="E34" s="4"/>
      <c r="F34" s="25"/>
      <c r="G34" s="61"/>
      <c r="H34" s="4"/>
      <c r="I34" s="25"/>
      <c r="J34" s="25"/>
      <c r="K34" s="25"/>
      <c r="L34" s="25"/>
      <c r="M34" s="25"/>
      <c r="N34" s="29">
        <f t="shared" si="2"/>
        <v>0</v>
      </c>
    </row>
    <row r="35" spans="1:14" ht="38.25" hidden="1">
      <c r="A35" s="17" t="s">
        <v>14</v>
      </c>
      <c r="B35" s="4"/>
      <c r="C35" s="4"/>
      <c r="D35" s="4"/>
      <c r="E35" s="4"/>
      <c r="F35" s="25"/>
      <c r="G35" s="61"/>
      <c r="H35" s="4"/>
      <c r="I35" s="25"/>
      <c r="J35" s="25"/>
      <c r="K35" s="25"/>
      <c r="L35" s="25"/>
      <c r="M35" s="25"/>
      <c r="N35" s="29">
        <f t="shared" si="2"/>
        <v>0</v>
      </c>
    </row>
    <row r="36" spans="1:14">
      <c r="A36" s="17" t="s">
        <v>13</v>
      </c>
      <c r="B36" s="4">
        <v>3000</v>
      </c>
      <c r="C36" s="4"/>
      <c r="D36" s="4">
        <v>1530</v>
      </c>
      <c r="E36" s="4">
        <v>1500</v>
      </c>
      <c r="F36" s="25"/>
      <c r="G36" s="61">
        <v>3000</v>
      </c>
      <c r="H36" s="4">
        <v>1500</v>
      </c>
      <c r="I36" s="25"/>
      <c r="J36" s="25"/>
      <c r="K36" s="25"/>
      <c r="L36" s="25"/>
      <c r="M36" s="25"/>
      <c r="N36" s="29">
        <f t="shared" si="2"/>
        <v>10530</v>
      </c>
    </row>
    <row r="37" spans="1:14" ht="22.5" customHeight="1">
      <c r="A37" s="17" t="s">
        <v>45</v>
      </c>
      <c r="B37" s="4"/>
      <c r="C37" s="4"/>
      <c r="D37" s="4"/>
      <c r="E37" s="4">
        <v>900</v>
      </c>
      <c r="F37" s="25"/>
      <c r="G37" s="61"/>
      <c r="H37" s="4"/>
      <c r="I37" s="25"/>
      <c r="J37" s="25"/>
      <c r="K37" s="25"/>
      <c r="L37" s="25"/>
      <c r="M37" s="25"/>
      <c r="N37" s="29">
        <f t="shared" si="2"/>
        <v>900</v>
      </c>
    </row>
    <row r="38" spans="1:14">
      <c r="A38" s="17" t="s">
        <v>19</v>
      </c>
      <c r="B38" s="4"/>
      <c r="C38" s="4"/>
      <c r="D38" s="4"/>
      <c r="E38" s="4"/>
      <c r="F38" s="25"/>
      <c r="G38" s="61"/>
      <c r="H38" s="4"/>
      <c r="I38" s="25"/>
      <c r="J38" s="25"/>
      <c r="K38" s="25"/>
      <c r="L38" s="25"/>
      <c r="M38" s="25"/>
      <c r="N38" s="29">
        <f t="shared" si="2"/>
        <v>0</v>
      </c>
    </row>
    <row r="39" spans="1:14">
      <c r="A39" s="17" t="s">
        <v>68</v>
      </c>
      <c r="B39" s="4"/>
      <c r="C39" s="4"/>
      <c r="D39" s="4"/>
      <c r="E39" s="4"/>
      <c r="F39" s="25"/>
      <c r="G39" s="61"/>
      <c r="H39" s="4">
        <v>900</v>
      </c>
      <c r="I39" s="25"/>
      <c r="J39" s="25"/>
      <c r="K39" s="25"/>
      <c r="L39" s="25"/>
      <c r="M39" s="25"/>
      <c r="N39" s="29">
        <f t="shared" si="2"/>
        <v>900</v>
      </c>
    </row>
    <row r="40" spans="1:14">
      <c r="A40" s="17" t="s">
        <v>36</v>
      </c>
      <c r="B40" s="4">
        <v>340</v>
      </c>
      <c r="C40" s="4"/>
      <c r="D40" s="4"/>
      <c r="E40" s="4"/>
      <c r="F40" s="25"/>
      <c r="G40" s="61"/>
      <c r="H40" s="4"/>
      <c r="I40" s="25"/>
      <c r="J40" s="25"/>
      <c r="K40" s="25"/>
      <c r="L40" s="25"/>
      <c r="M40" s="25"/>
      <c r="N40" s="29">
        <f t="shared" si="2"/>
        <v>340</v>
      </c>
    </row>
    <row r="41" spans="1:14" ht="63.75">
      <c r="A41" s="17" t="s">
        <v>55</v>
      </c>
      <c r="B41" s="4"/>
      <c r="C41" s="4"/>
      <c r="D41" s="4"/>
      <c r="E41" s="4"/>
      <c r="F41" s="25">
        <f>10994.2+348+25000+7774</f>
        <v>44116.2</v>
      </c>
      <c r="G41" s="61">
        <f>24999.95+1085+3340</f>
        <v>29424.95</v>
      </c>
      <c r="H41" s="4">
        <v>23499.96</v>
      </c>
      <c r="I41" s="25"/>
      <c r="J41" s="25"/>
      <c r="K41" s="25"/>
      <c r="L41" s="25"/>
      <c r="M41" s="25"/>
      <c r="N41" s="29">
        <f t="shared" si="2"/>
        <v>97041.109999999986</v>
      </c>
    </row>
    <row r="42" spans="1:14" ht="25.5">
      <c r="A42" s="17" t="s">
        <v>31</v>
      </c>
      <c r="B42" s="4">
        <f>1200+339+500+650+100+500</f>
        <v>3289</v>
      </c>
      <c r="C42" s="4">
        <v>500</v>
      </c>
      <c r="D42" s="4">
        <f>1000+1000</f>
        <v>2000</v>
      </c>
      <c r="E42" s="4"/>
      <c r="F42" s="25">
        <f>1000+1000</f>
        <v>2000</v>
      </c>
      <c r="G42" s="61">
        <v>1200</v>
      </c>
      <c r="H42" s="4">
        <v>1400</v>
      </c>
      <c r="I42" s="25"/>
      <c r="J42" s="25"/>
      <c r="K42" s="25"/>
      <c r="L42" s="25"/>
      <c r="M42" s="25"/>
      <c r="N42" s="29">
        <f t="shared" si="2"/>
        <v>10389</v>
      </c>
    </row>
    <row r="43" spans="1:14" ht="25.5">
      <c r="A43" s="17" t="s">
        <v>58</v>
      </c>
      <c r="B43" s="4"/>
      <c r="C43" s="4"/>
      <c r="D43" s="4"/>
      <c r="E43" s="4"/>
      <c r="F43" s="25"/>
      <c r="G43" s="61">
        <v>15000</v>
      </c>
      <c r="H43" s="4"/>
      <c r="I43" s="25"/>
      <c r="J43" s="25"/>
      <c r="K43" s="25"/>
      <c r="L43" s="25"/>
      <c r="M43" s="25"/>
      <c r="N43" s="29"/>
    </row>
    <row r="44" spans="1:14">
      <c r="A44" s="17" t="s">
        <v>33</v>
      </c>
      <c r="B44" s="4">
        <v>44489.43</v>
      </c>
      <c r="C44" s="4"/>
      <c r="D44" s="4">
        <v>38964.550000000003</v>
      </c>
      <c r="E44" s="4">
        <v>31800</v>
      </c>
      <c r="F44" s="25">
        <v>24760.76</v>
      </c>
      <c r="G44" s="61">
        <v>33970.31</v>
      </c>
      <c r="H44" s="4">
        <v>21768</v>
      </c>
      <c r="I44" s="25"/>
      <c r="J44" s="25"/>
      <c r="K44" s="25"/>
      <c r="L44" s="25"/>
      <c r="M44" s="25"/>
      <c r="N44" s="29">
        <f t="shared" si="2"/>
        <v>195753.05000000002</v>
      </c>
    </row>
    <row r="45" spans="1:14">
      <c r="A45" s="17" t="s">
        <v>41</v>
      </c>
      <c r="B45" s="4"/>
      <c r="C45" s="4">
        <v>30000</v>
      </c>
      <c r="D45" s="4"/>
      <c r="E45" s="4"/>
      <c r="F45" s="25"/>
      <c r="G45" s="61"/>
      <c r="H45" s="4"/>
      <c r="I45" s="25"/>
      <c r="J45" s="25"/>
      <c r="K45" s="25"/>
      <c r="L45" s="25"/>
      <c r="M45" s="25"/>
      <c r="N45" s="29">
        <f t="shared" si="2"/>
        <v>30000</v>
      </c>
    </row>
    <row r="46" spans="1:14" ht="25.5">
      <c r="A46" s="17" t="s">
        <v>66</v>
      </c>
      <c r="B46" s="4">
        <v>8928.44</v>
      </c>
      <c r="C46" s="4"/>
      <c r="D46" s="4">
        <f>6810.96+514.15</f>
        <v>7325.11</v>
      </c>
      <c r="E46" s="4">
        <f>180.02+11750</f>
        <v>11930.02</v>
      </c>
      <c r="F46" s="25"/>
      <c r="G46" s="61"/>
      <c r="H46" s="4"/>
      <c r="I46" s="25"/>
      <c r="J46" s="25"/>
      <c r="K46" s="25"/>
      <c r="L46" s="25"/>
      <c r="M46" s="25"/>
      <c r="N46" s="29">
        <f t="shared" si="2"/>
        <v>28183.57</v>
      </c>
    </row>
    <row r="47" spans="1:14" ht="25.5">
      <c r="A47" s="17" t="s">
        <v>51</v>
      </c>
      <c r="B47" s="4"/>
      <c r="C47" s="4">
        <v>388</v>
      </c>
      <c r="D47" s="4"/>
      <c r="E47" s="4"/>
      <c r="F47" s="25">
        <f>1221+1017.5</f>
        <v>2238.5</v>
      </c>
      <c r="G47" s="61">
        <f>854</f>
        <v>854</v>
      </c>
      <c r="H47" s="4">
        <f>852+846+213</f>
        <v>1911</v>
      </c>
      <c r="I47" s="25"/>
      <c r="J47" s="25"/>
      <c r="K47" s="25"/>
      <c r="L47" s="25"/>
      <c r="M47" s="25"/>
      <c r="N47" s="29">
        <f t="shared" si="2"/>
        <v>5391.5</v>
      </c>
    </row>
    <row r="48" spans="1:14">
      <c r="A48" s="17" t="s">
        <v>52</v>
      </c>
      <c r="B48" s="4"/>
      <c r="C48" s="4">
        <v>1125.45</v>
      </c>
      <c r="D48" s="4"/>
      <c r="E48" s="4"/>
      <c r="F48" s="25">
        <v>9000</v>
      </c>
      <c r="G48" s="61"/>
      <c r="H48" s="4"/>
      <c r="I48" s="25"/>
      <c r="J48" s="25"/>
      <c r="K48" s="25"/>
      <c r="L48" s="25"/>
      <c r="M48" s="25"/>
      <c r="N48" s="29">
        <f t="shared" si="2"/>
        <v>10125.450000000001</v>
      </c>
    </row>
    <row r="49" spans="1:14" ht="25.5">
      <c r="A49" s="17" t="s">
        <v>29</v>
      </c>
      <c r="B49" s="4"/>
      <c r="C49" s="4"/>
      <c r="D49" s="4"/>
      <c r="E49" s="4"/>
      <c r="F49" s="25"/>
      <c r="G49" s="61"/>
      <c r="H49" s="4"/>
      <c r="I49" s="25"/>
      <c r="J49" s="25"/>
      <c r="K49" s="25"/>
      <c r="L49" s="25"/>
      <c r="M49" s="25"/>
      <c r="N49" s="29">
        <f t="shared" si="2"/>
        <v>0</v>
      </c>
    </row>
    <row r="50" spans="1:14">
      <c r="A50" s="17" t="s">
        <v>49</v>
      </c>
      <c r="B50" s="4"/>
      <c r="C50" s="4"/>
      <c r="D50" s="4"/>
      <c r="E50" s="4"/>
      <c r="F50" s="25">
        <f>25000+110</f>
        <v>25110</v>
      </c>
      <c r="G50" s="61"/>
      <c r="H50" s="4"/>
      <c r="I50" s="25"/>
      <c r="J50" s="25"/>
      <c r="K50" s="25"/>
      <c r="L50" s="25"/>
      <c r="M50" s="25"/>
      <c r="N50" s="29">
        <f t="shared" si="2"/>
        <v>25110</v>
      </c>
    </row>
    <row r="51" spans="1:14" ht="25.5">
      <c r="A51" s="17" t="s">
        <v>48</v>
      </c>
      <c r="B51" s="4"/>
      <c r="C51" s="4"/>
      <c r="D51" s="4"/>
      <c r="E51" s="4">
        <f>21000</f>
        <v>21000</v>
      </c>
      <c r="F51" s="25">
        <f>12250+21000</f>
        <v>33250</v>
      </c>
      <c r="G51" s="61"/>
      <c r="H51" s="4"/>
      <c r="I51" s="25"/>
      <c r="J51" s="25"/>
      <c r="K51" s="25"/>
      <c r="L51" s="25"/>
      <c r="M51" s="25"/>
      <c r="N51" s="29">
        <f t="shared" si="2"/>
        <v>54250</v>
      </c>
    </row>
    <row r="52" spans="1:14">
      <c r="A52" s="17" t="s">
        <v>69</v>
      </c>
      <c r="B52" s="4"/>
      <c r="C52" s="4"/>
      <c r="D52" s="4"/>
      <c r="E52" s="4"/>
      <c r="F52" s="25"/>
      <c r="G52" s="61"/>
      <c r="H52" s="4">
        <v>57515.199999999997</v>
      </c>
      <c r="I52" s="25"/>
      <c r="J52" s="25"/>
      <c r="K52" s="25"/>
      <c r="L52" s="25"/>
      <c r="M52" s="25"/>
      <c r="N52" s="29">
        <f t="shared" si="2"/>
        <v>57515.199999999997</v>
      </c>
    </row>
    <row r="53" spans="1:14">
      <c r="A53" s="17" t="s">
        <v>62</v>
      </c>
      <c r="B53" s="4"/>
      <c r="C53" s="4"/>
      <c r="D53" s="4"/>
      <c r="E53" s="4"/>
      <c r="F53" s="25"/>
      <c r="G53" s="61">
        <v>16500</v>
      </c>
      <c r="H53" s="4"/>
      <c r="I53" s="25"/>
      <c r="J53" s="25"/>
      <c r="K53" s="25"/>
      <c r="L53" s="25"/>
      <c r="M53" s="25"/>
      <c r="N53" s="29"/>
    </row>
    <row r="54" spans="1:14">
      <c r="A54" s="17" t="s">
        <v>50</v>
      </c>
      <c r="B54" s="4"/>
      <c r="C54" s="4"/>
      <c r="D54" s="4"/>
      <c r="E54" s="4"/>
      <c r="F54" s="25">
        <v>15925</v>
      </c>
      <c r="G54" s="61"/>
      <c r="H54" s="4"/>
      <c r="I54" s="25"/>
      <c r="J54" s="25"/>
      <c r="K54" s="25"/>
      <c r="L54" s="25"/>
      <c r="M54" s="25"/>
      <c r="N54" s="29">
        <f t="shared" si="2"/>
        <v>15925</v>
      </c>
    </row>
    <row r="55" spans="1:14">
      <c r="A55" s="17" t="s">
        <v>42</v>
      </c>
      <c r="B55" s="4"/>
      <c r="C55" s="4">
        <v>314</v>
      </c>
      <c r="D55" s="4"/>
      <c r="E55" s="4"/>
      <c r="F55" s="25"/>
      <c r="G55" s="61"/>
      <c r="H55" s="4"/>
      <c r="I55" s="25"/>
      <c r="J55" s="25"/>
      <c r="K55" s="25"/>
      <c r="L55" s="25"/>
      <c r="M55" s="25"/>
      <c r="N55" s="29">
        <f t="shared" si="2"/>
        <v>314</v>
      </c>
    </row>
    <row r="56" spans="1:14" ht="38.25">
      <c r="A56" s="17" t="s">
        <v>65</v>
      </c>
      <c r="B56" s="4"/>
      <c r="C56" s="4"/>
      <c r="D56" s="4"/>
      <c r="E56" s="4"/>
      <c r="F56" s="25"/>
      <c r="G56" s="61">
        <f>55450+97000</f>
        <v>152450</v>
      </c>
      <c r="H56" s="4"/>
      <c r="I56" s="25"/>
      <c r="J56" s="25"/>
      <c r="K56" s="25"/>
      <c r="L56" s="25"/>
      <c r="M56" s="25"/>
      <c r="N56" s="29"/>
    </row>
    <row r="57" spans="1:14">
      <c r="A57" s="17" t="s">
        <v>38</v>
      </c>
      <c r="B57" s="4">
        <v>1975.08</v>
      </c>
      <c r="C57" s="4">
        <v>3002.49</v>
      </c>
      <c r="D57" s="4">
        <f>154+154+32.92+450+154+154+32.92+32.92+154+154+550+530+154+32.92+32.92+240+240</f>
        <v>3252.6000000000004</v>
      </c>
      <c r="E57" s="4">
        <f>154+32.92+154+32.92+154+154+40+32.92+154+240+154</f>
        <v>1302.76</v>
      </c>
      <c r="F57" s="25"/>
      <c r="G57" s="61"/>
      <c r="H57" s="4"/>
      <c r="I57" s="25"/>
      <c r="J57" s="25"/>
      <c r="K57" s="25"/>
      <c r="L57" s="25"/>
      <c r="M57" s="25"/>
      <c r="N57" s="29">
        <f t="shared" si="2"/>
        <v>9532.93</v>
      </c>
    </row>
    <row r="58" spans="1:14">
      <c r="A58" s="17" t="s">
        <v>37</v>
      </c>
      <c r="B58" s="4">
        <v>3810</v>
      </c>
      <c r="C58" s="4"/>
      <c r="D58" s="4"/>
      <c r="E58" s="4"/>
      <c r="F58" s="25"/>
      <c r="G58" s="61"/>
      <c r="H58" s="4"/>
      <c r="I58" s="25"/>
      <c r="J58" s="25"/>
      <c r="K58" s="25"/>
      <c r="L58" s="25"/>
      <c r="M58" s="25"/>
      <c r="N58" s="29">
        <f t="shared" si="2"/>
        <v>3810</v>
      </c>
    </row>
    <row r="59" spans="1:14">
      <c r="A59" s="17" t="s">
        <v>43</v>
      </c>
      <c r="B59" s="4"/>
      <c r="C59" s="4">
        <v>14990</v>
      </c>
      <c r="D59" s="4"/>
      <c r="E59" s="4"/>
      <c r="F59" s="25"/>
      <c r="G59" s="61"/>
      <c r="H59" s="4"/>
      <c r="I59" s="25"/>
      <c r="J59" s="25"/>
      <c r="K59" s="25"/>
      <c r="L59" s="25"/>
      <c r="M59" s="25"/>
      <c r="N59" s="29">
        <f t="shared" si="2"/>
        <v>14990</v>
      </c>
    </row>
    <row r="60" spans="1:14">
      <c r="A60" s="17" t="s">
        <v>34</v>
      </c>
      <c r="B60" s="4">
        <v>7000</v>
      </c>
      <c r="C60" s="4"/>
      <c r="D60" s="4"/>
      <c r="E60" s="4"/>
      <c r="F60" s="25"/>
      <c r="G60" s="61"/>
      <c r="H60" s="4"/>
      <c r="I60" s="25"/>
      <c r="J60" s="25"/>
      <c r="K60" s="25"/>
      <c r="L60" s="25"/>
      <c r="M60" s="25"/>
      <c r="N60" s="29">
        <f t="shared" si="2"/>
        <v>7000</v>
      </c>
    </row>
    <row r="61" spans="1:14">
      <c r="A61" s="17" t="s">
        <v>56</v>
      </c>
      <c r="B61" s="4"/>
      <c r="C61" s="4"/>
      <c r="D61" s="4"/>
      <c r="E61" s="4"/>
      <c r="F61" s="25"/>
      <c r="G61" s="61">
        <v>2430</v>
      </c>
      <c r="H61" s="4"/>
      <c r="I61" s="25"/>
      <c r="J61" s="25"/>
      <c r="K61" s="25"/>
      <c r="L61" s="25"/>
      <c r="M61" s="25"/>
      <c r="N61" s="29"/>
    </row>
    <row r="62" spans="1:14" ht="25.5">
      <c r="A62" s="17" t="s">
        <v>57</v>
      </c>
      <c r="B62" s="4"/>
      <c r="C62" s="4"/>
      <c r="D62" s="4"/>
      <c r="E62" s="4"/>
      <c r="F62" s="25"/>
      <c r="G62" s="61">
        <v>3795</v>
      </c>
      <c r="H62" s="4"/>
      <c r="I62" s="25"/>
      <c r="J62" s="25"/>
      <c r="K62" s="25"/>
      <c r="L62" s="25"/>
      <c r="M62" s="25"/>
      <c r="N62" s="29"/>
    </row>
    <row r="63" spans="1:14" ht="38.25">
      <c r="A63" s="17" t="s">
        <v>67</v>
      </c>
      <c r="B63" s="4"/>
      <c r="C63" s="4"/>
      <c r="D63" s="4"/>
      <c r="E63" s="4"/>
      <c r="F63" s="25"/>
      <c r="G63" s="61">
        <f>1600+823+2400</f>
        <v>4823</v>
      </c>
      <c r="H63" s="4">
        <v>2160</v>
      </c>
      <c r="I63" s="25"/>
      <c r="J63" s="25"/>
      <c r="K63" s="25"/>
      <c r="L63" s="25"/>
      <c r="M63" s="25"/>
      <c r="N63" s="29"/>
    </row>
    <row r="64" spans="1:14">
      <c r="A64" s="17" t="s">
        <v>59</v>
      </c>
      <c r="B64" s="4"/>
      <c r="C64" s="4"/>
      <c r="D64" s="4"/>
      <c r="E64" s="4"/>
      <c r="F64" s="25"/>
      <c r="G64" s="61">
        <v>8833.89</v>
      </c>
      <c r="H64" s="4"/>
      <c r="I64" s="25"/>
      <c r="J64" s="25"/>
      <c r="K64" s="25"/>
      <c r="L64" s="25"/>
      <c r="M64" s="25"/>
      <c r="N64" s="29"/>
    </row>
    <row r="65" spans="1:14">
      <c r="A65" s="17" t="s">
        <v>60</v>
      </c>
      <c r="B65" s="4"/>
      <c r="C65" s="4"/>
      <c r="D65" s="4"/>
      <c r="E65" s="4"/>
      <c r="F65" s="25"/>
      <c r="G65" s="61">
        <v>10034.280000000001</v>
      </c>
      <c r="H65" s="4"/>
      <c r="I65" s="25"/>
      <c r="J65" s="25"/>
      <c r="K65" s="25"/>
      <c r="L65" s="25"/>
      <c r="M65" s="25"/>
      <c r="N65" s="29"/>
    </row>
    <row r="66" spans="1:14">
      <c r="A66" s="17" t="s">
        <v>63</v>
      </c>
      <c r="B66" s="4"/>
      <c r="C66" s="4"/>
      <c r="D66" s="4"/>
      <c r="E66" s="4"/>
      <c r="F66" s="25"/>
      <c r="G66" s="61">
        <v>4920</v>
      </c>
      <c r="H66" s="4"/>
      <c r="I66" s="25"/>
      <c r="J66" s="25"/>
      <c r="K66" s="25"/>
      <c r="L66" s="25"/>
      <c r="M66" s="25"/>
      <c r="N66" s="29"/>
    </row>
    <row r="67" spans="1:14">
      <c r="A67" s="17" t="s">
        <v>64</v>
      </c>
      <c r="B67" s="4"/>
      <c r="C67" s="4"/>
      <c r="D67" s="4"/>
      <c r="E67" s="4"/>
      <c r="F67" s="25"/>
      <c r="G67" s="61">
        <v>2800</v>
      </c>
      <c r="H67" s="4"/>
      <c r="I67" s="25"/>
      <c r="J67" s="25"/>
      <c r="K67" s="25"/>
      <c r="L67" s="25"/>
      <c r="M67" s="25"/>
      <c r="N67" s="29"/>
    </row>
    <row r="68" spans="1:14">
      <c r="A68" s="17" t="s">
        <v>35</v>
      </c>
      <c r="B68" s="4">
        <v>9750</v>
      </c>
      <c r="C68" s="4"/>
      <c r="D68" s="4"/>
      <c r="E68" s="4"/>
      <c r="F68" s="25"/>
      <c r="G68" s="61"/>
      <c r="H68" s="4"/>
      <c r="I68" s="25"/>
      <c r="J68" s="25"/>
      <c r="K68" s="25"/>
      <c r="L68" s="25"/>
      <c r="M68" s="25"/>
      <c r="N68" s="29">
        <f t="shared" si="2"/>
        <v>9750</v>
      </c>
    </row>
    <row r="69" spans="1:14" ht="102">
      <c r="A69" s="17" t="s">
        <v>61</v>
      </c>
      <c r="B69" s="4">
        <f>170+450+600</f>
        <v>1220</v>
      </c>
      <c r="C69" s="4">
        <v>1847</v>
      </c>
      <c r="D69" s="4"/>
      <c r="E69" s="4">
        <f>165+1170+500+290+251.7+869+2990+47+47+398+45</f>
        <v>6772.7</v>
      </c>
      <c r="F69" s="25">
        <f>3410+765+535+175+1555+200+765+2890.35+100+376+100+600+975+390+500+3090+200+1400+155+500+175+540+659+245+345</f>
        <v>20645.349999999999</v>
      </c>
      <c r="G69" s="61">
        <f>200+350+777+541+117+636+97+1300+140+398+72</f>
        <v>4628</v>
      </c>
      <c r="H69" s="4">
        <f>1242+370+128</f>
        <v>1740</v>
      </c>
      <c r="I69" s="25"/>
      <c r="J69" s="25"/>
      <c r="K69" s="25"/>
      <c r="L69" s="25"/>
      <c r="M69" s="25"/>
      <c r="N69" s="29">
        <f t="shared" si="2"/>
        <v>36853.050000000003</v>
      </c>
    </row>
    <row r="70" spans="1:14">
      <c r="A70" s="17" t="s">
        <v>39</v>
      </c>
      <c r="B70" s="4">
        <v>90</v>
      </c>
      <c r="C70" s="4"/>
      <c r="D70" s="4"/>
      <c r="E70" s="4">
        <f>27+30+187.32</f>
        <v>244.32</v>
      </c>
      <c r="F70" s="25"/>
      <c r="G70" s="61"/>
      <c r="H70" s="4"/>
      <c r="I70" s="25"/>
      <c r="J70" s="25"/>
      <c r="K70" s="25"/>
      <c r="L70" s="25"/>
      <c r="M70" s="25"/>
      <c r="N70" s="29">
        <f t="shared" si="2"/>
        <v>334.32</v>
      </c>
    </row>
    <row r="71" spans="1:14">
      <c r="A71" s="46"/>
      <c r="B71" s="47"/>
      <c r="C71" s="47"/>
      <c r="D71" s="47"/>
      <c r="E71" s="47"/>
      <c r="F71" s="48"/>
      <c r="G71" s="63"/>
      <c r="H71" s="47"/>
      <c r="I71" s="48"/>
      <c r="J71" s="48"/>
      <c r="K71" s="48"/>
      <c r="L71" s="48"/>
      <c r="M71" s="48"/>
      <c r="N71" s="47"/>
    </row>
    <row r="72" spans="1:14">
      <c r="K72" s="26"/>
    </row>
    <row r="73" spans="1:14">
      <c r="A73" s="34" t="s">
        <v>21</v>
      </c>
      <c r="B73" s="35">
        <f>B69+B68+B60+B58+B57+B46+B44+B42+B40+B36</f>
        <v>83801.950000000012</v>
      </c>
      <c r="C73" s="35">
        <f>C69+C59+C57+C55+C48+C47+C45+C42+C25+C21+C20+C32</f>
        <v>140926.94</v>
      </c>
      <c r="D73" s="35">
        <f>D20+D25+D31+D32+D36+D42+D44+D46+D57+8305</f>
        <v>92270.690000000017</v>
      </c>
      <c r="E73" s="35">
        <f>E70+E69+E57+E51+E46+E44+E37+E36+E27+E25+E24+E21+E20+E30+E28</f>
        <v>160501.6</v>
      </c>
      <c r="F73" s="44">
        <f>F69+F54+F51+F50+F48+F47+F44+F42+F41+F25+F21+5362.5</f>
        <v>206160.31</v>
      </c>
      <c r="G73" s="64">
        <f>G69+G67+G66+G65+G64+G63+G62+G61+G56+G53+G51+G47++G44+G43+G42+G41++G36+1560+3803+G21</f>
        <v>307121.43</v>
      </c>
      <c r="H73" s="32">
        <f>H69+H63+H52+H47+H44+H42+H41+H39+H36+H25+H21+H20</f>
        <v>142687.16</v>
      </c>
      <c r="I73" s="45"/>
      <c r="J73" s="45"/>
      <c r="K73" s="45"/>
      <c r="L73" s="45"/>
      <c r="M73" s="44"/>
    </row>
    <row r="74" spans="1:14">
      <c r="A74" s="34" t="s">
        <v>22</v>
      </c>
      <c r="B74" s="35">
        <f>B70+B27+B25+B21+B29</f>
        <v>178025.64</v>
      </c>
      <c r="C74" s="35">
        <f>C29+C19</f>
        <v>80200</v>
      </c>
      <c r="D74" s="35">
        <f>D29+8855.92+D19</f>
        <v>136661.16999999998</v>
      </c>
      <c r="E74" s="35">
        <f>E29+E19</f>
        <v>140239.63</v>
      </c>
      <c r="F74" s="44">
        <f>F29+F19+4719.42</f>
        <v>163024.77000000002</v>
      </c>
      <c r="G74" s="64">
        <f>G19+G29+2043.02</f>
        <v>61400</v>
      </c>
      <c r="H74" s="35">
        <f>H19</f>
        <v>45800</v>
      </c>
      <c r="I74" s="45"/>
      <c r="J74" s="45"/>
      <c r="K74" s="45"/>
      <c r="L74" s="45"/>
      <c r="M74" s="44"/>
    </row>
    <row r="75" spans="1:14">
      <c r="F75" s="26"/>
      <c r="H75" s="32"/>
      <c r="I75" s="31"/>
      <c r="J75" s="31"/>
      <c r="K75" s="31"/>
      <c r="L75" s="31"/>
      <c r="M75" s="31"/>
    </row>
    <row r="76" spans="1:14">
      <c r="F76" s="26"/>
    </row>
  </sheetData>
  <pageMargins left="0.15748031496062992" right="0.27559055118110237" top="0.74803149606299213" bottom="0.74803149606299213" header="0.31496062992125984" footer="0.31496062992125984"/>
  <pageSetup paperSize="9" scale="7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2018-02-15T13:45:15Z</cp:lastPrinted>
  <dcterms:created xsi:type="dcterms:W3CDTF">2015-12-25T20:22:12Z</dcterms:created>
  <dcterms:modified xsi:type="dcterms:W3CDTF">2018-08-24T13:17:06Z</dcterms:modified>
</cp:coreProperties>
</file>