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Dad's Website\Dads Spreadsheets for website\"/>
    </mc:Choice>
  </mc:AlternateContent>
  <xr:revisionPtr revIDLastSave="0" documentId="8_{0F09AE0A-725E-46BF-A25A-A30BA991F0FD}" xr6:coauthVersionLast="45" xr6:coauthVersionMax="45" xr10:uidLastSave="{00000000-0000-0000-0000-000000000000}"/>
  <bookViews>
    <workbookView xWindow="28680" yWindow="3420" windowWidth="20730" windowHeight="11160" firstSheet="4" activeTab="6" xr2:uid="{05D9A3E5-580E-4BD7-92C5-15BCA6EF55D3}"/>
  </bookViews>
  <sheets>
    <sheet name="Supply and Disposition" sheetId="1" r:id="rId1"/>
    <sheet name="Productivity" sheetId="2" r:id="rId2"/>
    <sheet name="Chart Steers per 100 Cows" sheetId="3" r:id="rId3"/>
    <sheet name="Lbs of Beef per Beef Cow" sheetId="4" r:id="rId4"/>
    <sheet name="Steer Beef p.100 lb. Cow Weight" sheetId="5" r:id="rId5"/>
    <sheet name="Dom. Steer &amp; Heifer Output" sheetId="7" r:id="rId6"/>
    <sheet name="Worksheet 1" sheetId="6" r:id="rId7"/>
  </sheets>
  <externalReferences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18" i="2" l="1"/>
  <c r="B74" i="1"/>
  <c r="Y40" i="1"/>
  <c r="X40" i="1"/>
  <c r="W40" i="1"/>
  <c r="V40" i="1"/>
  <c r="V87" i="1" s="1"/>
  <c r="U40" i="1"/>
  <c r="T40" i="1"/>
  <c r="S40" i="1"/>
  <c r="R40" i="1"/>
  <c r="R87" i="1" s="1"/>
  <c r="Q40" i="1"/>
  <c r="P40" i="1"/>
  <c r="O40" i="1"/>
  <c r="N40" i="1"/>
  <c r="M40" i="1"/>
  <c r="L40" i="1"/>
  <c r="K40" i="1"/>
  <c r="K87" i="1" s="1"/>
  <c r="J40" i="1"/>
  <c r="I40" i="1"/>
  <c r="H40" i="1"/>
  <c r="G40" i="1"/>
  <c r="G87" i="1" s="1"/>
  <c r="F40" i="1"/>
  <c r="F87" i="1" s="1"/>
  <c r="E40" i="1"/>
  <c r="D40" i="1"/>
  <c r="D87" i="1" s="1"/>
  <c r="C40" i="1"/>
  <c r="C87" i="1" s="1"/>
  <c r="O87" i="1"/>
  <c r="B40" i="1"/>
  <c r="C26" i="1"/>
  <c r="D26" i="1"/>
  <c r="E26" i="1"/>
  <c r="F26" i="1"/>
  <c r="G26" i="1"/>
  <c r="H26" i="1"/>
  <c r="I26" i="1"/>
  <c r="J26" i="1"/>
  <c r="J87" i="1" s="1"/>
  <c r="K26" i="1"/>
  <c r="L26" i="1"/>
  <c r="M26" i="1"/>
  <c r="N26" i="1"/>
  <c r="N87" i="1" s="1"/>
  <c r="O26" i="1"/>
  <c r="P26" i="1"/>
  <c r="Q26" i="1"/>
  <c r="Q87" i="1" s="1"/>
  <c r="R26" i="1"/>
  <c r="S26" i="1"/>
  <c r="T26" i="1"/>
  <c r="U26" i="1"/>
  <c r="V26" i="1"/>
  <c r="W26" i="1"/>
  <c r="X26" i="1"/>
  <c r="Y26" i="1"/>
  <c r="B33" i="1"/>
  <c r="B26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59" i="6"/>
  <c r="B58" i="6"/>
  <c r="Q57" i="6"/>
  <c r="P57" i="6"/>
  <c r="P59" i="6" s="1"/>
  <c r="O57" i="6"/>
  <c r="O59" i="6" s="1"/>
  <c r="N57" i="6"/>
  <c r="N59" i="6" s="1"/>
  <c r="M57" i="6"/>
  <c r="M59" i="6" s="1"/>
  <c r="L57" i="6"/>
  <c r="L59" i="6" s="1"/>
  <c r="K57" i="6"/>
  <c r="K59" i="6" s="1"/>
  <c r="J57" i="6"/>
  <c r="J59" i="6" s="1"/>
  <c r="I57" i="6"/>
  <c r="I59" i="6" s="1"/>
  <c r="H57" i="6"/>
  <c r="H59" i="6" s="1"/>
  <c r="G57" i="6"/>
  <c r="G59" i="6" s="1"/>
  <c r="F57" i="6"/>
  <c r="F59" i="6" s="1"/>
  <c r="E57" i="6"/>
  <c r="E59" i="6" s="1"/>
  <c r="D57" i="6"/>
  <c r="D59" i="6" s="1"/>
  <c r="C57" i="6"/>
  <c r="C59" i="6" s="1"/>
  <c r="B57" i="6"/>
  <c r="B59" i="6" s="1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B55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C51" i="6"/>
  <c r="C55" i="6" s="1"/>
  <c r="F43" i="6"/>
  <c r="D43" i="6"/>
  <c r="B43" i="6"/>
  <c r="G42" i="6"/>
  <c r="G44" i="6" s="1"/>
  <c r="G45" i="6" s="1"/>
  <c r="F42" i="6"/>
  <c r="F44" i="6" s="1"/>
  <c r="F45" i="6" s="1"/>
  <c r="E42" i="6"/>
  <c r="D42" i="6"/>
  <c r="D44" i="6" s="1"/>
  <c r="D45" i="6" s="1"/>
  <c r="C42" i="6"/>
  <c r="C44" i="6" s="1"/>
  <c r="C45" i="6" s="1"/>
  <c r="B42" i="6"/>
  <c r="B44" i="6" s="1"/>
  <c r="B45" i="6" s="1"/>
  <c r="B40" i="6"/>
  <c r="G39" i="6"/>
  <c r="G43" i="6" s="1"/>
  <c r="F39" i="6"/>
  <c r="E39" i="6"/>
  <c r="E43" i="6" s="1"/>
  <c r="D39" i="6"/>
  <c r="C39" i="6"/>
  <c r="C43" i="6" s="1"/>
  <c r="B39" i="6"/>
  <c r="G38" i="6"/>
  <c r="F38" i="6"/>
  <c r="E38" i="6"/>
  <c r="D38" i="6"/>
  <c r="C38" i="6"/>
  <c r="B38" i="6"/>
  <c r="C35" i="6"/>
  <c r="D35" i="6" s="1"/>
  <c r="E35" i="6" s="1"/>
  <c r="F35" i="6" s="1"/>
  <c r="G35" i="6" s="1"/>
  <c r="G26" i="6"/>
  <c r="F26" i="6"/>
  <c r="E26" i="6"/>
  <c r="D26" i="6"/>
  <c r="C26" i="6"/>
  <c r="B26" i="6"/>
  <c r="G25" i="6"/>
  <c r="F25" i="6"/>
  <c r="E25" i="6"/>
  <c r="D25" i="6"/>
  <c r="C25" i="6"/>
  <c r="B25" i="6"/>
  <c r="G23" i="6"/>
  <c r="G29" i="6" s="1"/>
  <c r="F23" i="6"/>
  <c r="F29" i="6" s="1"/>
  <c r="E23" i="6"/>
  <c r="E29" i="6" s="1"/>
  <c r="D23" i="6"/>
  <c r="D29" i="6" s="1"/>
  <c r="C23" i="6"/>
  <c r="C29" i="6" s="1"/>
  <c r="B23" i="6"/>
  <c r="B29" i="6" s="1"/>
  <c r="G22" i="6"/>
  <c r="G30" i="6" s="1"/>
  <c r="F22" i="6"/>
  <c r="F28" i="6" s="1"/>
  <c r="E22" i="6"/>
  <c r="E30" i="6" s="1"/>
  <c r="D22" i="6"/>
  <c r="D30" i="6" s="1"/>
  <c r="C22" i="6"/>
  <c r="C30" i="6" s="1"/>
  <c r="B22" i="6"/>
  <c r="B30" i="6" s="1"/>
  <c r="G18" i="6"/>
  <c r="F18" i="6"/>
  <c r="E18" i="6"/>
  <c r="D18" i="6"/>
  <c r="C18" i="6"/>
  <c r="B18" i="6"/>
  <c r="G17" i="6"/>
  <c r="F17" i="6"/>
  <c r="E17" i="6"/>
  <c r="D17" i="6"/>
  <c r="C17" i="6"/>
  <c r="B17" i="6"/>
  <c r="G14" i="6"/>
  <c r="F14" i="6"/>
  <c r="E14" i="6"/>
  <c r="D14" i="6"/>
  <c r="C14" i="6"/>
  <c r="B14" i="6"/>
  <c r="G12" i="6"/>
  <c r="F12" i="6"/>
  <c r="E12" i="6"/>
  <c r="D12" i="6"/>
  <c r="C12" i="6"/>
  <c r="B12" i="6"/>
  <c r="G10" i="6"/>
  <c r="F10" i="6"/>
  <c r="E10" i="6"/>
  <c r="D10" i="6"/>
  <c r="C10" i="6"/>
  <c r="B10" i="6"/>
  <c r="G8" i="6"/>
  <c r="H8" i="6" s="1"/>
  <c r="F8" i="6"/>
  <c r="E8" i="6"/>
  <c r="D8" i="6"/>
  <c r="C8" i="6"/>
  <c r="B8" i="6"/>
  <c r="G5" i="6"/>
  <c r="F5" i="6"/>
  <c r="E5" i="6"/>
  <c r="D5" i="6"/>
  <c r="C5" i="6"/>
  <c r="B5" i="6"/>
  <c r="G3" i="6"/>
  <c r="F3" i="6"/>
  <c r="C3" i="6"/>
  <c r="AV94" i="2"/>
  <c r="AU94" i="2"/>
  <c r="AT94" i="2"/>
  <c r="AS94" i="2"/>
  <c r="AR94" i="2"/>
  <c r="AQ94" i="2"/>
  <c r="AK94" i="2"/>
  <c r="AC94" i="2"/>
  <c r="AV90" i="2"/>
  <c r="AU90" i="2"/>
  <c r="AT90" i="2"/>
  <c r="AS90" i="2"/>
  <c r="AR90" i="2"/>
  <c r="AQ90" i="2"/>
  <c r="AP90" i="2"/>
  <c r="AP94" i="2" s="1"/>
  <c r="AO90" i="2"/>
  <c r="AO94" i="2" s="1"/>
  <c r="AN90" i="2"/>
  <c r="AN94" i="2" s="1"/>
  <c r="AM90" i="2"/>
  <c r="AM94" i="2" s="1"/>
  <c r="AL90" i="2"/>
  <c r="AL94" i="2" s="1"/>
  <c r="AK90" i="2"/>
  <c r="AJ90" i="2"/>
  <c r="AJ94" i="2" s="1"/>
  <c r="AI90" i="2"/>
  <c r="AI94" i="2" s="1"/>
  <c r="AH90" i="2"/>
  <c r="AH94" i="2" s="1"/>
  <c r="AG90" i="2"/>
  <c r="AG94" i="2" s="1"/>
  <c r="AF90" i="2"/>
  <c r="AF94" i="2" s="1"/>
  <c r="AE90" i="2"/>
  <c r="AE94" i="2" s="1"/>
  <c r="AD90" i="2"/>
  <c r="AD94" i="2" s="1"/>
  <c r="AC90" i="2"/>
  <c r="AB90" i="2"/>
  <c r="AB94" i="2" s="1"/>
  <c r="AA90" i="2"/>
  <c r="AA94" i="2" s="1"/>
  <c r="BA86" i="2"/>
  <c r="AV81" i="2"/>
  <c r="AU81" i="2"/>
  <c r="AT81" i="2"/>
  <c r="AS81" i="2"/>
  <c r="AR81" i="2"/>
  <c r="AQ81" i="2"/>
  <c r="AO81" i="2"/>
  <c r="AN81" i="2"/>
  <c r="AM81" i="2"/>
  <c r="AI81" i="2"/>
  <c r="AG81" i="2"/>
  <c r="AE81" i="2"/>
  <c r="AB81" i="2"/>
  <c r="Y81" i="2"/>
  <c r="AV80" i="2"/>
  <c r="AU80" i="2"/>
  <c r="AT80" i="2"/>
  <c r="AS80" i="2"/>
  <c r="AR80" i="2"/>
  <c r="AQ80" i="2"/>
  <c r="AV79" i="2"/>
  <c r="AQ79" i="2"/>
  <c r="AO79" i="2"/>
  <c r="AN79" i="2"/>
  <c r="AJ79" i="2"/>
  <c r="AI79" i="2"/>
  <c r="AF79" i="2"/>
  <c r="AC79" i="2"/>
  <c r="AA79" i="2"/>
  <c r="Y79" i="2"/>
  <c r="AV78" i="2"/>
  <c r="AU78" i="2"/>
  <c r="AT78" i="2"/>
  <c r="AS78" i="2"/>
  <c r="AU79" i="2" s="1"/>
  <c r="AR78" i="2"/>
  <c r="AQ78" i="2"/>
  <c r="AR79" i="2" s="1"/>
  <c r="AP78" i="2"/>
  <c r="AP81" i="2" s="1"/>
  <c r="AO78" i="2"/>
  <c r="AN78" i="2"/>
  <c r="AM78" i="2"/>
  <c r="AL78" i="2"/>
  <c r="AL81" i="2" s="1"/>
  <c r="AK78" i="2"/>
  <c r="AJ78" i="2"/>
  <c r="AI78" i="2"/>
  <c r="AH78" i="2"/>
  <c r="AH81" i="2" s="1"/>
  <c r="AG78" i="2"/>
  <c r="AF78" i="2"/>
  <c r="AE78" i="2"/>
  <c r="AG79" i="2" s="1"/>
  <c r="AD78" i="2"/>
  <c r="AD81" i="2" s="1"/>
  <c r="AC78" i="2"/>
  <c r="AC81" i="2" s="1"/>
  <c r="AB78" i="2"/>
  <c r="AA78" i="2"/>
  <c r="AA81" i="2" s="1"/>
  <c r="Z78" i="2"/>
  <c r="Z81" i="2" s="1"/>
  <c r="Y78" i="2"/>
  <c r="Z79" i="2" s="1"/>
  <c r="AW76" i="2"/>
  <c r="AV76" i="2"/>
  <c r="AU76" i="2"/>
  <c r="AT76" i="2"/>
  <c r="AS76" i="2"/>
  <c r="AR76" i="2"/>
  <c r="AW73" i="2" s="1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AV66" i="2"/>
  <c r="AV65" i="2"/>
  <c r="AU65" i="2"/>
  <c r="AT65" i="2"/>
  <c r="AT67" i="2" s="1"/>
  <c r="AS65" i="2"/>
  <c r="AR65" i="2"/>
  <c r="AQ65" i="2"/>
  <c r="AY64" i="2"/>
  <c r="AV63" i="2"/>
  <c r="AU63" i="2"/>
  <c r="AT63" i="2"/>
  <c r="AT66" i="2" s="1"/>
  <c r="AS63" i="2"/>
  <c r="AS66" i="2" s="1"/>
  <c r="AR63" i="2"/>
  <c r="AQ63" i="2"/>
  <c r="AQ66" i="2" s="1"/>
  <c r="AY61" i="2"/>
  <c r="AV61" i="2"/>
  <c r="AU61" i="2"/>
  <c r="AT61" i="2"/>
  <c r="AP60" i="2"/>
  <c r="AO60" i="2"/>
  <c r="AL60" i="2"/>
  <c r="AK60" i="2"/>
  <c r="AJ60" i="2"/>
  <c r="AI60" i="2"/>
  <c r="AH60" i="2"/>
  <c r="AG60" i="2"/>
  <c r="AF60" i="2"/>
  <c r="AE60" i="2"/>
  <c r="AD60" i="2"/>
  <c r="AB60" i="2"/>
  <c r="Y60" i="2"/>
  <c r="AY59" i="2"/>
  <c r="AV59" i="2"/>
  <c r="AU59" i="2"/>
  <c r="AT59" i="2"/>
  <c r="AT60" i="2" s="1"/>
  <c r="AS59" i="2"/>
  <c r="AR59" i="2"/>
  <c r="AQ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V58" i="2"/>
  <c r="AU58" i="2"/>
  <c r="AU60" i="2" s="1"/>
  <c r="AT58" i="2"/>
  <c r="AS58" i="2"/>
  <c r="AS60" i="2" s="1"/>
  <c r="AR58" i="2"/>
  <c r="AQ58" i="2"/>
  <c r="AQ60" i="2" s="1"/>
  <c r="AC58" i="2"/>
  <c r="AC60" i="2" s="1"/>
  <c r="AB58" i="2"/>
  <c r="AA58" i="2"/>
  <c r="Z58" i="2"/>
  <c r="Z60" i="2" s="1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V57" i="2"/>
  <c r="AY57" i="2" s="1"/>
  <c r="AU57" i="2"/>
  <c r="AT57" i="2"/>
  <c r="AS57" i="2"/>
  <c r="AR57" i="2"/>
  <c r="AQ57" i="2"/>
  <c r="AY56" i="2"/>
  <c r="AR55" i="2"/>
  <c r="AO54" i="2"/>
  <c r="AO55" i="2" s="1"/>
  <c r="AJ54" i="2"/>
  <c r="AJ55" i="2" s="1"/>
  <c r="AH54" i="2"/>
  <c r="AH55" i="2" s="1"/>
  <c r="AD54" i="2"/>
  <c r="AD55" i="2" s="1"/>
  <c r="AC54" i="2"/>
  <c r="AC55" i="2" s="1"/>
  <c r="AS53" i="2"/>
  <c r="AP53" i="2"/>
  <c r="AP54" i="2" s="1"/>
  <c r="AP55" i="2" s="1"/>
  <c r="AO53" i="2"/>
  <c r="AL53" i="2"/>
  <c r="AL54" i="2" s="1"/>
  <c r="AL55" i="2" s="1"/>
  <c r="AK53" i="2"/>
  <c r="AJ53" i="2"/>
  <c r="AI53" i="2"/>
  <c r="AH53" i="2"/>
  <c r="AG53" i="2"/>
  <c r="AF53" i="2"/>
  <c r="AE53" i="2"/>
  <c r="AD53" i="2"/>
  <c r="AC53" i="2"/>
  <c r="U53" i="2"/>
  <c r="AT52" i="2"/>
  <c r="AP52" i="2"/>
  <c r="AO52" i="2"/>
  <c r="AL52" i="2"/>
  <c r="AK52" i="2"/>
  <c r="AJ52" i="2"/>
  <c r="AI52" i="2"/>
  <c r="AH52" i="2"/>
  <c r="AG52" i="2"/>
  <c r="AF52" i="2"/>
  <c r="AE52" i="2"/>
  <c r="AD52" i="2"/>
  <c r="AC52" i="2"/>
  <c r="AA52" i="2"/>
  <c r="Y52" i="2"/>
  <c r="E52" i="2"/>
  <c r="AU51" i="2"/>
  <c r="AQ51" i="2"/>
  <c r="AP51" i="2"/>
  <c r="AO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P51" i="2"/>
  <c r="O51" i="2"/>
  <c r="D51" i="2"/>
  <c r="AV50" i="2"/>
  <c r="AQ50" i="2"/>
  <c r="AP50" i="2"/>
  <c r="AO50" i="2"/>
  <c r="AL50" i="2"/>
  <c r="AK50" i="2"/>
  <c r="AK54" i="2" s="1"/>
  <c r="AK55" i="2" s="1"/>
  <c r="AJ50" i="2"/>
  <c r="AI50" i="2"/>
  <c r="AH50" i="2"/>
  <c r="AG50" i="2"/>
  <c r="AG54" i="2" s="1"/>
  <c r="AG55" i="2" s="1"/>
  <c r="AF50" i="2"/>
  <c r="AF54" i="2" s="1"/>
  <c r="AF55" i="2" s="1"/>
  <c r="AE50" i="2"/>
  <c r="AD50" i="2"/>
  <c r="AC50" i="2"/>
  <c r="Z50" i="2"/>
  <c r="Y50" i="2"/>
  <c r="W50" i="2"/>
  <c r="G50" i="2"/>
  <c r="AV47" i="2"/>
  <c r="AU47" i="2"/>
  <c r="AT47" i="2"/>
  <c r="AT53" i="2" s="1"/>
  <c r="AT54" i="2" s="1"/>
  <c r="AT55" i="2" s="1"/>
  <c r="AS47" i="2"/>
  <c r="AR47" i="2"/>
  <c r="AQ47" i="2"/>
  <c r="AQ53" i="2" s="1"/>
  <c r="AA47" i="2"/>
  <c r="AA53" i="2" s="1"/>
  <c r="Z47" i="2"/>
  <c r="Y47" i="2"/>
  <c r="Y53" i="2" s="1"/>
  <c r="X47" i="2"/>
  <c r="X53" i="2" s="1"/>
  <c r="W47" i="2"/>
  <c r="V47" i="2"/>
  <c r="U47" i="2"/>
  <c r="T47" i="2"/>
  <c r="T53" i="2" s="1"/>
  <c r="S47" i="2"/>
  <c r="R47" i="2"/>
  <c r="Q47" i="2"/>
  <c r="Q53" i="2" s="1"/>
  <c r="P47" i="2"/>
  <c r="P53" i="2" s="1"/>
  <c r="O47" i="2"/>
  <c r="N47" i="2"/>
  <c r="M47" i="2"/>
  <c r="M53" i="2" s="1"/>
  <c r="L47" i="2"/>
  <c r="L53" i="2" s="1"/>
  <c r="K47" i="2"/>
  <c r="J47" i="2"/>
  <c r="I47" i="2"/>
  <c r="I53" i="2" s="1"/>
  <c r="H47" i="2"/>
  <c r="H53" i="2" s="1"/>
  <c r="G47" i="2"/>
  <c r="F47" i="2"/>
  <c r="E47" i="2"/>
  <c r="E53" i="2" s="1"/>
  <c r="D47" i="2"/>
  <c r="D53" i="2" s="1"/>
  <c r="C47" i="2"/>
  <c r="B47" i="2"/>
  <c r="AV46" i="2"/>
  <c r="AW46" i="2" s="1"/>
  <c r="AU46" i="2"/>
  <c r="AT46" i="2"/>
  <c r="AS46" i="2"/>
  <c r="AS52" i="2" s="1"/>
  <c r="AR46" i="2"/>
  <c r="AQ46" i="2"/>
  <c r="AA46" i="2"/>
  <c r="Z46" i="2"/>
  <c r="Z52" i="2" s="1"/>
  <c r="Y46" i="2"/>
  <c r="X46" i="2"/>
  <c r="W46" i="2"/>
  <c r="W52" i="2" s="1"/>
  <c r="V46" i="2"/>
  <c r="V52" i="2" s="1"/>
  <c r="U46" i="2"/>
  <c r="T46" i="2"/>
  <c r="S46" i="2"/>
  <c r="S52" i="2" s="1"/>
  <c r="R46" i="2"/>
  <c r="R52" i="2" s="1"/>
  <c r="Q46" i="2"/>
  <c r="P46" i="2"/>
  <c r="O46" i="2"/>
  <c r="O52" i="2" s="1"/>
  <c r="N46" i="2"/>
  <c r="N52" i="2" s="1"/>
  <c r="M46" i="2"/>
  <c r="L46" i="2"/>
  <c r="K46" i="2"/>
  <c r="K52" i="2" s="1"/>
  <c r="J46" i="2"/>
  <c r="J52" i="2" s="1"/>
  <c r="I46" i="2"/>
  <c r="H46" i="2"/>
  <c r="G46" i="2"/>
  <c r="G52" i="2" s="1"/>
  <c r="F46" i="2"/>
  <c r="F52" i="2" s="1"/>
  <c r="E46" i="2"/>
  <c r="D46" i="2"/>
  <c r="C46" i="2"/>
  <c r="C52" i="2" s="1"/>
  <c r="B46" i="2"/>
  <c r="B52" i="2" s="1"/>
  <c r="AW44" i="2"/>
  <c r="AV44" i="2"/>
  <c r="AU44" i="2"/>
  <c r="AT44" i="2"/>
  <c r="AT51" i="2" s="1"/>
  <c r="AS44" i="2"/>
  <c r="AS51" i="2" s="1"/>
  <c r="AR44" i="2"/>
  <c r="AQ44" i="2"/>
  <c r="Z44" i="2"/>
  <c r="Z51" i="2" s="1"/>
  <c r="Y44" i="2"/>
  <c r="Y51" i="2" s="1"/>
  <c r="Y54" i="2" s="1"/>
  <c r="Y55" i="2" s="1"/>
  <c r="X44" i="2"/>
  <c r="W44" i="2"/>
  <c r="V44" i="2"/>
  <c r="U44" i="2"/>
  <c r="U51" i="2" s="1"/>
  <c r="T44" i="2"/>
  <c r="S44" i="2"/>
  <c r="R44" i="2"/>
  <c r="Q44" i="2"/>
  <c r="Q51" i="2" s="1"/>
  <c r="P44" i="2"/>
  <c r="O44" i="2"/>
  <c r="N44" i="2"/>
  <c r="M44" i="2"/>
  <c r="M51" i="2" s="1"/>
  <c r="L44" i="2"/>
  <c r="K44" i="2"/>
  <c r="J44" i="2"/>
  <c r="I44" i="2"/>
  <c r="I51" i="2" s="1"/>
  <c r="H44" i="2"/>
  <c r="G44" i="2"/>
  <c r="F44" i="2"/>
  <c r="E44" i="2"/>
  <c r="E51" i="2" s="1"/>
  <c r="D44" i="2"/>
  <c r="C44" i="2"/>
  <c r="B44" i="2"/>
  <c r="AW43" i="2"/>
  <c r="AV43" i="2"/>
  <c r="AU43" i="2"/>
  <c r="AT43" i="2"/>
  <c r="AT50" i="2" s="1"/>
  <c r="AS43" i="2"/>
  <c r="AS50" i="2" s="1"/>
  <c r="AS54" i="2" s="1"/>
  <c r="AS55" i="2" s="1"/>
  <c r="AR43" i="2"/>
  <c r="AQ43" i="2"/>
  <c r="AB43" i="2"/>
  <c r="AB50" i="2" s="1"/>
  <c r="AA43" i="2"/>
  <c r="AA50" i="2" s="1"/>
  <c r="AA54" i="2" s="1"/>
  <c r="AA55" i="2" s="1"/>
  <c r="Y43" i="2"/>
  <c r="X43" i="2"/>
  <c r="W43" i="2"/>
  <c r="V43" i="2"/>
  <c r="V50" i="2" s="1"/>
  <c r="U43" i="2"/>
  <c r="T43" i="2"/>
  <c r="S43" i="2"/>
  <c r="S50" i="2" s="1"/>
  <c r="R43" i="2"/>
  <c r="R50" i="2" s="1"/>
  <c r="Q43" i="2"/>
  <c r="P43" i="2"/>
  <c r="O43" i="2"/>
  <c r="N43" i="2"/>
  <c r="N50" i="2" s="1"/>
  <c r="M43" i="2"/>
  <c r="L43" i="2"/>
  <c r="K43" i="2"/>
  <c r="J43" i="2"/>
  <c r="J50" i="2" s="1"/>
  <c r="I43" i="2"/>
  <c r="H43" i="2"/>
  <c r="G43" i="2"/>
  <c r="F43" i="2"/>
  <c r="F50" i="2" s="1"/>
  <c r="E43" i="2"/>
  <c r="D43" i="2"/>
  <c r="C43" i="2"/>
  <c r="C50" i="2" s="1"/>
  <c r="B43" i="2"/>
  <c r="B50" i="2" s="1"/>
  <c r="Y42" i="2"/>
  <c r="Q39" i="2"/>
  <c r="M39" i="2"/>
  <c r="L39" i="2"/>
  <c r="W38" i="2"/>
  <c r="S38" i="2"/>
  <c r="Q38" i="2"/>
  <c r="G38" i="2"/>
  <c r="C38" i="2"/>
  <c r="B38" i="2"/>
  <c r="AD36" i="2"/>
  <c r="AT33" i="2"/>
  <c r="AP33" i="2"/>
  <c r="AD33" i="2"/>
  <c r="Z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V32" i="2"/>
  <c r="AW32" i="2" s="1"/>
  <c r="AU32" i="2"/>
  <c r="AR32" i="2"/>
  <c r="AR53" i="2" s="1"/>
  <c r="AQ32" i="2"/>
  <c r="AN32" i="2"/>
  <c r="AN53" i="2" s="1"/>
  <c r="AM32" i="2"/>
  <c r="AM53" i="2" s="1"/>
  <c r="Z32" i="2"/>
  <c r="Z53" i="2" s="1"/>
  <c r="Y32" i="2"/>
  <c r="X32" i="2"/>
  <c r="W32" i="2"/>
  <c r="V32" i="2"/>
  <c r="V53" i="2" s="1"/>
  <c r="U32" i="2"/>
  <c r="T32" i="2"/>
  <c r="S32" i="2"/>
  <c r="R32" i="2"/>
  <c r="Q32" i="2"/>
  <c r="P32" i="2"/>
  <c r="O32" i="2"/>
  <c r="N32" i="2"/>
  <c r="N53" i="2" s="1"/>
  <c r="M32" i="2"/>
  <c r="L32" i="2"/>
  <c r="K32" i="2"/>
  <c r="J32" i="2"/>
  <c r="J53" i="2" s="1"/>
  <c r="I32" i="2"/>
  <c r="H32" i="2"/>
  <c r="G32" i="2"/>
  <c r="F32" i="2"/>
  <c r="F53" i="2" s="1"/>
  <c r="E32" i="2"/>
  <c r="D32" i="2"/>
  <c r="C32" i="2"/>
  <c r="B32" i="2"/>
  <c r="AV31" i="2"/>
  <c r="AV67" i="2" s="1"/>
  <c r="AU31" i="2"/>
  <c r="AR31" i="2"/>
  <c r="AQ31" i="2"/>
  <c r="AN31" i="2"/>
  <c r="AN52" i="2" s="1"/>
  <c r="AM31" i="2"/>
  <c r="AM52" i="2" s="1"/>
  <c r="X31" i="2"/>
  <c r="X52" i="2" s="1"/>
  <c r="W31" i="2"/>
  <c r="V31" i="2"/>
  <c r="U31" i="2"/>
  <c r="U52" i="2" s="1"/>
  <c r="T31" i="2"/>
  <c r="T52" i="2" s="1"/>
  <c r="S31" i="2"/>
  <c r="R31" i="2"/>
  <c r="Q31" i="2"/>
  <c r="Q52" i="2" s="1"/>
  <c r="P31" i="2"/>
  <c r="P52" i="2" s="1"/>
  <c r="O31" i="2"/>
  <c r="N31" i="2"/>
  <c r="M31" i="2"/>
  <c r="M52" i="2" s="1"/>
  <c r="L31" i="2"/>
  <c r="K31" i="2"/>
  <c r="J31" i="2"/>
  <c r="I31" i="2"/>
  <c r="I52" i="2" s="1"/>
  <c r="H31" i="2"/>
  <c r="H52" i="2" s="1"/>
  <c r="G31" i="2"/>
  <c r="F31" i="2"/>
  <c r="E31" i="2"/>
  <c r="D31" i="2"/>
  <c r="D52" i="2" s="1"/>
  <c r="C31" i="2"/>
  <c r="B31" i="2"/>
  <c r="AV30" i="2"/>
  <c r="AU30" i="2"/>
  <c r="AR30" i="2"/>
  <c r="AR51" i="2" s="1"/>
  <c r="AQ30" i="2"/>
  <c r="AQ33" i="2" s="1"/>
  <c r="AN30" i="2"/>
  <c r="AN51" i="2" s="1"/>
  <c r="AM30" i="2"/>
  <c r="X30" i="2"/>
  <c r="X51" i="2" s="1"/>
  <c r="W30" i="2"/>
  <c r="W37" i="2" s="1"/>
  <c r="V30" i="2"/>
  <c r="V37" i="2" s="1"/>
  <c r="U30" i="2"/>
  <c r="T30" i="2"/>
  <c r="T51" i="2" s="1"/>
  <c r="S30" i="2"/>
  <c r="S37" i="2" s="1"/>
  <c r="R30" i="2"/>
  <c r="R37" i="2" s="1"/>
  <c r="Q30" i="2"/>
  <c r="P30" i="2"/>
  <c r="O30" i="2"/>
  <c r="O37" i="2" s="1"/>
  <c r="N30" i="2"/>
  <c r="N37" i="2" s="1"/>
  <c r="M30" i="2"/>
  <c r="L30" i="2"/>
  <c r="L51" i="2" s="1"/>
  <c r="K30" i="2"/>
  <c r="K51" i="2" s="1"/>
  <c r="J30" i="2"/>
  <c r="J37" i="2" s="1"/>
  <c r="I30" i="2"/>
  <c r="H30" i="2"/>
  <c r="H51" i="2" s="1"/>
  <c r="G30" i="2"/>
  <c r="G37" i="2" s="1"/>
  <c r="F30" i="2"/>
  <c r="F37" i="2" s="1"/>
  <c r="E30" i="2"/>
  <c r="D30" i="2"/>
  <c r="C30" i="2"/>
  <c r="C37" i="2" s="1"/>
  <c r="B30" i="2"/>
  <c r="B37" i="2" s="1"/>
  <c r="AY29" i="2"/>
  <c r="AU29" i="2"/>
  <c r="AU50" i="2" s="1"/>
  <c r="AR29" i="2"/>
  <c r="AQ29" i="2"/>
  <c r="AN29" i="2"/>
  <c r="AM29" i="2"/>
  <c r="AM60" i="2" s="1"/>
  <c r="X29" i="2"/>
  <c r="W29" i="2"/>
  <c r="V29" i="2"/>
  <c r="U29" i="2"/>
  <c r="U60" i="2" s="1"/>
  <c r="T29" i="2"/>
  <c r="T60" i="2" s="1"/>
  <c r="S29" i="2"/>
  <c r="R29" i="2"/>
  <c r="Q29" i="2"/>
  <c r="Q60" i="2" s="1"/>
  <c r="P29" i="2"/>
  <c r="O29" i="2"/>
  <c r="O50" i="2" s="1"/>
  <c r="N29" i="2"/>
  <c r="M29" i="2"/>
  <c r="M50" i="2" s="1"/>
  <c r="M54" i="2" s="1"/>
  <c r="M55" i="2" s="1"/>
  <c r="L29" i="2"/>
  <c r="K29" i="2"/>
  <c r="K50" i="2" s="1"/>
  <c r="J29" i="2"/>
  <c r="I29" i="2"/>
  <c r="H29" i="2"/>
  <c r="G29" i="2"/>
  <c r="F29" i="2"/>
  <c r="E29" i="2"/>
  <c r="E60" i="2" s="1"/>
  <c r="D29" i="2"/>
  <c r="C29" i="2"/>
  <c r="B29" i="2"/>
  <c r="AS25" i="2"/>
  <c r="AO25" i="2"/>
  <c r="AK25" i="2"/>
  <c r="AG25" i="2"/>
  <c r="AC25" i="2"/>
  <c r="Y25" i="2"/>
  <c r="Y39" i="2" s="1"/>
  <c r="AS24" i="2"/>
  <c r="AO24" i="2"/>
  <c r="AK24" i="2"/>
  <c r="AG24" i="2"/>
  <c r="AC24" i="2"/>
  <c r="Y24" i="2"/>
  <c r="AS23" i="2"/>
  <c r="AO23" i="2"/>
  <c r="AK23" i="2"/>
  <c r="AG23" i="2"/>
  <c r="AC23" i="2"/>
  <c r="AH22" i="2"/>
  <c r="AH36" i="2" s="1"/>
  <c r="AD22" i="2"/>
  <c r="AG19" i="2"/>
  <c r="AF19" i="2"/>
  <c r="AC19" i="2"/>
  <c r="AB19" i="2"/>
  <c r="AS18" i="2"/>
  <c r="AR18" i="2"/>
  <c r="AO18" i="2"/>
  <c r="AN18" i="2"/>
  <c r="AK18" i="2"/>
  <c r="AJ18" i="2"/>
  <c r="AG18" i="2"/>
  <c r="AF18" i="2"/>
  <c r="AC18" i="2"/>
  <c r="AB18" i="2"/>
  <c r="AS17" i="2"/>
  <c r="AR17" i="2"/>
  <c r="AQ17" i="2"/>
  <c r="AO17" i="2"/>
  <c r="AN17" i="2"/>
  <c r="AM17" i="2"/>
  <c r="AK17" i="2"/>
  <c r="AJ17" i="2"/>
  <c r="AI17" i="2"/>
  <c r="AG17" i="2"/>
  <c r="AF17" i="2"/>
  <c r="AE17" i="2"/>
  <c r="AC17" i="2"/>
  <c r="AB17" i="2"/>
  <c r="AA17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V14" i="2"/>
  <c r="AV8" i="2" s="1"/>
  <c r="AU14" i="2"/>
  <c r="AT14" i="2"/>
  <c r="AT16" i="2" s="1"/>
  <c r="AS14" i="2"/>
  <c r="AS33" i="2" s="1"/>
  <c r="AR14" i="2"/>
  <c r="AR25" i="2" s="1"/>
  <c r="AQ14" i="2"/>
  <c r="AQ18" i="2" s="1"/>
  <c r="AP14" i="2"/>
  <c r="AO14" i="2"/>
  <c r="AO33" i="2" s="1"/>
  <c r="AN14" i="2"/>
  <c r="AN25" i="2" s="1"/>
  <c r="AM14" i="2"/>
  <c r="AM18" i="2" s="1"/>
  <c r="AL14" i="2"/>
  <c r="AL22" i="2" s="1"/>
  <c r="AK14" i="2"/>
  <c r="AK33" i="2" s="1"/>
  <c r="AJ14" i="2"/>
  <c r="AJ25" i="2" s="1"/>
  <c r="AI14" i="2"/>
  <c r="AI18" i="2" s="1"/>
  <c r="AH14" i="2"/>
  <c r="AH33" i="2" s="1"/>
  <c r="AG14" i="2"/>
  <c r="AG33" i="2" s="1"/>
  <c r="AF14" i="2"/>
  <c r="AF25" i="2" s="1"/>
  <c r="AE14" i="2"/>
  <c r="AE19" i="2" s="1"/>
  <c r="AD14" i="2"/>
  <c r="AC14" i="2"/>
  <c r="AC33" i="2" s="1"/>
  <c r="AB14" i="2"/>
  <c r="AB25" i="2" s="1"/>
  <c r="AA14" i="2"/>
  <c r="AA19" i="2" s="1"/>
  <c r="Z14" i="2"/>
  <c r="Y14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W13" i="2"/>
  <c r="Y13" i="2"/>
  <c r="X13" i="2"/>
  <c r="X39" i="2" s="1"/>
  <c r="W13" i="2"/>
  <c r="W39" i="2" s="1"/>
  <c r="V13" i="2"/>
  <c r="U13" i="2"/>
  <c r="U39" i="2" s="1"/>
  <c r="T13" i="2"/>
  <c r="T39" i="2" s="1"/>
  <c r="S13" i="2"/>
  <c r="S39" i="2" s="1"/>
  <c r="R13" i="2"/>
  <c r="Q13" i="2"/>
  <c r="P13" i="2"/>
  <c r="P39" i="2" s="1"/>
  <c r="O13" i="2"/>
  <c r="O39" i="2" s="1"/>
  <c r="N13" i="2"/>
  <c r="M13" i="2"/>
  <c r="L13" i="2"/>
  <c r="K13" i="2"/>
  <c r="K39" i="2" s="1"/>
  <c r="J13" i="2"/>
  <c r="I13" i="2"/>
  <c r="I39" i="2" s="1"/>
  <c r="H13" i="2"/>
  <c r="H39" i="2" s="1"/>
  <c r="G13" i="2"/>
  <c r="G39" i="2" s="1"/>
  <c r="F13" i="2"/>
  <c r="E13" i="2"/>
  <c r="E39" i="2" s="1"/>
  <c r="D13" i="2"/>
  <c r="D39" i="2" s="1"/>
  <c r="C13" i="2"/>
  <c r="C39" i="2" s="1"/>
  <c r="B13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W12" i="2"/>
  <c r="Y12" i="2"/>
  <c r="X12" i="2"/>
  <c r="X38" i="2" s="1"/>
  <c r="W12" i="2"/>
  <c r="V12" i="2"/>
  <c r="V38" i="2" s="1"/>
  <c r="U12" i="2"/>
  <c r="U38" i="2" s="1"/>
  <c r="T12" i="2"/>
  <c r="T38" i="2" s="1"/>
  <c r="S12" i="2"/>
  <c r="R12" i="2"/>
  <c r="R38" i="2" s="1"/>
  <c r="Q12" i="2"/>
  <c r="P12" i="2"/>
  <c r="P38" i="2" s="1"/>
  <c r="O12" i="2"/>
  <c r="O38" i="2" s="1"/>
  <c r="N12" i="2"/>
  <c r="N38" i="2" s="1"/>
  <c r="M12" i="2"/>
  <c r="M38" i="2" s="1"/>
  <c r="L12" i="2"/>
  <c r="L38" i="2" s="1"/>
  <c r="K12" i="2"/>
  <c r="K38" i="2" s="1"/>
  <c r="J12" i="2"/>
  <c r="J38" i="2" s="1"/>
  <c r="I12" i="2"/>
  <c r="I38" i="2" s="1"/>
  <c r="H12" i="2"/>
  <c r="H38" i="2" s="1"/>
  <c r="G12" i="2"/>
  <c r="F12" i="2"/>
  <c r="F38" i="2" s="1"/>
  <c r="E12" i="2"/>
  <c r="E38" i="2" s="1"/>
  <c r="D12" i="2"/>
  <c r="D38" i="2" s="1"/>
  <c r="C12" i="2"/>
  <c r="B12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W11" i="2"/>
  <c r="Y11" i="2"/>
  <c r="Y23" i="2" s="1"/>
  <c r="Y37" i="2" s="1"/>
  <c r="X11" i="2"/>
  <c r="X37" i="2" s="1"/>
  <c r="W11" i="2"/>
  <c r="V11" i="2"/>
  <c r="U11" i="2"/>
  <c r="U37" i="2" s="1"/>
  <c r="T11" i="2"/>
  <c r="T37" i="2" s="1"/>
  <c r="S11" i="2"/>
  <c r="R11" i="2"/>
  <c r="Q11" i="2"/>
  <c r="Q37" i="2" s="1"/>
  <c r="P11" i="2"/>
  <c r="P37" i="2" s="1"/>
  <c r="O11" i="2"/>
  <c r="N11" i="2"/>
  <c r="M11" i="2"/>
  <c r="M37" i="2" s="1"/>
  <c r="L11" i="2"/>
  <c r="L37" i="2" s="1"/>
  <c r="K11" i="2"/>
  <c r="J11" i="2"/>
  <c r="I11" i="2"/>
  <c r="I37" i="2" s="1"/>
  <c r="H11" i="2"/>
  <c r="H37" i="2" s="1"/>
  <c r="G11" i="2"/>
  <c r="F11" i="2"/>
  <c r="E11" i="2"/>
  <c r="E37" i="2" s="1"/>
  <c r="D11" i="2"/>
  <c r="D37" i="2" s="1"/>
  <c r="C11" i="2"/>
  <c r="B11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W10" i="2"/>
  <c r="AW14" i="2" s="1"/>
  <c r="Y10" i="2"/>
  <c r="X10" i="2"/>
  <c r="W10" i="2"/>
  <c r="W14" i="2" s="1"/>
  <c r="W40" i="2" s="1"/>
  <c r="V10" i="2"/>
  <c r="V36" i="2" s="1"/>
  <c r="U10" i="2"/>
  <c r="U36" i="2" s="1"/>
  <c r="T10" i="2"/>
  <c r="S10" i="2"/>
  <c r="S36" i="2" s="1"/>
  <c r="R10" i="2"/>
  <c r="R14" i="2" s="1"/>
  <c r="R40" i="2" s="1"/>
  <c r="Q10" i="2"/>
  <c r="Q36" i="2" s="1"/>
  <c r="P10" i="2"/>
  <c r="O10" i="2"/>
  <c r="O36" i="2" s="1"/>
  <c r="N10" i="2"/>
  <c r="N14" i="2" s="1"/>
  <c r="N40" i="2" s="1"/>
  <c r="M10" i="2"/>
  <c r="M36" i="2" s="1"/>
  <c r="L10" i="2"/>
  <c r="K10" i="2"/>
  <c r="K36" i="2" s="1"/>
  <c r="J10" i="2"/>
  <c r="J36" i="2" s="1"/>
  <c r="I10" i="2"/>
  <c r="I36" i="2" s="1"/>
  <c r="H10" i="2"/>
  <c r="G10" i="2"/>
  <c r="G14" i="2" s="1"/>
  <c r="G40" i="2" s="1"/>
  <c r="F10" i="2"/>
  <c r="F36" i="2" s="1"/>
  <c r="E10" i="2"/>
  <c r="E36" i="2" s="1"/>
  <c r="D10" i="2"/>
  <c r="C10" i="2"/>
  <c r="C36" i="2" s="1"/>
  <c r="B10" i="2"/>
  <c r="B14" i="2" s="1"/>
  <c r="B40" i="2" s="1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BB4" i="2"/>
  <c r="BC4" i="2" s="1"/>
  <c r="BD4" i="2" s="1"/>
  <c r="BE4" i="2" s="1"/>
  <c r="BF4" i="2" s="1"/>
  <c r="BG4" i="2" s="1"/>
  <c r="BH4" i="2" s="1"/>
  <c r="BI4" i="2" s="1"/>
  <c r="BJ4" i="2" s="1"/>
  <c r="BK4" i="2" s="1"/>
  <c r="BL4" i="2" s="1"/>
  <c r="BM4" i="2" s="1"/>
  <c r="BN4" i="2" s="1"/>
  <c r="BO4" i="2" s="1"/>
  <c r="BP4" i="2" s="1"/>
  <c r="BQ4" i="2" s="1"/>
  <c r="BR4" i="2" s="1"/>
  <c r="BS4" i="2" s="1"/>
  <c r="BT4" i="2" s="1"/>
  <c r="BU4" i="2" s="1"/>
  <c r="BV4" i="2" s="1"/>
  <c r="BW4" i="2" s="1"/>
  <c r="BX4" i="2" s="1"/>
  <c r="BY4" i="2" s="1"/>
  <c r="BZ4" i="2" s="1"/>
  <c r="CA4" i="2" s="1"/>
  <c r="CB4" i="2" s="1"/>
  <c r="CC4" i="2" s="1"/>
  <c r="CD4" i="2" s="1"/>
  <c r="BA4" i="2"/>
  <c r="AA3" i="2"/>
  <c r="Z3" i="2"/>
  <c r="Z42" i="2" s="1"/>
  <c r="X3" i="2"/>
  <c r="W3" i="2"/>
  <c r="V3" i="2"/>
  <c r="U3" i="2" s="1"/>
  <c r="T3" i="2" s="1"/>
  <c r="S3" i="2" s="1"/>
  <c r="R3" i="2"/>
  <c r="Q3" i="2" s="1"/>
  <c r="P3" i="2" s="1"/>
  <c r="O3" i="2" s="1"/>
  <c r="N3" i="2" s="1"/>
  <c r="M3" i="2" s="1"/>
  <c r="L3" i="2" s="1"/>
  <c r="K3" i="2" s="1"/>
  <c r="J3" i="2" s="1"/>
  <c r="I3" i="2" s="1"/>
  <c r="H3" i="2" s="1"/>
  <c r="G3" i="2" s="1"/>
  <c r="F3" i="2" s="1"/>
  <c r="E3" i="2" s="1"/>
  <c r="D3" i="2" s="1"/>
  <c r="C3" i="2" s="1"/>
  <c r="B3" i="2" s="1"/>
  <c r="B134" i="1"/>
  <c r="W115" i="1"/>
  <c r="H115" i="1"/>
  <c r="T114" i="1"/>
  <c r="T131" i="1" s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Y111" i="1"/>
  <c r="X111" i="1"/>
  <c r="W111" i="1"/>
  <c r="V111" i="1"/>
  <c r="U111" i="1"/>
  <c r="T111" i="1"/>
  <c r="T112" i="1" s="1"/>
  <c r="T130" i="1" s="1"/>
  <c r="S111" i="1"/>
  <c r="R111" i="1"/>
  <c r="Q111" i="1"/>
  <c r="P111" i="1"/>
  <c r="O111" i="1"/>
  <c r="N111" i="1"/>
  <c r="M111" i="1"/>
  <c r="L111" i="1"/>
  <c r="L112" i="1" s="1"/>
  <c r="L130" i="1" s="1"/>
  <c r="K111" i="1"/>
  <c r="J111" i="1"/>
  <c r="J112" i="1" s="1"/>
  <c r="J130" i="1" s="1"/>
  <c r="I111" i="1"/>
  <c r="H111" i="1"/>
  <c r="H112" i="1" s="1"/>
  <c r="H130" i="1" s="1"/>
  <c r="G111" i="1"/>
  <c r="F111" i="1"/>
  <c r="F112" i="1" s="1"/>
  <c r="F130" i="1" s="1"/>
  <c r="V109" i="1"/>
  <c r="F109" i="1"/>
  <c r="F110" i="1" s="1"/>
  <c r="F129" i="1" s="1"/>
  <c r="S104" i="1"/>
  <c r="X89" i="1"/>
  <c r="W89" i="1"/>
  <c r="R89" i="1"/>
  <c r="F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Y82" i="1"/>
  <c r="Y115" i="1" s="1"/>
  <c r="X82" i="1"/>
  <c r="X115" i="1" s="1"/>
  <c r="V82" i="1"/>
  <c r="V115" i="1" s="1"/>
  <c r="U82" i="1"/>
  <c r="U115" i="1" s="1"/>
  <c r="T82" i="1"/>
  <c r="T115" i="1" s="1"/>
  <c r="S82" i="1"/>
  <c r="S115" i="1" s="1"/>
  <c r="R82" i="1"/>
  <c r="R115" i="1" s="1"/>
  <c r="Q82" i="1"/>
  <c r="Q115" i="1" s="1"/>
  <c r="P82" i="1"/>
  <c r="P115" i="1" s="1"/>
  <c r="O82" i="1"/>
  <c r="O115" i="1" s="1"/>
  <c r="N82" i="1"/>
  <c r="N115" i="1" s="1"/>
  <c r="M82" i="1"/>
  <c r="M115" i="1" s="1"/>
  <c r="L82" i="1"/>
  <c r="L115" i="1" s="1"/>
  <c r="K82" i="1"/>
  <c r="K115" i="1" s="1"/>
  <c r="J82" i="1"/>
  <c r="J115" i="1" s="1"/>
  <c r="I82" i="1"/>
  <c r="I115" i="1" s="1"/>
  <c r="H82" i="1"/>
  <c r="G82" i="1"/>
  <c r="G115" i="1" s="1"/>
  <c r="F82" i="1"/>
  <c r="F115" i="1" s="1"/>
  <c r="E82" i="1"/>
  <c r="D82" i="1"/>
  <c r="C82" i="1"/>
  <c r="B82" i="1"/>
  <c r="X76" i="1"/>
  <c r="V76" i="1"/>
  <c r="U76" i="1"/>
  <c r="T76" i="1"/>
  <c r="S76" i="1"/>
  <c r="W75" i="1"/>
  <c r="W76" i="1" s="1"/>
  <c r="Y74" i="1"/>
  <c r="Y89" i="1" s="1"/>
  <c r="X74" i="1"/>
  <c r="V74" i="1"/>
  <c r="V89" i="1" s="1"/>
  <c r="U74" i="1"/>
  <c r="U89" i="1" s="1"/>
  <c r="T74" i="1"/>
  <c r="T89" i="1" s="1"/>
  <c r="S74" i="1"/>
  <c r="S89" i="1" s="1"/>
  <c r="R74" i="1"/>
  <c r="Q74" i="1"/>
  <c r="Q89" i="1" s="1"/>
  <c r="P74" i="1"/>
  <c r="P89" i="1" s="1"/>
  <c r="O74" i="1"/>
  <c r="O89" i="1" s="1"/>
  <c r="N74" i="1"/>
  <c r="N89" i="1" s="1"/>
  <c r="M74" i="1"/>
  <c r="M89" i="1" s="1"/>
  <c r="L74" i="1"/>
  <c r="L89" i="1" s="1"/>
  <c r="K74" i="1"/>
  <c r="K89" i="1" s="1"/>
  <c r="J74" i="1"/>
  <c r="J89" i="1" s="1"/>
  <c r="I74" i="1"/>
  <c r="I89" i="1" s="1"/>
  <c r="H74" i="1"/>
  <c r="H89" i="1" s="1"/>
  <c r="G74" i="1"/>
  <c r="G89" i="1" s="1"/>
  <c r="F74" i="1"/>
  <c r="E74" i="1"/>
  <c r="E89" i="1" s="1"/>
  <c r="D74" i="1"/>
  <c r="D89" i="1" s="1"/>
  <c r="C74" i="1"/>
  <c r="C89" i="1" s="1"/>
  <c r="Y69" i="1"/>
  <c r="X69" i="1"/>
  <c r="W69" i="1"/>
  <c r="V69" i="1"/>
  <c r="U69" i="1"/>
  <c r="A69" i="1"/>
  <c r="Y68" i="1"/>
  <c r="Y104" i="1" s="1"/>
  <c r="X68" i="1"/>
  <c r="X104" i="1" s="1"/>
  <c r="W68" i="1"/>
  <c r="W104" i="1" s="1"/>
  <c r="V68" i="1"/>
  <c r="V104" i="1" s="1"/>
  <c r="U68" i="1"/>
  <c r="U104" i="1" s="1"/>
  <c r="T68" i="1"/>
  <c r="T104" i="1" s="1"/>
  <c r="S68" i="1"/>
  <c r="R68" i="1"/>
  <c r="R104" i="1" s="1"/>
  <c r="Q68" i="1"/>
  <c r="Q104" i="1" s="1"/>
  <c r="P68" i="1"/>
  <c r="P104" i="1" s="1"/>
  <c r="O68" i="1"/>
  <c r="O104" i="1" s="1"/>
  <c r="N68" i="1"/>
  <c r="N104" i="1" s="1"/>
  <c r="M68" i="1"/>
  <c r="M104" i="1" s="1"/>
  <c r="L68" i="1"/>
  <c r="L104" i="1" s="1"/>
  <c r="K68" i="1"/>
  <c r="K104" i="1" s="1"/>
  <c r="J68" i="1"/>
  <c r="J104" i="1" s="1"/>
  <c r="I68" i="1"/>
  <c r="I104" i="1" s="1"/>
  <c r="H68" i="1"/>
  <c r="H104" i="1" s="1"/>
  <c r="G68" i="1"/>
  <c r="G104" i="1" s="1"/>
  <c r="F68" i="1"/>
  <c r="F104" i="1" s="1"/>
  <c r="E68" i="1"/>
  <c r="D68" i="1"/>
  <c r="C68" i="1"/>
  <c r="B68" i="1"/>
  <c r="A68" i="1"/>
  <c r="A61" i="1"/>
  <c r="W60" i="1"/>
  <c r="W109" i="1" s="1"/>
  <c r="W110" i="1" s="1"/>
  <c r="W129" i="1" s="1"/>
  <c r="V60" i="1"/>
  <c r="U60" i="1"/>
  <c r="U109" i="1" s="1"/>
  <c r="T60" i="1"/>
  <c r="T109" i="1" s="1"/>
  <c r="T110" i="1" s="1"/>
  <c r="T129" i="1" s="1"/>
  <c r="S60" i="1"/>
  <c r="S109" i="1" s="1"/>
  <c r="S110" i="1" s="1"/>
  <c r="S129" i="1" s="1"/>
  <c r="R60" i="1"/>
  <c r="R109" i="1" s="1"/>
  <c r="R110" i="1" s="1"/>
  <c r="R129" i="1" s="1"/>
  <c r="Q60" i="1"/>
  <c r="Q109" i="1" s="1"/>
  <c r="P60" i="1"/>
  <c r="P109" i="1" s="1"/>
  <c r="O60" i="1"/>
  <c r="O109" i="1" s="1"/>
  <c r="O110" i="1" s="1"/>
  <c r="O129" i="1" s="1"/>
  <c r="N60" i="1"/>
  <c r="N109" i="1" s="1"/>
  <c r="N110" i="1" s="1"/>
  <c r="N129" i="1" s="1"/>
  <c r="M60" i="1"/>
  <c r="M109" i="1" s="1"/>
  <c r="L60" i="1"/>
  <c r="L109" i="1" s="1"/>
  <c r="L110" i="1" s="1"/>
  <c r="L129" i="1" s="1"/>
  <c r="K60" i="1"/>
  <c r="K109" i="1" s="1"/>
  <c r="K110" i="1" s="1"/>
  <c r="K129" i="1" s="1"/>
  <c r="J60" i="1"/>
  <c r="J109" i="1" s="1"/>
  <c r="J110" i="1" s="1"/>
  <c r="J129" i="1" s="1"/>
  <c r="I60" i="1"/>
  <c r="I109" i="1" s="1"/>
  <c r="H60" i="1"/>
  <c r="H109" i="1" s="1"/>
  <c r="H110" i="1" s="1"/>
  <c r="H129" i="1" s="1"/>
  <c r="G60" i="1"/>
  <c r="G109" i="1" s="1"/>
  <c r="G110" i="1" s="1"/>
  <c r="G129" i="1" s="1"/>
  <c r="F60" i="1"/>
  <c r="E60" i="1"/>
  <c r="D60" i="1"/>
  <c r="C60" i="1"/>
  <c r="B60" i="1"/>
  <c r="A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D55" i="1"/>
  <c r="D54" i="1" s="1"/>
  <c r="X53" i="1"/>
  <c r="V53" i="1"/>
  <c r="T53" i="1"/>
  <c r="P53" i="1"/>
  <c r="L53" i="1"/>
  <c r="H53" i="1"/>
  <c r="D53" i="1"/>
  <c r="C53" i="1"/>
  <c r="B53" i="1"/>
  <c r="A53" i="1"/>
  <c r="Y52" i="1"/>
  <c r="U52" i="1"/>
  <c r="S52" i="1"/>
  <c r="S107" i="1" s="1"/>
  <c r="S108" i="1" s="1"/>
  <c r="S128" i="1" s="1"/>
  <c r="Q52" i="1"/>
  <c r="M52" i="1"/>
  <c r="K52" i="1"/>
  <c r="K107" i="1" s="1"/>
  <c r="K108" i="1" s="1"/>
  <c r="K128" i="1" s="1"/>
  <c r="I52" i="1"/>
  <c r="E52" i="1"/>
  <c r="D52" i="1"/>
  <c r="C52" i="1"/>
  <c r="B52" i="1"/>
  <c r="A52" i="1"/>
  <c r="V51" i="1"/>
  <c r="R51" i="1"/>
  <c r="N51" i="1"/>
  <c r="J51" i="1"/>
  <c r="H51" i="1"/>
  <c r="F51" i="1"/>
  <c r="D51" i="1"/>
  <c r="C51" i="1"/>
  <c r="B51" i="1"/>
  <c r="B55" i="1" s="1"/>
  <c r="B54" i="1" s="1"/>
  <c r="A51" i="1"/>
  <c r="W50" i="1"/>
  <c r="U50" i="1"/>
  <c r="S50" i="1"/>
  <c r="O50" i="1"/>
  <c r="K50" i="1"/>
  <c r="G50" i="1"/>
  <c r="D50" i="1"/>
  <c r="C50" i="1"/>
  <c r="B50" i="1"/>
  <c r="A50" i="1"/>
  <c r="Y47" i="1"/>
  <c r="X47" i="1"/>
  <c r="W47" i="1"/>
  <c r="W53" i="1" s="1"/>
  <c r="V47" i="1"/>
  <c r="U47" i="1"/>
  <c r="T47" i="1"/>
  <c r="S47" i="1"/>
  <c r="S53" i="1" s="1"/>
  <c r="R47" i="1"/>
  <c r="Q47" i="1"/>
  <c r="P47" i="1"/>
  <c r="O47" i="1"/>
  <c r="O53" i="1" s="1"/>
  <c r="N47" i="1"/>
  <c r="N53" i="1" s="1"/>
  <c r="M47" i="1"/>
  <c r="L47" i="1"/>
  <c r="K47" i="1"/>
  <c r="K53" i="1" s="1"/>
  <c r="J47" i="1"/>
  <c r="I47" i="1"/>
  <c r="H47" i="1"/>
  <c r="G47" i="1"/>
  <c r="G53" i="1" s="1"/>
  <c r="F47" i="1"/>
  <c r="F53" i="1" s="1"/>
  <c r="E47" i="1"/>
  <c r="D47" i="1"/>
  <c r="C47" i="1"/>
  <c r="B47" i="1"/>
  <c r="A47" i="1"/>
  <c r="Y46" i="1"/>
  <c r="X46" i="1"/>
  <c r="X52" i="1" s="1"/>
  <c r="X107" i="1" s="1"/>
  <c r="W46" i="1"/>
  <c r="V46" i="1"/>
  <c r="U46" i="1"/>
  <c r="T46" i="1"/>
  <c r="T52" i="1" s="1"/>
  <c r="S46" i="1"/>
  <c r="R46" i="1"/>
  <c r="Q46" i="1"/>
  <c r="P46" i="1"/>
  <c r="P52" i="1" s="1"/>
  <c r="P107" i="1" s="1"/>
  <c r="O46" i="1"/>
  <c r="N46" i="1"/>
  <c r="M46" i="1"/>
  <c r="L46" i="1"/>
  <c r="L52" i="1" s="1"/>
  <c r="K46" i="1"/>
  <c r="J46" i="1"/>
  <c r="I46" i="1"/>
  <c r="H46" i="1"/>
  <c r="H52" i="1" s="1"/>
  <c r="H107" i="1" s="1"/>
  <c r="H108" i="1" s="1"/>
  <c r="H128" i="1" s="1"/>
  <c r="G46" i="1"/>
  <c r="F46" i="1"/>
  <c r="E46" i="1"/>
  <c r="D46" i="1"/>
  <c r="C46" i="1"/>
  <c r="B46" i="1"/>
  <c r="A46" i="1"/>
  <c r="Y44" i="1"/>
  <c r="Y51" i="1" s="1"/>
  <c r="X44" i="1"/>
  <c r="X51" i="1" s="1"/>
  <c r="W44" i="1"/>
  <c r="V44" i="1"/>
  <c r="U44" i="1"/>
  <c r="U51" i="1" s="1"/>
  <c r="T44" i="1"/>
  <c r="S44" i="1"/>
  <c r="R44" i="1"/>
  <c r="Q44" i="1"/>
  <c r="Q51" i="1" s="1"/>
  <c r="P44" i="1"/>
  <c r="P51" i="1" s="1"/>
  <c r="O44" i="1"/>
  <c r="N44" i="1"/>
  <c r="M44" i="1"/>
  <c r="M51" i="1" s="1"/>
  <c r="L44" i="1"/>
  <c r="K44" i="1"/>
  <c r="J44" i="1"/>
  <c r="I44" i="1"/>
  <c r="I51" i="1" s="1"/>
  <c r="H44" i="1"/>
  <c r="G44" i="1"/>
  <c r="F44" i="1"/>
  <c r="E44" i="1"/>
  <c r="E51" i="1" s="1"/>
  <c r="D44" i="1"/>
  <c r="C44" i="1"/>
  <c r="B44" i="1"/>
  <c r="A44" i="1"/>
  <c r="Y43" i="1"/>
  <c r="X43" i="1"/>
  <c r="W43" i="1"/>
  <c r="V43" i="1"/>
  <c r="V50" i="1" s="1"/>
  <c r="U43" i="1"/>
  <c r="T43" i="1"/>
  <c r="S43" i="1"/>
  <c r="R43" i="1"/>
  <c r="R50" i="1" s="1"/>
  <c r="R105" i="1" s="1"/>
  <c r="Q43" i="1"/>
  <c r="P43" i="1"/>
  <c r="O43" i="1"/>
  <c r="N43" i="1"/>
  <c r="N50" i="1" s="1"/>
  <c r="M43" i="1"/>
  <c r="M50" i="1" s="1"/>
  <c r="L43" i="1"/>
  <c r="K43" i="1"/>
  <c r="J43" i="1"/>
  <c r="J50" i="1" s="1"/>
  <c r="J105" i="1" s="1"/>
  <c r="I43" i="1"/>
  <c r="H43" i="1"/>
  <c r="G43" i="1"/>
  <c r="F43" i="1"/>
  <c r="F50" i="1" s="1"/>
  <c r="E43" i="1"/>
  <c r="E50" i="1" s="1"/>
  <c r="D43" i="1"/>
  <c r="C43" i="1"/>
  <c r="B43" i="1"/>
  <c r="A43" i="1"/>
  <c r="Y87" i="1"/>
  <c r="X87" i="1"/>
  <c r="W87" i="1"/>
  <c r="U87" i="1"/>
  <c r="T87" i="1"/>
  <c r="S87" i="1"/>
  <c r="I87" i="1"/>
  <c r="Y39" i="1"/>
  <c r="X39" i="1"/>
  <c r="W39" i="1"/>
  <c r="V39" i="1"/>
  <c r="U39" i="1"/>
  <c r="T39" i="1"/>
  <c r="S39" i="1"/>
  <c r="R39" i="1"/>
  <c r="O39" i="1"/>
  <c r="K39" i="1"/>
  <c r="G39" i="1"/>
  <c r="C39" i="1"/>
  <c r="A39" i="1"/>
  <c r="Y38" i="1"/>
  <c r="X38" i="1"/>
  <c r="W38" i="1"/>
  <c r="V38" i="1"/>
  <c r="U38" i="1"/>
  <c r="T38" i="1"/>
  <c r="S38" i="1"/>
  <c r="R38" i="1"/>
  <c r="P38" i="1"/>
  <c r="M38" i="1"/>
  <c r="L38" i="1"/>
  <c r="I38" i="1"/>
  <c r="H38" i="1"/>
  <c r="D38" i="1"/>
  <c r="B38" i="1"/>
  <c r="A38" i="1"/>
  <c r="Y37" i="1"/>
  <c r="X37" i="1"/>
  <c r="W37" i="1"/>
  <c r="V37" i="1"/>
  <c r="U37" i="1"/>
  <c r="T37" i="1"/>
  <c r="S37" i="1"/>
  <c r="R37" i="1"/>
  <c r="Q37" i="1"/>
  <c r="N37" i="1"/>
  <c r="M37" i="1"/>
  <c r="J37" i="1"/>
  <c r="I37" i="1"/>
  <c r="E37" i="1"/>
  <c r="B37" i="1"/>
  <c r="A37" i="1"/>
  <c r="Y36" i="1"/>
  <c r="X36" i="1"/>
  <c r="W36" i="1"/>
  <c r="V36" i="1"/>
  <c r="U36" i="1"/>
  <c r="T36" i="1"/>
  <c r="S36" i="1"/>
  <c r="R36" i="1"/>
  <c r="O36" i="1"/>
  <c r="N36" i="1"/>
  <c r="K36" i="1"/>
  <c r="J36" i="1"/>
  <c r="H36" i="1"/>
  <c r="F36" i="1"/>
  <c r="C36" i="1"/>
  <c r="B36" i="1"/>
  <c r="A36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Y29" i="1"/>
  <c r="X29" i="1"/>
  <c r="X60" i="1" s="1"/>
  <c r="X109" i="1" s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87" i="1"/>
  <c r="M87" i="1"/>
  <c r="L87" i="1"/>
  <c r="H87" i="1"/>
  <c r="E87" i="1"/>
  <c r="B87" i="1"/>
  <c r="A26" i="1"/>
  <c r="Y25" i="1"/>
  <c r="X25" i="1"/>
  <c r="W25" i="1"/>
  <c r="V25" i="1"/>
  <c r="U25" i="1"/>
  <c r="T25" i="1"/>
  <c r="S25" i="1"/>
  <c r="R25" i="1"/>
  <c r="Q25" i="1"/>
  <c r="Q39" i="1" s="1"/>
  <c r="P25" i="1"/>
  <c r="P39" i="1" s="1"/>
  <c r="O25" i="1"/>
  <c r="N25" i="1"/>
  <c r="N39" i="1" s="1"/>
  <c r="M25" i="1"/>
  <c r="M39" i="1" s="1"/>
  <c r="L25" i="1"/>
  <c r="L39" i="1" s="1"/>
  <c r="K25" i="1"/>
  <c r="J25" i="1"/>
  <c r="J39" i="1" s="1"/>
  <c r="I25" i="1"/>
  <c r="I39" i="1" s="1"/>
  <c r="H25" i="1"/>
  <c r="H39" i="1" s="1"/>
  <c r="G25" i="1"/>
  <c r="F25" i="1"/>
  <c r="F39" i="1" s="1"/>
  <c r="E25" i="1"/>
  <c r="E39" i="1" s="1"/>
  <c r="D25" i="1"/>
  <c r="D39" i="1" s="1"/>
  <c r="C25" i="1"/>
  <c r="B25" i="1"/>
  <c r="B39" i="1" s="1"/>
  <c r="A25" i="1"/>
  <c r="Y24" i="1"/>
  <c r="X24" i="1"/>
  <c r="W24" i="1"/>
  <c r="V24" i="1"/>
  <c r="U24" i="1"/>
  <c r="T24" i="1"/>
  <c r="S24" i="1"/>
  <c r="R24" i="1"/>
  <c r="Q24" i="1"/>
  <c r="Q38" i="1" s="1"/>
  <c r="P24" i="1"/>
  <c r="O24" i="1"/>
  <c r="O38" i="1" s="1"/>
  <c r="N24" i="1"/>
  <c r="N38" i="1" s="1"/>
  <c r="M24" i="1"/>
  <c r="L24" i="1"/>
  <c r="K24" i="1"/>
  <c r="K38" i="1" s="1"/>
  <c r="J24" i="1"/>
  <c r="J38" i="1" s="1"/>
  <c r="I24" i="1"/>
  <c r="H24" i="1"/>
  <c r="G24" i="1"/>
  <c r="G38" i="1" s="1"/>
  <c r="F24" i="1"/>
  <c r="F38" i="1" s="1"/>
  <c r="E24" i="1"/>
  <c r="E38" i="1" s="1"/>
  <c r="D24" i="1"/>
  <c r="C24" i="1"/>
  <c r="C38" i="1" s="1"/>
  <c r="B24" i="1"/>
  <c r="A24" i="1"/>
  <c r="Y23" i="1"/>
  <c r="X23" i="1"/>
  <c r="W23" i="1"/>
  <c r="V23" i="1"/>
  <c r="U23" i="1"/>
  <c r="T23" i="1"/>
  <c r="S23" i="1"/>
  <c r="R23" i="1"/>
  <c r="Q23" i="1"/>
  <c r="P23" i="1"/>
  <c r="P37" i="1" s="1"/>
  <c r="O23" i="1"/>
  <c r="O37" i="1" s="1"/>
  <c r="N23" i="1"/>
  <c r="M23" i="1"/>
  <c r="L23" i="1"/>
  <c r="L37" i="1" s="1"/>
  <c r="K23" i="1"/>
  <c r="K37" i="1" s="1"/>
  <c r="J23" i="1"/>
  <c r="I23" i="1"/>
  <c r="H23" i="1"/>
  <c r="H37" i="1" s="1"/>
  <c r="G23" i="1"/>
  <c r="G37" i="1" s="1"/>
  <c r="F23" i="1"/>
  <c r="F37" i="1" s="1"/>
  <c r="E23" i="1"/>
  <c r="D23" i="1"/>
  <c r="D37" i="1" s="1"/>
  <c r="C23" i="1"/>
  <c r="C37" i="1" s="1"/>
  <c r="B23" i="1"/>
  <c r="A23" i="1"/>
  <c r="Y22" i="1"/>
  <c r="X22" i="1"/>
  <c r="W22" i="1"/>
  <c r="V22" i="1"/>
  <c r="U22" i="1"/>
  <c r="T22" i="1"/>
  <c r="S22" i="1"/>
  <c r="R22" i="1"/>
  <c r="Q22" i="1"/>
  <c r="Q36" i="1" s="1"/>
  <c r="P22" i="1"/>
  <c r="P36" i="1" s="1"/>
  <c r="O22" i="1"/>
  <c r="N22" i="1"/>
  <c r="M22" i="1"/>
  <c r="M36" i="1" s="1"/>
  <c r="L22" i="1"/>
  <c r="L36" i="1" s="1"/>
  <c r="K22" i="1"/>
  <c r="J22" i="1"/>
  <c r="I22" i="1"/>
  <c r="I36" i="1" s="1"/>
  <c r="H22" i="1"/>
  <c r="G22" i="1"/>
  <c r="G36" i="1" s="1"/>
  <c r="F22" i="1"/>
  <c r="E22" i="1"/>
  <c r="E36" i="1" s="1"/>
  <c r="D22" i="1"/>
  <c r="D36" i="1" s="1"/>
  <c r="C22" i="1"/>
  <c r="B22" i="1"/>
  <c r="A22" i="1"/>
  <c r="Y19" i="1"/>
  <c r="V19" i="1"/>
  <c r="Q19" i="1"/>
  <c r="N19" i="1"/>
  <c r="I19" i="1"/>
  <c r="F19" i="1"/>
  <c r="A19" i="1"/>
  <c r="Y18" i="1"/>
  <c r="X18" i="1"/>
  <c r="W18" i="1"/>
  <c r="V18" i="1"/>
  <c r="U18" i="1"/>
  <c r="T18" i="1"/>
  <c r="S18" i="1"/>
  <c r="S19" i="1" s="1"/>
  <c r="R18" i="1"/>
  <c r="R19" i="1" s="1"/>
  <c r="Q18" i="1"/>
  <c r="P18" i="1"/>
  <c r="O18" i="1"/>
  <c r="O19" i="1" s="1"/>
  <c r="N18" i="1"/>
  <c r="M18" i="1"/>
  <c r="L18" i="1"/>
  <c r="K18" i="1"/>
  <c r="K19" i="1" s="1"/>
  <c r="J18" i="1"/>
  <c r="J19" i="1" s="1"/>
  <c r="I18" i="1"/>
  <c r="H18" i="1"/>
  <c r="G18" i="1"/>
  <c r="G19" i="1" s="1"/>
  <c r="F18" i="1"/>
  <c r="E18" i="1"/>
  <c r="D18" i="1"/>
  <c r="C18" i="1"/>
  <c r="C19" i="1" s="1"/>
  <c r="B18" i="1"/>
  <c r="AC17" i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AY17" i="1" s="1"/>
  <c r="AZ17" i="1" s="1"/>
  <c r="BA17" i="1" s="1"/>
  <c r="BB17" i="1" s="1"/>
  <c r="BC17" i="1" s="1"/>
  <c r="BD17" i="1" s="1"/>
  <c r="BE17" i="1" s="1"/>
  <c r="BF17" i="1" s="1"/>
  <c r="AF16" i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AY16" i="1" s="1"/>
  <c r="AZ16" i="1" s="1"/>
  <c r="BA16" i="1" s="1"/>
  <c r="BB16" i="1" s="1"/>
  <c r="BC16" i="1" s="1"/>
  <c r="BD16" i="1" s="1"/>
  <c r="BE16" i="1" s="1"/>
  <c r="AC16" i="1"/>
  <c r="AD16" i="1" s="1"/>
  <c r="AE16" i="1" s="1"/>
  <c r="Y16" i="1"/>
  <c r="X16" i="1"/>
  <c r="X19" i="1" s="1"/>
  <c r="W16" i="1"/>
  <c r="W19" i="1" s="1"/>
  <c r="V16" i="1"/>
  <c r="U16" i="1"/>
  <c r="U19" i="1" s="1"/>
  <c r="T16" i="1"/>
  <c r="T19" i="1" s="1"/>
  <c r="R16" i="1"/>
  <c r="Q16" i="1"/>
  <c r="P16" i="1"/>
  <c r="P19" i="1" s="1"/>
  <c r="O16" i="1"/>
  <c r="N16" i="1"/>
  <c r="M16" i="1"/>
  <c r="M19" i="1" s="1"/>
  <c r="L16" i="1"/>
  <c r="L19" i="1" s="1"/>
  <c r="K16" i="1"/>
  <c r="J16" i="1"/>
  <c r="I16" i="1"/>
  <c r="H16" i="1"/>
  <c r="H19" i="1" s="1"/>
  <c r="G16" i="1"/>
  <c r="F16" i="1"/>
  <c r="E16" i="1"/>
  <c r="E19" i="1" s="1"/>
  <c r="D16" i="1"/>
  <c r="D19" i="1" s="1"/>
  <c r="C16" i="1"/>
  <c r="B16" i="1"/>
  <c r="BH15" i="1"/>
  <c r="AD15" i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AY15" i="1" s="1"/>
  <c r="AZ15" i="1" s="1"/>
  <c r="BA15" i="1" s="1"/>
  <c r="BB15" i="1" s="1"/>
  <c r="BC15" i="1" s="1"/>
  <c r="BD15" i="1" s="1"/>
  <c r="BE15" i="1" s="1"/>
  <c r="BF15" i="1" s="1"/>
  <c r="AC15" i="1"/>
  <c r="AC14" i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AY14" i="1" s="1"/>
  <c r="AZ14" i="1" s="1"/>
  <c r="BA14" i="1" s="1"/>
  <c r="BB14" i="1" s="1"/>
  <c r="BC14" i="1" s="1"/>
  <c r="BD14" i="1" s="1"/>
  <c r="BE14" i="1" s="1"/>
  <c r="AD13" i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A13" i="1" s="1"/>
  <c r="BB13" i="1" s="1"/>
  <c r="BC13" i="1" s="1"/>
  <c r="BD13" i="1" s="1"/>
  <c r="BE13" i="1" s="1"/>
  <c r="BF13" i="1" s="1"/>
  <c r="AC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D12" i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BA12" i="1" s="1"/>
  <c r="BB12" i="1" s="1"/>
  <c r="BC12" i="1" s="1"/>
  <c r="BD12" i="1" s="1"/>
  <c r="BE12" i="1" s="1"/>
  <c r="BF12" i="1" s="1"/>
  <c r="AC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C11" i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AY11" i="1" s="1"/>
  <c r="AZ11" i="1" s="1"/>
  <c r="BA11" i="1" s="1"/>
  <c r="BB11" i="1" s="1"/>
  <c r="BC11" i="1" s="1"/>
  <c r="BD11" i="1" s="1"/>
  <c r="BE11" i="1" s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C10" i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AY10" i="1" s="1"/>
  <c r="AZ10" i="1" s="1"/>
  <c r="BA10" i="1" s="1"/>
  <c r="BB10" i="1" s="1"/>
  <c r="BC10" i="1" s="1"/>
  <c r="BD10" i="1" s="1"/>
  <c r="BE10" i="1" s="1"/>
  <c r="BF10" i="1" s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C9" i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AE8" i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AD8" i="1"/>
  <c r="AC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D7" i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AC7" i="1"/>
  <c r="AC6" i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A6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E44" i="6" l="1"/>
  <c r="E45" i="6" s="1"/>
  <c r="F30" i="6"/>
  <c r="B28" i="6"/>
  <c r="C28" i="6"/>
  <c r="G28" i="6"/>
  <c r="D51" i="6"/>
  <c r="D28" i="6"/>
  <c r="C58" i="6"/>
  <c r="E28" i="6"/>
  <c r="AL84" i="2"/>
  <c r="AL36" i="2"/>
  <c r="AT17" i="2"/>
  <c r="AT25" i="2"/>
  <c r="AT24" i="2"/>
  <c r="AT23" i="2"/>
  <c r="AT22" i="2"/>
  <c r="D36" i="2"/>
  <c r="H36" i="2"/>
  <c r="L36" i="2"/>
  <c r="P36" i="2"/>
  <c r="T36" i="2"/>
  <c r="X36" i="2"/>
  <c r="J14" i="2"/>
  <c r="J40" i="2" s="1"/>
  <c r="AC87" i="2"/>
  <c r="AC37" i="2"/>
  <c r="AS37" i="2"/>
  <c r="AS87" i="2"/>
  <c r="AK88" i="2"/>
  <c r="AK38" i="2"/>
  <c r="AC91" i="2"/>
  <c r="AC105" i="2" s="1"/>
  <c r="AC39" i="2"/>
  <c r="AS91" i="2"/>
  <c r="AS105" i="2" s="1"/>
  <c r="AS116" i="2" s="1"/>
  <c r="AS124" i="2" s="1"/>
  <c r="AS39" i="2"/>
  <c r="B36" i="2"/>
  <c r="R36" i="2"/>
  <c r="AB3" i="2"/>
  <c r="AA42" i="2"/>
  <c r="F14" i="2"/>
  <c r="F40" i="2" s="1"/>
  <c r="V14" i="2"/>
  <c r="V40" i="2" s="1"/>
  <c r="AB39" i="2"/>
  <c r="AF91" i="2"/>
  <c r="AF105" i="2" s="1"/>
  <c r="AF116" i="2" s="1"/>
  <c r="AF124" i="2" s="1"/>
  <c r="AF39" i="2"/>
  <c r="AJ91" i="2"/>
  <c r="AJ105" i="2" s="1"/>
  <c r="AJ116" i="2" s="1"/>
  <c r="AJ124" i="2" s="1"/>
  <c r="AJ39" i="2"/>
  <c r="AN91" i="2"/>
  <c r="AN105" i="2" s="1"/>
  <c r="AN116" i="2" s="1"/>
  <c r="AN124" i="2" s="1"/>
  <c r="AN39" i="2"/>
  <c r="AR91" i="2"/>
  <c r="AR105" i="2" s="1"/>
  <c r="AR116" i="2" s="1"/>
  <c r="AR124" i="2" s="1"/>
  <c r="AR39" i="2"/>
  <c r="AH84" i="2"/>
  <c r="AO87" i="2"/>
  <c r="AO37" i="2"/>
  <c r="AG88" i="2"/>
  <c r="AG38" i="2"/>
  <c r="AO91" i="2"/>
  <c r="AO105" i="2" s="1"/>
  <c r="AO116" i="2" s="1"/>
  <c r="AO124" i="2" s="1"/>
  <c r="AO39" i="2"/>
  <c r="L60" i="2"/>
  <c r="L50" i="2"/>
  <c r="P60" i="2"/>
  <c r="P50" i="2"/>
  <c r="P54" i="2" s="1"/>
  <c r="P55" i="2" s="1"/>
  <c r="AR66" i="2"/>
  <c r="AR50" i="2"/>
  <c r="AR33" i="2"/>
  <c r="N36" i="2"/>
  <c r="Y33" i="2"/>
  <c r="Z17" i="2"/>
  <c r="Z25" i="2"/>
  <c r="Z39" i="2" s="1"/>
  <c r="Z23" i="2"/>
  <c r="Z19" i="2"/>
  <c r="Z18" i="2"/>
  <c r="Z24" i="2"/>
  <c r="AD17" i="2"/>
  <c r="AD24" i="2"/>
  <c r="AD19" i="2"/>
  <c r="AD18" i="2"/>
  <c r="AD25" i="2"/>
  <c r="AD23" i="2"/>
  <c r="AH17" i="2"/>
  <c r="AH19" i="2"/>
  <c r="AH18" i="2"/>
  <c r="AH25" i="2"/>
  <c r="AH24" i="2"/>
  <c r="AH23" i="2"/>
  <c r="AL17" i="2"/>
  <c r="AL23" i="2"/>
  <c r="AL18" i="2"/>
  <c r="AL25" i="2"/>
  <c r="AL24" i="2"/>
  <c r="AP17" i="2"/>
  <c r="AP18" i="2"/>
  <c r="AP25" i="2"/>
  <c r="AP24" i="2"/>
  <c r="AP23" i="2"/>
  <c r="AT8" i="2"/>
  <c r="AT18" i="2"/>
  <c r="Z22" i="2"/>
  <c r="AP22" i="2"/>
  <c r="AG87" i="2"/>
  <c r="AG37" i="2"/>
  <c r="Y88" i="2"/>
  <c r="Y80" i="2" s="1"/>
  <c r="Y38" i="2"/>
  <c r="AO88" i="2"/>
  <c r="AO38" i="2"/>
  <c r="AG91" i="2"/>
  <c r="AG105" i="2" s="1"/>
  <c r="AG116" i="2" s="1"/>
  <c r="AG124" i="2" s="1"/>
  <c r="AG39" i="2"/>
  <c r="AL33" i="2"/>
  <c r="F60" i="2"/>
  <c r="N60" i="2"/>
  <c r="AU18" i="2"/>
  <c r="AD84" i="2"/>
  <c r="AK87" i="2"/>
  <c r="AK37" i="2"/>
  <c r="AC88" i="2"/>
  <c r="AC38" i="2"/>
  <c r="AS88" i="2"/>
  <c r="AS38" i="2"/>
  <c r="AK91" i="2"/>
  <c r="AK105" i="2" s="1"/>
  <c r="AK116" i="2" s="1"/>
  <c r="AK124" i="2" s="1"/>
  <c r="AK39" i="2"/>
  <c r="AV51" i="2"/>
  <c r="AY51" i="2" s="1"/>
  <c r="AV33" i="2"/>
  <c r="AW30" i="2"/>
  <c r="C14" i="2"/>
  <c r="C40" i="2" s="1"/>
  <c r="K14" i="2"/>
  <c r="K40" i="2" s="1"/>
  <c r="O14" i="2"/>
  <c r="O40" i="2" s="1"/>
  <c r="S14" i="2"/>
  <c r="S40" i="2" s="1"/>
  <c r="AU16" i="2"/>
  <c r="AA22" i="2"/>
  <c r="AE22" i="2"/>
  <c r="AM22" i="2"/>
  <c r="AQ22" i="2"/>
  <c r="AA33" i="2"/>
  <c r="AE33" i="2"/>
  <c r="AM33" i="2"/>
  <c r="AU33" i="2"/>
  <c r="G36" i="2"/>
  <c r="W36" i="2"/>
  <c r="Z54" i="2"/>
  <c r="Z55" i="2" s="1"/>
  <c r="G60" i="2"/>
  <c r="O60" i="2"/>
  <c r="AU8" i="2"/>
  <c r="D14" i="2"/>
  <c r="D40" i="2" s="1"/>
  <c r="H14" i="2"/>
  <c r="H40" i="2" s="1"/>
  <c r="L14" i="2"/>
  <c r="L40" i="2" s="1"/>
  <c r="P14" i="2"/>
  <c r="P40" i="2" s="1"/>
  <c r="T14" i="2"/>
  <c r="T40" i="2" s="1"/>
  <c r="X14" i="2"/>
  <c r="X40" i="2" s="1"/>
  <c r="AV16" i="2"/>
  <c r="AB22" i="2"/>
  <c r="AF22" i="2"/>
  <c r="AJ22" i="2"/>
  <c r="AN22" i="2"/>
  <c r="AR22" i="2"/>
  <c r="AA23" i="2"/>
  <c r="AE23" i="2"/>
  <c r="AI23" i="2"/>
  <c r="AM23" i="2"/>
  <c r="AQ23" i="2"/>
  <c r="AA24" i="2"/>
  <c r="AE24" i="2"/>
  <c r="AI24" i="2"/>
  <c r="AM24" i="2"/>
  <c r="AQ24" i="2"/>
  <c r="AA25" i="2"/>
  <c r="AE25" i="2"/>
  <c r="AI25" i="2"/>
  <c r="AM25" i="2"/>
  <c r="AQ25" i="2"/>
  <c r="AN60" i="2"/>
  <c r="AN50" i="2"/>
  <c r="AN54" i="2" s="1"/>
  <c r="AN55" i="2" s="1"/>
  <c r="AW29" i="2"/>
  <c r="AB33" i="2"/>
  <c r="AF33" i="2"/>
  <c r="AJ33" i="2"/>
  <c r="AN33" i="2"/>
  <c r="D50" i="2"/>
  <c r="D54" i="2" s="1"/>
  <c r="D55" i="2" s="1"/>
  <c r="H50" i="2"/>
  <c r="H54" i="2" s="1"/>
  <c r="H55" i="2" s="1"/>
  <c r="T50" i="2"/>
  <c r="T54" i="2" s="1"/>
  <c r="T55" i="2" s="1"/>
  <c r="X50" i="2"/>
  <c r="X54" i="2" s="1"/>
  <c r="X55" i="2" s="1"/>
  <c r="C51" i="2"/>
  <c r="C54" i="2" s="1"/>
  <c r="C55" i="2" s="1"/>
  <c r="G51" i="2"/>
  <c r="S51" i="2"/>
  <c r="S54" i="2" s="1"/>
  <c r="S55" i="2" s="1"/>
  <c r="W51" i="2"/>
  <c r="W54" i="2" s="1"/>
  <c r="W55" i="2" s="1"/>
  <c r="B53" i="2"/>
  <c r="R53" i="2"/>
  <c r="G54" i="2"/>
  <c r="G55" i="2" s="1"/>
  <c r="Q50" i="2"/>
  <c r="Q54" i="2" s="1"/>
  <c r="Q55" i="2" s="1"/>
  <c r="AE54" i="2"/>
  <c r="AE55" i="2" s="1"/>
  <c r="AI54" i="2"/>
  <c r="AI55" i="2" s="1"/>
  <c r="AM50" i="2"/>
  <c r="AM54" i="2" s="1"/>
  <c r="AM55" i="2" s="1"/>
  <c r="AQ52" i="2"/>
  <c r="AQ54" i="2" s="1"/>
  <c r="AQ55" i="2" s="1"/>
  <c r="D60" i="2"/>
  <c r="J54" i="2"/>
  <c r="J55" i="2" s="1"/>
  <c r="V54" i="2"/>
  <c r="V55" i="2" s="1"/>
  <c r="AV52" i="2"/>
  <c r="B60" i="2"/>
  <c r="J60" i="2"/>
  <c r="R60" i="2"/>
  <c r="V60" i="2"/>
  <c r="AI22" i="2"/>
  <c r="I50" i="2"/>
  <c r="I54" i="2" s="1"/>
  <c r="I55" i="2" s="1"/>
  <c r="I60" i="2"/>
  <c r="AI33" i="2"/>
  <c r="K37" i="2"/>
  <c r="AU53" i="2"/>
  <c r="E50" i="2"/>
  <c r="E54" i="2" s="1"/>
  <c r="E55" i="2" s="1"/>
  <c r="C60" i="2"/>
  <c r="K60" i="2"/>
  <c r="AR60" i="2"/>
  <c r="AY65" i="2"/>
  <c r="AU67" i="2"/>
  <c r="AY67" i="2" s="1"/>
  <c r="B39" i="2"/>
  <c r="F39" i="2"/>
  <c r="J39" i="2"/>
  <c r="N39" i="2"/>
  <c r="R39" i="2"/>
  <c r="V39" i="2"/>
  <c r="E14" i="2"/>
  <c r="E40" i="2" s="1"/>
  <c r="I14" i="2"/>
  <c r="I40" i="2" s="1"/>
  <c r="M14" i="2"/>
  <c r="M40" i="2" s="1"/>
  <c r="Q14" i="2"/>
  <c r="Q40" i="2" s="1"/>
  <c r="U14" i="2"/>
  <c r="U40" i="2" s="1"/>
  <c r="AA18" i="2"/>
  <c r="AE18" i="2"/>
  <c r="Y22" i="2"/>
  <c r="AC22" i="2"/>
  <c r="AG22" i="2"/>
  <c r="AK22" i="2"/>
  <c r="AO22" i="2"/>
  <c r="AS22" i="2"/>
  <c r="AB23" i="2"/>
  <c r="AF23" i="2"/>
  <c r="AJ23" i="2"/>
  <c r="AN23" i="2"/>
  <c r="AR23" i="2"/>
  <c r="AB24" i="2"/>
  <c r="AF24" i="2"/>
  <c r="AJ24" i="2"/>
  <c r="AN24" i="2"/>
  <c r="AR24" i="2"/>
  <c r="AW31" i="2"/>
  <c r="L52" i="2"/>
  <c r="U50" i="2"/>
  <c r="U54" i="2" s="1"/>
  <c r="U55" i="2" s="1"/>
  <c r="AY50" i="2"/>
  <c r="AW59" i="2"/>
  <c r="S60" i="2"/>
  <c r="W60" i="2"/>
  <c r="AA60" i="2"/>
  <c r="AV60" i="2"/>
  <c r="AY60" i="2" s="1"/>
  <c r="AY58" i="2"/>
  <c r="AU66" i="2"/>
  <c r="AY63" i="2"/>
  <c r="AY66" i="2"/>
  <c r="B51" i="2"/>
  <c r="B54" i="2" s="1"/>
  <c r="B55" i="2" s="1"/>
  <c r="F51" i="2"/>
  <c r="F54" i="2" s="1"/>
  <c r="F55" i="2" s="1"/>
  <c r="J51" i="2"/>
  <c r="N51" i="2"/>
  <c r="N54" i="2" s="1"/>
  <c r="N55" i="2" s="1"/>
  <c r="R51" i="2"/>
  <c r="R54" i="2" s="1"/>
  <c r="R55" i="2" s="1"/>
  <c r="V51" i="2"/>
  <c r="AW47" i="2"/>
  <c r="AV53" i="2"/>
  <c r="AY53" i="2" s="1"/>
  <c r="H60" i="2"/>
  <c r="X60" i="2"/>
  <c r="AW58" i="2"/>
  <c r="AD79" i="2"/>
  <c r="AH79" i="2"/>
  <c r="AF81" i="2"/>
  <c r="AL79" i="2"/>
  <c r="AP79" i="2"/>
  <c r="AT79" i="2"/>
  <c r="AE79" i="2"/>
  <c r="AK79" i="2"/>
  <c r="AS79" i="2"/>
  <c r="AJ81" i="2"/>
  <c r="AU52" i="2"/>
  <c r="AU54" i="2" s="1"/>
  <c r="AU55" i="2" s="1"/>
  <c r="C53" i="2"/>
  <c r="G53" i="2"/>
  <c r="K53" i="2"/>
  <c r="K54" i="2" s="1"/>
  <c r="K55" i="2" s="1"/>
  <c r="O53" i="2"/>
  <c r="O54" i="2" s="1"/>
  <c r="O55" i="2" s="1"/>
  <c r="S53" i="2"/>
  <c r="W53" i="2"/>
  <c r="M60" i="2"/>
  <c r="AK81" i="2"/>
  <c r="AM79" i="2"/>
  <c r="AB79" i="2"/>
  <c r="M105" i="1"/>
  <c r="Q90" i="1"/>
  <c r="Q96" i="1" s="1"/>
  <c r="Q97" i="1" s="1"/>
  <c r="V55" i="1"/>
  <c r="V54" i="1" s="1"/>
  <c r="G90" i="1"/>
  <c r="G96" i="1" s="1"/>
  <c r="G97" i="1" s="1"/>
  <c r="L90" i="1"/>
  <c r="L96" i="1" s="1"/>
  <c r="L97" i="1" s="1"/>
  <c r="X110" i="1"/>
  <c r="X129" i="1" s="1"/>
  <c r="B148" i="1" s="1"/>
  <c r="K105" i="1"/>
  <c r="K55" i="1"/>
  <c r="K54" i="1" s="1"/>
  <c r="U112" i="1"/>
  <c r="U130" i="1" s="1"/>
  <c r="E90" i="1"/>
  <c r="E96" i="1" s="1"/>
  <c r="E97" i="1" s="1"/>
  <c r="M90" i="1"/>
  <c r="M96" i="1" s="1"/>
  <c r="M97" i="1" s="1"/>
  <c r="U90" i="1"/>
  <c r="U96" i="1" s="1"/>
  <c r="U97" i="1" s="1"/>
  <c r="Y90" i="1"/>
  <c r="Y96" i="1" s="1"/>
  <c r="Y97" i="1" s="1"/>
  <c r="Y98" i="1" s="1"/>
  <c r="H50" i="1"/>
  <c r="L50" i="1"/>
  <c r="P50" i="1"/>
  <c r="T50" i="1"/>
  <c r="X50" i="1"/>
  <c r="G51" i="1"/>
  <c r="G105" i="1" s="1"/>
  <c r="K51" i="1"/>
  <c r="O51" i="1"/>
  <c r="S51" i="1"/>
  <c r="S105" i="1" s="1"/>
  <c r="W51" i="1"/>
  <c r="W105" i="1" s="1"/>
  <c r="F52" i="1"/>
  <c r="J52" i="1"/>
  <c r="N52" i="1"/>
  <c r="R52" i="1"/>
  <c r="V52" i="1"/>
  <c r="V107" i="1" s="1"/>
  <c r="V108" i="1" s="1"/>
  <c r="V128" i="1" s="1"/>
  <c r="E53" i="1"/>
  <c r="E55" i="1" s="1"/>
  <c r="E54" i="1" s="1"/>
  <c r="I53" i="1"/>
  <c r="I107" i="1" s="1"/>
  <c r="I108" i="1" s="1"/>
  <c r="I128" i="1" s="1"/>
  <c r="M53" i="1"/>
  <c r="M55" i="1" s="1"/>
  <c r="M54" i="1" s="1"/>
  <c r="Q53" i="1"/>
  <c r="U53" i="1"/>
  <c r="Y53" i="1"/>
  <c r="Y107" i="1"/>
  <c r="Y108" i="1" s="1"/>
  <c r="Y128" i="1" s="1"/>
  <c r="B156" i="1" s="1"/>
  <c r="O90" i="1"/>
  <c r="O96" i="1" s="1"/>
  <c r="O97" i="1" s="1"/>
  <c r="I90" i="1"/>
  <c r="I96" i="1" s="1"/>
  <c r="I97" i="1" s="1"/>
  <c r="X114" i="1"/>
  <c r="X131" i="1" s="1"/>
  <c r="B150" i="1" s="1"/>
  <c r="D90" i="1"/>
  <c r="D91" i="1" s="1"/>
  <c r="H90" i="1"/>
  <c r="H96" i="1" s="1"/>
  <c r="H97" i="1" s="1"/>
  <c r="P90" i="1"/>
  <c r="P96" i="1" s="1"/>
  <c r="P97" i="1" s="1"/>
  <c r="K90" i="1"/>
  <c r="K96" i="1" s="1"/>
  <c r="K97" i="1" s="1"/>
  <c r="U105" i="1"/>
  <c r="U55" i="1"/>
  <c r="U54" i="1" s="1"/>
  <c r="I116" i="1"/>
  <c r="I132" i="1" s="1"/>
  <c r="Q116" i="1"/>
  <c r="Q132" i="1" s="1"/>
  <c r="Y112" i="1"/>
  <c r="Y130" i="1" s="1"/>
  <c r="B158" i="1" s="1"/>
  <c r="C90" i="1"/>
  <c r="C91" i="1" s="1"/>
  <c r="R90" i="1"/>
  <c r="R96" i="1" s="1"/>
  <c r="R97" i="1" s="1"/>
  <c r="V90" i="1"/>
  <c r="V96" i="1" s="1"/>
  <c r="V97" i="1" s="1"/>
  <c r="I50" i="1"/>
  <c r="Q50" i="1"/>
  <c r="Y50" i="1"/>
  <c r="L51" i="1"/>
  <c r="T51" i="1"/>
  <c r="G52" i="1"/>
  <c r="G107" i="1" s="1"/>
  <c r="G108" i="1" s="1"/>
  <c r="G128" i="1" s="1"/>
  <c r="O52" i="1"/>
  <c r="O107" i="1" s="1"/>
  <c r="O108" i="1" s="1"/>
  <c r="O128" i="1" s="1"/>
  <c r="W52" i="1"/>
  <c r="W107" i="1" s="1"/>
  <c r="W108" i="1" s="1"/>
  <c r="W128" i="1" s="1"/>
  <c r="J53" i="1"/>
  <c r="J55" i="1" s="1"/>
  <c r="J54" i="1" s="1"/>
  <c r="R53" i="1"/>
  <c r="Q107" i="1"/>
  <c r="Q108" i="1" s="1"/>
  <c r="Q128" i="1" s="1"/>
  <c r="F90" i="1"/>
  <c r="F96" i="1" s="1"/>
  <c r="F97" i="1" s="1"/>
  <c r="J90" i="1"/>
  <c r="J96" i="1" s="1"/>
  <c r="J97" i="1" s="1"/>
  <c r="N90" i="1"/>
  <c r="N96" i="1" s="1"/>
  <c r="N97" i="1" s="1"/>
  <c r="S90" i="1"/>
  <c r="S96" i="1" s="1"/>
  <c r="S97" i="1" s="1"/>
  <c r="W90" i="1"/>
  <c r="W96" i="1" s="1"/>
  <c r="W97" i="1" s="1"/>
  <c r="F105" i="1"/>
  <c r="J106" i="1"/>
  <c r="N105" i="1"/>
  <c r="R106" i="1"/>
  <c r="V105" i="1"/>
  <c r="L107" i="1"/>
  <c r="L108" i="1" s="1"/>
  <c r="L128" i="1" s="1"/>
  <c r="P108" i="1"/>
  <c r="P128" i="1" s="1"/>
  <c r="T107" i="1"/>
  <c r="T108" i="1" s="1"/>
  <c r="T128" i="1" s="1"/>
  <c r="X108" i="1"/>
  <c r="X128" i="1" s="1"/>
  <c r="B147" i="1" s="1"/>
  <c r="O105" i="1"/>
  <c r="O55" i="1"/>
  <c r="O54" i="1" s="1"/>
  <c r="U107" i="1"/>
  <c r="U108" i="1" s="1"/>
  <c r="U128" i="1" s="1"/>
  <c r="N112" i="1"/>
  <c r="N130" i="1" s="1"/>
  <c r="X112" i="1"/>
  <c r="X130" i="1" s="1"/>
  <c r="B149" i="1" s="1"/>
  <c r="T90" i="1"/>
  <c r="T96" i="1" s="1"/>
  <c r="T97" i="1" s="1"/>
  <c r="X90" i="1"/>
  <c r="X96" i="1" s="1"/>
  <c r="X97" i="1" s="1"/>
  <c r="C55" i="1"/>
  <c r="C54" i="1" s="1"/>
  <c r="Y60" i="1"/>
  <c r="Y109" i="1" s="1"/>
  <c r="Y110" i="1" s="1"/>
  <c r="Y129" i="1" s="1"/>
  <c r="B157" i="1" s="1"/>
  <c r="K117" i="1"/>
  <c r="K118" i="1" s="1"/>
  <c r="K133" i="1" s="1"/>
  <c r="P116" i="1"/>
  <c r="P132" i="1" s="1"/>
  <c r="Y116" i="1"/>
  <c r="Y132" i="1" s="1"/>
  <c r="B160" i="1" s="1"/>
  <c r="V110" i="1"/>
  <c r="V129" i="1" s="1"/>
  <c r="P110" i="1"/>
  <c r="P129" i="1" s="1"/>
  <c r="F116" i="1"/>
  <c r="F132" i="1" s="1"/>
  <c r="P112" i="1"/>
  <c r="P130" i="1" s="1"/>
  <c r="I110" i="1"/>
  <c r="I129" i="1" s="1"/>
  <c r="M110" i="1"/>
  <c r="M129" i="1" s="1"/>
  <c r="Q110" i="1"/>
  <c r="Q129" i="1" s="1"/>
  <c r="U110" i="1"/>
  <c r="U129" i="1" s="1"/>
  <c r="G116" i="1"/>
  <c r="G132" i="1" s="1"/>
  <c r="K116" i="1"/>
  <c r="K132" i="1" s="1"/>
  <c r="O116" i="1"/>
  <c r="O132" i="1" s="1"/>
  <c r="S116" i="1"/>
  <c r="S132" i="1" s="1"/>
  <c r="X116" i="1"/>
  <c r="X132" i="1" s="1"/>
  <c r="B151" i="1" s="1"/>
  <c r="R112" i="1"/>
  <c r="R130" i="1" s="1"/>
  <c r="P114" i="1"/>
  <c r="P131" i="1" s="1"/>
  <c r="H116" i="1"/>
  <c r="H132" i="1" s="1"/>
  <c r="H114" i="1"/>
  <c r="H131" i="1" s="1"/>
  <c r="L116" i="1"/>
  <c r="L132" i="1" s="1"/>
  <c r="T116" i="1"/>
  <c r="T132" i="1" s="1"/>
  <c r="V112" i="1"/>
  <c r="V130" i="1" s="1"/>
  <c r="I114" i="1"/>
  <c r="I131" i="1" s="1"/>
  <c r="M114" i="1"/>
  <c r="M131" i="1" s="1"/>
  <c r="Q114" i="1"/>
  <c r="Q131" i="1" s="1"/>
  <c r="U114" i="1"/>
  <c r="U131" i="1" s="1"/>
  <c r="Y114" i="1"/>
  <c r="Y131" i="1" s="1"/>
  <c r="B159" i="1" s="1"/>
  <c r="M116" i="1"/>
  <c r="M132" i="1" s="1"/>
  <c r="U116" i="1"/>
  <c r="U132" i="1" s="1"/>
  <c r="L114" i="1"/>
  <c r="L131" i="1" s="1"/>
  <c r="W116" i="1"/>
  <c r="W132" i="1" s="1"/>
  <c r="G112" i="1"/>
  <c r="G130" i="1" s="1"/>
  <c r="K112" i="1"/>
  <c r="K130" i="1" s="1"/>
  <c r="O112" i="1"/>
  <c r="O130" i="1" s="1"/>
  <c r="F114" i="1"/>
  <c r="F131" i="1" s="1"/>
  <c r="J114" i="1"/>
  <c r="J131" i="1" s="1"/>
  <c r="N114" i="1"/>
  <c r="N131" i="1" s="1"/>
  <c r="R114" i="1"/>
  <c r="R131" i="1" s="1"/>
  <c r="V114" i="1"/>
  <c r="V131" i="1" s="1"/>
  <c r="J116" i="1"/>
  <c r="J132" i="1" s="1"/>
  <c r="N116" i="1"/>
  <c r="N132" i="1" s="1"/>
  <c r="R116" i="1"/>
  <c r="R132" i="1" s="1"/>
  <c r="V116" i="1"/>
  <c r="V132" i="1" s="1"/>
  <c r="I112" i="1"/>
  <c r="I130" i="1" s="1"/>
  <c r="M112" i="1"/>
  <c r="M130" i="1" s="1"/>
  <c r="Q112" i="1"/>
  <c r="Q130" i="1" s="1"/>
  <c r="G114" i="1"/>
  <c r="G131" i="1" s="1"/>
  <c r="K114" i="1"/>
  <c r="K131" i="1" s="1"/>
  <c r="O114" i="1"/>
  <c r="O131" i="1" s="1"/>
  <c r="S114" i="1"/>
  <c r="S131" i="1" s="1"/>
  <c r="W114" i="1"/>
  <c r="W131" i="1" s="1"/>
  <c r="S112" i="1"/>
  <c r="S130" i="1" s="1"/>
  <c r="W112" i="1"/>
  <c r="W130" i="1" s="1"/>
  <c r="W91" i="1" l="1"/>
  <c r="F91" i="1"/>
  <c r="N91" i="1"/>
  <c r="Q91" i="1"/>
  <c r="D58" i="6"/>
  <c r="E51" i="6"/>
  <c r="D55" i="6"/>
  <c r="AF87" i="2"/>
  <c r="AF37" i="2"/>
  <c r="AP84" i="2"/>
  <c r="AP26" i="2"/>
  <c r="AP36" i="2"/>
  <c r="AL87" i="2"/>
  <c r="AL37" i="2"/>
  <c r="AD87" i="2"/>
  <c r="AD37" i="2"/>
  <c r="AO101" i="2"/>
  <c r="AB42" i="2"/>
  <c r="AC3" i="2"/>
  <c r="AT87" i="2"/>
  <c r="AT37" i="2"/>
  <c r="AN88" i="2"/>
  <c r="AN38" i="2"/>
  <c r="AB87" i="2"/>
  <c r="AB101" i="2" s="1"/>
  <c r="AB37" i="2"/>
  <c r="AK101" i="2"/>
  <c r="AP88" i="2"/>
  <c r="AP38" i="2"/>
  <c r="AD39" i="2"/>
  <c r="AD91" i="2"/>
  <c r="AD105" i="2" s="1"/>
  <c r="AD116" i="2" s="1"/>
  <c r="AD124" i="2" s="1"/>
  <c r="AL26" i="2"/>
  <c r="AJ88" i="2"/>
  <c r="AJ38" i="2"/>
  <c r="AN87" i="2"/>
  <c r="AN37" i="2"/>
  <c r="AS84" i="2"/>
  <c r="AS36" i="2"/>
  <c r="AS40" i="2" s="1"/>
  <c r="AS68" i="2" s="1"/>
  <c r="AS26" i="2"/>
  <c r="AC84" i="2"/>
  <c r="AC36" i="2"/>
  <c r="AC40" i="2" s="1"/>
  <c r="AC68" i="2" s="1"/>
  <c r="AC26" i="2"/>
  <c r="AY52" i="2"/>
  <c r="AM91" i="2"/>
  <c r="AM105" i="2" s="1"/>
  <c r="AM116" i="2" s="1"/>
  <c r="AM124" i="2" s="1"/>
  <c r="AM39" i="2"/>
  <c r="AQ88" i="2"/>
  <c r="AQ38" i="2"/>
  <c r="AA88" i="2"/>
  <c r="AA38" i="2"/>
  <c r="AE87" i="2"/>
  <c r="AE37" i="2"/>
  <c r="AJ84" i="2"/>
  <c r="AJ26" i="2"/>
  <c r="AJ36" i="2"/>
  <c r="AM84" i="2"/>
  <c r="AM26" i="2"/>
  <c r="AM36" i="2"/>
  <c r="AD26" i="2"/>
  <c r="AP91" i="2"/>
  <c r="AP105" i="2" s="1"/>
  <c r="AP116" i="2" s="1"/>
  <c r="AP124" i="2" s="1"/>
  <c r="AP39" i="2"/>
  <c r="AL39" i="2"/>
  <c r="AL91" i="2"/>
  <c r="AL105" i="2" s="1"/>
  <c r="AL116" i="2" s="1"/>
  <c r="AL124" i="2" s="1"/>
  <c r="AH87" i="2"/>
  <c r="AH37" i="2"/>
  <c r="Z38" i="2"/>
  <c r="Z88" i="2"/>
  <c r="Z80" i="2" s="1"/>
  <c r="AG95" i="2"/>
  <c r="AG89" i="2"/>
  <c r="AG80" i="2"/>
  <c r="AH86" i="2"/>
  <c r="AH85" i="2" s="1"/>
  <c r="AH97" i="2"/>
  <c r="AS110" i="2"/>
  <c r="AS101" i="2"/>
  <c r="AT91" i="2"/>
  <c r="AT105" i="2" s="1"/>
  <c r="AT116" i="2" s="1"/>
  <c r="AT124" i="2" s="1"/>
  <c r="AT39" i="2"/>
  <c r="AL97" i="2"/>
  <c r="AL86" i="2"/>
  <c r="AL85" i="2"/>
  <c r="AR88" i="2"/>
  <c r="AR38" i="2"/>
  <c r="AB47" i="2"/>
  <c r="AB38" i="2"/>
  <c r="AK84" i="2"/>
  <c r="AK110" i="2" s="1"/>
  <c r="AK36" i="2"/>
  <c r="AK40" i="2" s="1"/>
  <c r="AK68" i="2" s="1"/>
  <c r="AK26" i="2"/>
  <c r="AE91" i="2"/>
  <c r="AE105" i="2" s="1"/>
  <c r="AE116" i="2" s="1"/>
  <c r="AE124" i="2" s="1"/>
  <c r="AE39" i="2"/>
  <c r="AI88" i="2"/>
  <c r="AI38" i="2"/>
  <c r="AM87" i="2"/>
  <c r="AM37" i="2"/>
  <c r="AR84" i="2"/>
  <c r="AR26" i="2"/>
  <c r="AR36" i="2"/>
  <c r="AB84" i="2"/>
  <c r="AB26" i="2"/>
  <c r="AB36" i="2"/>
  <c r="AB40" i="2" s="1"/>
  <c r="AA84" i="2"/>
  <c r="AA36" i="2"/>
  <c r="AA26" i="2"/>
  <c r="AP87" i="2"/>
  <c r="AP37" i="2"/>
  <c r="AH91" i="2"/>
  <c r="AH105" i="2" s="1"/>
  <c r="AH116" i="2" s="1"/>
  <c r="AH124" i="2" s="1"/>
  <c r="AH39" i="2"/>
  <c r="AD88" i="2"/>
  <c r="AD38" i="2"/>
  <c r="AR87" i="2"/>
  <c r="AR37" i="2"/>
  <c r="AG84" i="2"/>
  <c r="AG36" i="2"/>
  <c r="AG40" i="2" s="1"/>
  <c r="AG68" i="2" s="1"/>
  <c r="AG26" i="2"/>
  <c r="AI84" i="2"/>
  <c r="AI36" i="2"/>
  <c r="AI26" i="2"/>
  <c r="AQ91" i="2"/>
  <c r="AQ105" i="2" s="1"/>
  <c r="AQ116" i="2" s="1"/>
  <c r="AQ124" i="2" s="1"/>
  <c r="AQ39" i="2"/>
  <c r="AA91" i="2"/>
  <c r="AA105" i="2" s="1"/>
  <c r="AA116" i="2" s="1"/>
  <c r="AA124" i="2" s="1"/>
  <c r="AA39" i="2"/>
  <c r="AE88" i="2"/>
  <c r="AE38" i="2"/>
  <c r="AI87" i="2"/>
  <c r="AI37" i="2"/>
  <c r="AN26" i="2"/>
  <c r="AN84" i="2"/>
  <c r="AN36" i="2"/>
  <c r="AV25" i="2"/>
  <c r="AV24" i="2"/>
  <c r="AV23" i="2"/>
  <c r="AV17" i="2"/>
  <c r="AV22" i="2"/>
  <c r="AV18" i="2"/>
  <c r="AQ84" i="2"/>
  <c r="AQ36" i="2"/>
  <c r="AQ26" i="2"/>
  <c r="AU25" i="2"/>
  <c r="AU24" i="2"/>
  <c r="AU23" i="2"/>
  <c r="AU22" i="2"/>
  <c r="AU17" i="2"/>
  <c r="AS95" i="2"/>
  <c r="AS89" i="2"/>
  <c r="Z84" i="2"/>
  <c r="Z26" i="2"/>
  <c r="Z36" i="2"/>
  <c r="AL88" i="2"/>
  <c r="AL38" i="2"/>
  <c r="AL40" i="2" s="1"/>
  <c r="AL68" i="2" s="1"/>
  <c r="Z87" i="2"/>
  <c r="Z37" i="2"/>
  <c r="L54" i="2"/>
  <c r="L55" i="2" s="1"/>
  <c r="AH26" i="2"/>
  <c r="AK95" i="2"/>
  <c r="AK89" i="2"/>
  <c r="AK80" i="2"/>
  <c r="AC110" i="2"/>
  <c r="AC101" i="2"/>
  <c r="AT88" i="2"/>
  <c r="AT38" i="2"/>
  <c r="AV54" i="2"/>
  <c r="AF88" i="2"/>
  <c r="AF38" i="2"/>
  <c r="AJ87" i="2"/>
  <c r="AJ37" i="2"/>
  <c r="AO84" i="2"/>
  <c r="AO36" i="2"/>
  <c r="AO40" i="2" s="1"/>
  <c r="AO68" i="2" s="1"/>
  <c r="AO26" i="2"/>
  <c r="Y36" i="2"/>
  <c r="Y40" i="2" s="1"/>
  <c r="Y68" i="2" s="1"/>
  <c r="Y84" i="2"/>
  <c r="Y26" i="2"/>
  <c r="AI91" i="2"/>
  <c r="AI105" i="2" s="1"/>
  <c r="AI116" i="2" s="1"/>
  <c r="AI124" i="2" s="1"/>
  <c r="AI39" i="2"/>
  <c r="AM88" i="2"/>
  <c r="AM38" i="2"/>
  <c r="AQ87" i="2"/>
  <c r="AQ37" i="2"/>
  <c r="AA87" i="2"/>
  <c r="AA101" i="2" s="1"/>
  <c r="AA37" i="2"/>
  <c r="AF84" i="2"/>
  <c r="AF26" i="2"/>
  <c r="AF36" i="2"/>
  <c r="AE84" i="2"/>
  <c r="AE26" i="2"/>
  <c r="AE36" i="2"/>
  <c r="AW33" i="2"/>
  <c r="AC95" i="2"/>
  <c r="AC89" i="2"/>
  <c r="AC80" i="2"/>
  <c r="AD97" i="2"/>
  <c r="AD85" i="2"/>
  <c r="AD86" i="2"/>
  <c r="AO89" i="2"/>
  <c r="AO80" i="2"/>
  <c r="AG110" i="2"/>
  <c r="AG101" i="2"/>
  <c r="AH38" i="2"/>
  <c r="AH88" i="2"/>
  <c r="AC116" i="2"/>
  <c r="AT84" i="2"/>
  <c r="AT26" i="2"/>
  <c r="AT36" i="2"/>
  <c r="AT40" i="2" s="1"/>
  <c r="W106" i="1"/>
  <c r="W117" i="1"/>
  <c r="W118" i="1" s="1"/>
  <c r="W133" i="1" s="1"/>
  <c r="G119" i="1"/>
  <c r="G106" i="1"/>
  <c r="G117" i="1"/>
  <c r="G118" i="1" s="1"/>
  <c r="G133" i="1" s="1"/>
  <c r="S119" i="1"/>
  <c r="S106" i="1"/>
  <c r="S117" i="1"/>
  <c r="S118" i="1" s="1"/>
  <c r="S133" i="1" s="1"/>
  <c r="X98" i="1"/>
  <c r="X102" i="1"/>
  <c r="V106" i="1"/>
  <c r="J127" i="1"/>
  <c r="Q105" i="1"/>
  <c r="Q55" i="1"/>
  <c r="Q54" i="1" s="1"/>
  <c r="R98" i="1"/>
  <c r="R102" i="1"/>
  <c r="K102" i="1"/>
  <c r="K98" i="1"/>
  <c r="H98" i="1"/>
  <c r="H102" i="1"/>
  <c r="I102" i="1"/>
  <c r="I98" i="1"/>
  <c r="R107" i="1"/>
  <c r="L105" i="1"/>
  <c r="L55" i="1"/>
  <c r="L54" i="1" s="1"/>
  <c r="U102" i="1"/>
  <c r="U98" i="1"/>
  <c r="E102" i="1"/>
  <c r="E98" i="1"/>
  <c r="L98" i="1"/>
  <c r="L102" i="1"/>
  <c r="G102" i="1"/>
  <c r="G98" i="1"/>
  <c r="R55" i="1"/>
  <c r="R54" i="1" s="1"/>
  <c r="X91" i="1"/>
  <c r="V117" i="1"/>
  <c r="V118" i="1" s="1"/>
  <c r="V133" i="1" s="1"/>
  <c r="M107" i="1"/>
  <c r="O106" i="1"/>
  <c r="R127" i="1"/>
  <c r="S102" i="1"/>
  <c r="S98" i="1"/>
  <c r="J98" i="1"/>
  <c r="J102" i="1"/>
  <c r="I105" i="1"/>
  <c r="I55" i="1"/>
  <c r="I54" i="1" s="1"/>
  <c r="R91" i="1"/>
  <c r="K91" i="1"/>
  <c r="H91" i="1"/>
  <c r="I91" i="1"/>
  <c r="N107" i="1"/>
  <c r="N55" i="1"/>
  <c r="N54" i="1" s="1"/>
  <c r="X105" i="1"/>
  <c r="X55" i="1"/>
  <c r="X54" i="1" s="1"/>
  <c r="H105" i="1"/>
  <c r="H55" i="1"/>
  <c r="H54" i="1" s="1"/>
  <c r="U91" i="1"/>
  <c r="E91" i="1"/>
  <c r="L91" i="1"/>
  <c r="G91" i="1"/>
  <c r="T98" i="1"/>
  <c r="T102" i="1"/>
  <c r="W55" i="1"/>
  <c r="W54" i="1" s="1"/>
  <c r="G55" i="1"/>
  <c r="G54" i="1" s="1"/>
  <c r="F106" i="1"/>
  <c r="S91" i="1"/>
  <c r="J91" i="1"/>
  <c r="V98" i="1"/>
  <c r="V102" i="1"/>
  <c r="P98" i="1"/>
  <c r="P102" i="1"/>
  <c r="S55" i="1"/>
  <c r="S54" i="1" s="1"/>
  <c r="O102" i="1"/>
  <c r="O98" i="1"/>
  <c r="J107" i="1"/>
  <c r="T105" i="1"/>
  <c r="T55" i="1"/>
  <c r="T54" i="1" s="1"/>
  <c r="M102" i="1"/>
  <c r="M98" i="1"/>
  <c r="K119" i="1"/>
  <c r="K106" i="1"/>
  <c r="M106" i="1"/>
  <c r="O117" i="1"/>
  <c r="O118" i="1" s="1"/>
  <c r="O133" i="1" s="1"/>
  <c r="T91" i="1"/>
  <c r="N106" i="1"/>
  <c r="W102" i="1"/>
  <c r="W98" i="1"/>
  <c r="N98" i="1"/>
  <c r="N102" i="1"/>
  <c r="F98" i="1"/>
  <c r="F102" i="1"/>
  <c r="Y105" i="1"/>
  <c r="Y55" i="1"/>
  <c r="Y54" i="1" s="1"/>
  <c r="V91" i="1"/>
  <c r="U119" i="1"/>
  <c r="U106" i="1"/>
  <c r="P91" i="1"/>
  <c r="O91" i="1"/>
  <c r="F107" i="1"/>
  <c r="F55" i="1"/>
  <c r="F54" i="1" s="1"/>
  <c r="P105" i="1"/>
  <c r="P55" i="1"/>
  <c r="P54" i="1" s="1"/>
  <c r="Y91" i="1"/>
  <c r="M91" i="1"/>
  <c r="U117" i="1"/>
  <c r="U118" i="1" s="1"/>
  <c r="U133" i="1" s="1"/>
  <c r="Q102" i="1"/>
  <c r="Q98" i="1"/>
  <c r="F51" i="6" l="1"/>
  <c r="E58" i="6"/>
  <c r="E55" i="6"/>
  <c r="AH99" i="2"/>
  <c r="AH92" i="2"/>
  <c r="AT69" i="2"/>
  <c r="AT68" i="2"/>
  <c r="AE97" i="2"/>
  <c r="AE86" i="2"/>
  <c r="AE85" i="2" s="1"/>
  <c r="AK103" i="2"/>
  <c r="AK93" i="2"/>
  <c r="Z40" i="2"/>
  <c r="Z68" i="2" s="1"/>
  <c r="AU88" i="2"/>
  <c r="AU38" i="2"/>
  <c r="AV87" i="2"/>
  <c r="AV37" i="2"/>
  <c r="AD80" i="2"/>
  <c r="AD95" i="2"/>
  <c r="AD89" i="2"/>
  <c r="AP110" i="2"/>
  <c r="AP101" i="2"/>
  <c r="AB46" i="2"/>
  <c r="AB53" i="2"/>
  <c r="AB91" i="2"/>
  <c r="AB105" i="2" s="1"/>
  <c r="AB116" i="2" s="1"/>
  <c r="AB124" i="2" s="1"/>
  <c r="AL99" i="2"/>
  <c r="AL92" i="2"/>
  <c r="AH110" i="2"/>
  <c r="AH101" i="2"/>
  <c r="AD110" i="2"/>
  <c r="AD101" i="2"/>
  <c r="AO103" i="2"/>
  <c r="AO93" i="2"/>
  <c r="AF40" i="2"/>
  <c r="AF68" i="2" s="1"/>
  <c r="AA114" i="2"/>
  <c r="AA121" i="2" s="1"/>
  <c r="AC102" i="2"/>
  <c r="AM89" i="2"/>
  <c r="AM95" i="2"/>
  <c r="AM80" i="2"/>
  <c r="Y86" i="2"/>
  <c r="Y85" i="2" s="1"/>
  <c r="AO97" i="2"/>
  <c r="AO86" i="2"/>
  <c r="AO85" i="2"/>
  <c r="AF95" i="2"/>
  <c r="AF89" i="2"/>
  <c r="AF80" i="2"/>
  <c r="AC114" i="2"/>
  <c r="AU39" i="2"/>
  <c r="AU91" i="2"/>
  <c r="AU105" i="2" s="1"/>
  <c r="AV88" i="2"/>
  <c r="AV38" i="2"/>
  <c r="AE80" i="2"/>
  <c r="AE95" i="2"/>
  <c r="AE89" i="2"/>
  <c r="AR110" i="2"/>
  <c r="AR101" i="2"/>
  <c r="AR97" i="2"/>
  <c r="AR86" i="2"/>
  <c r="AR85" i="2" s="1"/>
  <c r="AI89" i="2"/>
  <c r="AI80" i="2"/>
  <c r="AI95" i="2"/>
  <c r="AS114" i="2"/>
  <c r="AS121" i="2" s="1"/>
  <c r="AJ40" i="2"/>
  <c r="AJ68" i="2" s="1"/>
  <c r="AE101" i="2"/>
  <c r="AE110" i="2"/>
  <c r="AQ95" i="2"/>
  <c r="AQ89" i="2"/>
  <c r="AN95" i="2"/>
  <c r="AN89" i="2"/>
  <c r="AN80" i="2"/>
  <c r="AO114" i="2"/>
  <c r="AO121" i="2" s="1"/>
  <c r="AP86" i="2"/>
  <c r="AP85" i="2" s="1"/>
  <c r="AP97" i="2"/>
  <c r="AD99" i="2"/>
  <c r="AD92" i="2"/>
  <c r="AT95" i="2"/>
  <c r="AT89" i="2"/>
  <c r="AQ97" i="2"/>
  <c r="AQ86" i="2"/>
  <c r="AQ85" i="2" s="1"/>
  <c r="AN97" i="2"/>
  <c r="AN86" i="2"/>
  <c r="AN85" i="2"/>
  <c r="AI85" i="2"/>
  <c r="AI97" i="2"/>
  <c r="AJ98" i="2" s="1"/>
  <c r="AI86" i="2"/>
  <c r="AM85" i="2"/>
  <c r="AM97" i="2"/>
  <c r="AM86" i="2"/>
  <c r="AN110" i="2"/>
  <c r="AN101" i="2"/>
  <c r="AK114" i="2"/>
  <c r="AK121" i="2" s="1"/>
  <c r="AT97" i="2"/>
  <c r="AT86" i="2"/>
  <c r="AT85" i="2" s="1"/>
  <c r="AG114" i="2"/>
  <c r="AG121" i="2" s="1"/>
  <c r="AO95" i="2"/>
  <c r="AE40" i="2"/>
  <c r="AE68" i="2" s="1"/>
  <c r="AV55" i="2"/>
  <c r="AY55" i="2" s="1"/>
  <c r="AY54" i="2"/>
  <c r="Z86" i="2"/>
  <c r="Z85" i="2"/>
  <c r="AU26" i="2"/>
  <c r="AU84" i="2"/>
  <c r="AU36" i="2"/>
  <c r="AV84" i="2"/>
  <c r="AV26" i="2"/>
  <c r="AY26" i="2" s="1"/>
  <c r="AW22" i="2"/>
  <c r="AV36" i="2"/>
  <c r="AV91" i="2"/>
  <c r="AV105" i="2" s="1"/>
  <c r="AV116" i="2" s="1"/>
  <c r="AV124" i="2" s="1"/>
  <c r="AV39" i="2"/>
  <c r="AY39" i="2" s="1"/>
  <c r="AA40" i="2"/>
  <c r="AA68" i="2" s="1"/>
  <c r="AB97" i="2"/>
  <c r="AB86" i="2"/>
  <c r="AB85" i="2" s="1"/>
  <c r="AK97" i="2"/>
  <c r="AK86" i="2"/>
  <c r="AK85" i="2" s="1"/>
  <c r="AN98" i="2"/>
  <c r="AM40" i="2"/>
  <c r="AM68" i="2" s="1"/>
  <c r="AS85" i="2"/>
  <c r="AS97" i="2"/>
  <c r="AS86" i="2"/>
  <c r="AJ95" i="2"/>
  <c r="AJ89" i="2"/>
  <c r="AJ80" i="2"/>
  <c r="AT110" i="2"/>
  <c r="AT101" i="2"/>
  <c r="AO110" i="2"/>
  <c r="AL110" i="2"/>
  <c r="AL101" i="2"/>
  <c r="AH80" i="2"/>
  <c r="AH95" i="2"/>
  <c r="AH89" i="2"/>
  <c r="AC124" i="2"/>
  <c r="AC103" i="2"/>
  <c r="AC93" i="2"/>
  <c r="AF97" i="2"/>
  <c r="AF98" i="2" s="1"/>
  <c r="AF86" i="2"/>
  <c r="AF85" i="2" s="1"/>
  <c r="AQ101" i="2"/>
  <c r="AQ110" i="2"/>
  <c r="AJ110" i="2"/>
  <c r="AJ101" i="2"/>
  <c r="AL80" i="2"/>
  <c r="AL95" i="2"/>
  <c r="AL89" i="2"/>
  <c r="AS103" i="2"/>
  <c r="AS93" i="2"/>
  <c r="AU87" i="2"/>
  <c r="AU37" i="2"/>
  <c r="AQ40" i="2"/>
  <c r="AQ68" i="2" s="1"/>
  <c r="AN40" i="2"/>
  <c r="AN68" i="2" s="1"/>
  <c r="AI101" i="2"/>
  <c r="AI110" i="2"/>
  <c r="AI40" i="2"/>
  <c r="AI68" i="2" s="1"/>
  <c r="AG86" i="2"/>
  <c r="AG85" i="2" s="1"/>
  <c r="AG97" i="2"/>
  <c r="AA85" i="2"/>
  <c r="AA97" i="2"/>
  <c r="AA86" i="2"/>
  <c r="AR40" i="2"/>
  <c r="AR68" i="2" s="1"/>
  <c r="AM101" i="2"/>
  <c r="AM110" i="2"/>
  <c r="AR95" i="2"/>
  <c r="AR89" i="2"/>
  <c r="AG103" i="2"/>
  <c r="AG93" i="2"/>
  <c r="AH40" i="2"/>
  <c r="AH68" i="2" s="1"/>
  <c r="AJ97" i="2"/>
  <c r="AJ86" i="2"/>
  <c r="AJ85" i="2"/>
  <c r="AA89" i="2"/>
  <c r="AA95" i="2"/>
  <c r="AA80" i="2"/>
  <c r="AC97" i="2"/>
  <c r="AC86" i="2"/>
  <c r="AC85" i="2" s="1"/>
  <c r="AP80" i="2"/>
  <c r="AP95" i="2"/>
  <c r="AP89" i="2"/>
  <c r="AB114" i="2"/>
  <c r="AB121" i="2" s="1"/>
  <c r="AD102" i="2"/>
  <c r="AC42" i="2"/>
  <c r="AD3" i="2"/>
  <c r="AD40" i="2"/>
  <c r="AD68" i="2" s="1"/>
  <c r="AP40" i="2"/>
  <c r="AP68" i="2" s="1"/>
  <c r="AF110" i="2"/>
  <c r="AF101" i="2"/>
  <c r="F108" i="1"/>
  <c r="F128" i="1" s="1"/>
  <c r="F117" i="1"/>
  <c r="F118" i="1" s="1"/>
  <c r="F133" i="1" s="1"/>
  <c r="K127" i="1"/>
  <c r="K134" i="1" s="1"/>
  <c r="K120" i="1"/>
  <c r="K122" i="1"/>
  <c r="F122" i="1"/>
  <c r="F127" i="1"/>
  <c r="F134" i="1" s="1"/>
  <c r="F120" i="1"/>
  <c r="L106" i="1"/>
  <c r="L117" i="1"/>
  <c r="L118" i="1" s="1"/>
  <c r="L133" i="1" s="1"/>
  <c r="V119" i="1"/>
  <c r="S127" i="1"/>
  <c r="S134" i="1" s="1"/>
  <c r="S120" i="1"/>
  <c r="S122" i="1"/>
  <c r="T119" i="1"/>
  <c r="T106" i="1"/>
  <c r="T117" i="1"/>
  <c r="T118" i="1" s="1"/>
  <c r="T133" i="1" s="1"/>
  <c r="F119" i="1"/>
  <c r="X119" i="1"/>
  <c r="X106" i="1"/>
  <c r="X117" i="1"/>
  <c r="X118" i="1" s="1"/>
  <c r="X133" i="1" s="1"/>
  <c r="B152" i="1" s="1"/>
  <c r="I106" i="1"/>
  <c r="I119" i="1"/>
  <c r="I117" i="1"/>
  <c r="I118" i="1" s="1"/>
  <c r="I133" i="1" s="1"/>
  <c r="O127" i="1"/>
  <c r="O134" i="1" s="1"/>
  <c r="O120" i="1"/>
  <c r="O122" i="1"/>
  <c r="R108" i="1"/>
  <c r="R117" i="1"/>
  <c r="R118" i="1" s="1"/>
  <c r="R133" i="1" s="1"/>
  <c r="R119" i="1"/>
  <c r="P106" i="1"/>
  <c r="P117" i="1"/>
  <c r="P118" i="1" s="1"/>
  <c r="P133" i="1" s="1"/>
  <c r="N122" i="1"/>
  <c r="N127" i="1"/>
  <c r="M122" i="1"/>
  <c r="M127" i="1"/>
  <c r="J108" i="1"/>
  <c r="J117" i="1"/>
  <c r="J118" i="1" s="1"/>
  <c r="J133" i="1" s="1"/>
  <c r="O119" i="1"/>
  <c r="W127" i="1"/>
  <c r="W134" i="1" s="1"/>
  <c r="W120" i="1"/>
  <c r="W122" i="1"/>
  <c r="U122" i="1"/>
  <c r="U127" i="1"/>
  <c r="U134" i="1" s="1"/>
  <c r="U120" i="1"/>
  <c r="Y106" i="1"/>
  <c r="Y117" i="1"/>
  <c r="Y118" i="1" s="1"/>
  <c r="Y133" i="1" s="1"/>
  <c r="B161" i="1" s="1"/>
  <c r="H119" i="1"/>
  <c r="H106" i="1"/>
  <c r="H117" i="1"/>
  <c r="H118" i="1" s="1"/>
  <c r="H133" i="1" s="1"/>
  <c r="N108" i="1"/>
  <c r="N128" i="1" s="1"/>
  <c r="N117" i="1"/>
  <c r="M108" i="1"/>
  <c r="M128" i="1" s="1"/>
  <c r="M117" i="1"/>
  <c r="Q106" i="1"/>
  <c r="Q119" i="1"/>
  <c r="Q117" i="1"/>
  <c r="Q118" i="1" s="1"/>
  <c r="Q133" i="1" s="1"/>
  <c r="V122" i="1"/>
  <c r="V127" i="1"/>
  <c r="V134" i="1" s="1"/>
  <c r="V120" i="1"/>
  <c r="G127" i="1"/>
  <c r="G134" i="1" s="1"/>
  <c r="G120" i="1"/>
  <c r="G122" i="1"/>
  <c r="W119" i="1"/>
  <c r="G51" i="6" l="1"/>
  <c r="F55" i="6"/>
  <c r="F58" i="6"/>
  <c r="AG99" i="2"/>
  <c r="AG92" i="2"/>
  <c r="AB99" i="2"/>
  <c r="AP99" i="2"/>
  <c r="AP92" i="2"/>
  <c r="AQ99" i="2"/>
  <c r="AQ92" i="2"/>
  <c r="AC99" i="2"/>
  <c r="AC92" i="2"/>
  <c r="AR99" i="2"/>
  <c r="AR92" i="2"/>
  <c r="AE99" i="2"/>
  <c r="AE92" i="2"/>
  <c r="AF99" i="2"/>
  <c r="AF92" i="2"/>
  <c r="AK99" i="2"/>
  <c r="AK92" i="2"/>
  <c r="AT99" i="2"/>
  <c r="AT92" i="2"/>
  <c r="AJ103" i="2"/>
  <c r="AJ93" i="2"/>
  <c r="AV95" i="2"/>
  <c r="AV89" i="2"/>
  <c r="AZ88" i="2"/>
  <c r="AO115" i="2"/>
  <c r="AB52" i="2"/>
  <c r="AB54" i="2" s="1"/>
  <c r="AB88" i="2"/>
  <c r="AK115" i="2"/>
  <c r="AC106" i="2"/>
  <c r="AE98" i="2"/>
  <c r="AQ114" i="2"/>
  <c r="AQ121" i="2" s="1"/>
  <c r="AQ108" i="2"/>
  <c r="AS102" i="2"/>
  <c r="AH103" i="2"/>
  <c r="AH93" i="2"/>
  <c r="AN114" i="2"/>
  <c r="AN121" i="2" s="1"/>
  <c r="AP102" i="2"/>
  <c r="AQ103" i="2"/>
  <c r="AQ93" i="2"/>
  <c r="AH114" i="2"/>
  <c r="AH121" i="2" s="1"/>
  <c r="AH108" i="2"/>
  <c r="AJ102" i="2"/>
  <c r="AG115" i="2"/>
  <c r="AM114" i="2"/>
  <c r="AM121" i="2" s="1"/>
  <c r="AO122" i="2" s="1"/>
  <c r="AO102" i="2"/>
  <c r="AA99" i="2"/>
  <c r="AA92" i="2"/>
  <c r="AS115" i="2"/>
  <c r="AJ108" i="2"/>
  <c r="AJ114" i="2"/>
  <c r="AJ121" i="2" s="1"/>
  <c r="AL102" i="2"/>
  <c r="AC115" i="2"/>
  <c r="AD98" i="2"/>
  <c r="AV40" i="2"/>
  <c r="AY36" i="2"/>
  <c r="AU40" i="2"/>
  <c r="BA105" i="2"/>
  <c r="AM102" i="2"/>
  <c r="AN99" i="2"/>
  <c r="AN92" i="2"/>
  <c r="AS98" i="2"/>
  <c r="AT98" i="2"/>
  <c r="AU116" i="2"/>
  <c r="BB105" i="2"/>
  <c r="AC121" i="2"/>
  <c r="AO99" i="2"/>
  <c r="AO92" i="2"/>
  <c r="AZ105" i="2"/>
  <c r="AL112" i="2"/>
  <c r="AP114" i="2"/>
  <c r="AP121" i="2" s="1"/>
  <c r="AP108" i="2"/>
  <c r="AR102" i="2"/>
  <c r="AY88" i="2"/>
  <c r="AU89" i="2"/>
  <c r="AU95" i="2"/>
  <c r="AJ99" i="2"/>
  <c r="AJ92" i="2"/>
  <c r="AS99" i="2"/>
  <c r="AS92" i="2"/>
  <c r="AV97" i="2"/>
  <c r="AV86" i="2"/>
  <c r="AZ84" i="2"/>
  <c r="AV85" i="2"/>
  <c r="AM99" i="2"/>
  <c r="AM92" i="2"/>
  <c r="AI99" i="2"/>
  <c r="AI92" i="2"/>
  <c r="AE103" i="2"/>
  <c r="AE93" i="2"/>
  <c r="AF108" i="2"/>
  <c r="AF114" i="2"/>
  <c r="AF121" i="2" s="1"/>
  <c r="AH122" i="2" s="1"/>
  <c r="AH102" i="2"/>
  <c r="AD42" i="2"/>
  <c r="AE3" i="2"/>
  <c r="AU85" i="2"/>
  <c r="AU97" i="2"/>
  <c r="BB97" i="2" s="1"/>
  <c r="AY84" i="2"/>
  <c r="AU86" i="2"/>
  <c r="AI102" i="2"/>
  <c r="AD112" i="2"/>
  <c r="AF100" i="2"/>
  <c r="AQ102" i="2"/>
  <c r="AN93" i="2"/>
  <c r="AN103" i="2"/>
  <c r="AI103" i="2"/>
  <c r="AI104" i="2" s="1"/>
  <c r="AI93" i="2"/>
  <c r="AR114" i="2"/>
  <c r="AR121" i="2" s="1"/>
  <c r="AR108" i="2"/>
  <c r="AT102" i="2"/>
  <c r="AD114" i="2"/>
  <c r="AD121" i="2" s="1"/>
  <c r="AD108" i="2"/>
  <c r="AF102" i="2"/>
  <c r="AY37" i="2"/>
  <c r="AE106" i="2"/>
  <c r="AG98" i="2"/>
  <c r="AA106" i="2"/>
  <c r="AC98" i="2"/>
  <c r="AM103" i="2"/>
  <c r="AM93" i="2"/>
  <c r="AJ106" i="2"/>
  <c r="AL98" i="2"/>
  <c r="AR103" i="2"/>
  <c r="AR93" i="2"/>
  <c r="AG106" i="2"/>
  <c r="AI98" i="2"/>
  <c r="AL103" i="2"/>
  <c r="AL93" i="2"/>
  <c r="AT114" i="2"/>
  <c r="AT121" i="2" s="1"/>
  <c r="AT108" i="2"/>
  <c r="AV102" i="2"/>
  <c r="AK106" i="2"/>
  <c r="AM98" i="2"/>
  <c r="AP103" i="2"/>
  <c r="AP93" i="2"/>
  <c r="AA103" i="2"/>
  <c r="AA93" i="2"/>
  <c r="AI114" i="2"/>
  <c r="AI121" i="2" s="1"/>
  <c r="AK122" i="2" s="1"/>
  <c r="AI108" i="2"/>
  <c r="AK102" i="2"/>
  <c r="AU101" i="2"/>
  <c r="AU102" i="2" s="1"/>
  <c r="AU110" i="2"/>
  <c r="AY87" i="2"/>
  <c r="AH98" i="2"/>
  <c r="AY105" i="2"/>
  <c r="AL114" i="2"/>
  <c r="AL121" i="2" s="1"/>
  <c r="AN122" i="2" s="1"/>
  <c r="AL108" i="2"/>
  <c r="AN102" i="2"/>
  <c r="AS106" i="2"/>
  <c r="AU98" i="2"/>
  <c r="AM106" i="2"/>
  <c r="AO98" i="2"/>
  <c r="AK98" i="2"/>
  <c r="AN106" i="2"/>
  <c r="AP98" i="2"/>
  <c r="AT103" i="2"/>
  <c r="AT93" i="2"/>
  <c r="AP106" i="2"/>
  <c r="AR98" i="2"/>
  <c r="AE108" i="2"/>
  <c r="AE114" i="2"/>
  <c r="AE121" i="2" s="1"/>
  <c r="AG122" i="2" s="1"/>
  <c r="AG102" i="2"/>
  <c r="AY38" i="2"/>
  <c r="AE102" i="2"/>
  <c r="AF93" i="2"/>
  <c r="AF103" i="2"/>
  <c r="AO106" i="2"/>
  <c r="AQ98" i="2"/>
  <c r="AC122" i="2"/>
  <c r="AB122" i="2"/>
  <c r="AA122" i="2"/>
  <c r="AH106" i="2"/>
  <c r="AD103" i="2"/>
  <c r="AD93" i="2"/>
  <c r="AV110" i="2"/>
  <c r="AV101" i="2"/>
  <c r="AZ87" i="2"/>
  <c r="BA87" i="2" s="1"/>
  <c r="AH112" i="2"/>
  <c r="AJ100" i="2"/>
  <c r="H127" i="1"/>
  <c r="H134" i="1" s="1"/>
  <c r="H120" i="1"/>
  <c r="H122" i="1"/>
  <c r="Y127" i="1"/>
  <c r="Y120" i="1"/>
  <c r="Q122" i="1"/>
  <c r="Q127" i="1"/>
  <c r="Q134" i="1" s="1"/>
  <c r="Q120" i="1"/>
  <c r="N118" i="1"/>
  <c r="N133" i="1" s="1"/>
  <c r="N119" i="1"/>
  <c r="J119" i="1"/>
  <c r="I122" i="1"/>
  <c r="I127" i="1"/>
  <c r="I134" i="1" s="1"/>
  <c r="I120" i="1"/>
  <c r="M118" i="1"/>
  <c r="M119" i="1"/>
  <c r="J128" i="1"/>
  <c r="J134" i="1" s="1"/>
  <c r="J122" i="1"/>
  <c r="J120" i="1"/>
  <c r="N120" i="1"/>
  <c r="P127" i="1"/>
  <c r="P134" i="1" s="1"/>
  <c r="P120" i="1"/>
  <c r="P122" i="1"/>
  <c r="L127" i="1"/>
  <c r="L134" i="1" s="1"/>
  <c r="L120" i="1"/>
  <c r="L122" i="1"/>
  <c r="Y119" i="1"/>
  <c r="Y121" i="1" s="1"/>
  <c r="N134" i="1"/>
  <c r="P119" i="1"/>
  <c r="R128" i="1"/>
  <c r="R134" i="1" s="1"/>
  <c r="R120" i="1"/>
  <c r="R122" i="1"/>
  <c r="X127" i="1"/>
  <c r="X120" i="1"/>
  <c r="X122" i="1"/>
  <c r="T127" i="1"/>
  <c r="T134" i="1" s="1"/>
  <c r="T120" i="1"/>
  <c r="T122" i="1"/>
  <c r="L119" i="1"/>
  <c r="G55" i="6" l="1"/>
  <c r="G58" i="6"/>
  <c r="H51" i="6"/>
  <c r="BA102" i="2"/>
  <c r="AU104" i="2"/>
  <c r="AU109" i="2" s="1"/>
  <c r="AU69" i="2"/>
  <c r="AU68" i="2"/>
  <c r="AL122" i="2"/>
  <c r="AQ115" i="2"/>
  <c r="AS104" i="2"/>
  <c r="AH115" i="2"/>
  <c r="AJ104" i="2"/>
  <c r="AJ109" i="2" s="1"/>
  <c r="AY97" i="2"/>
  <c r="AB95" i="2"/>
  <c r="AB89" i="2"/>
  <c r="AB80" i="2"/>
  <c r="AZ101" i="2"/>
  <c r="AR112" i="2"/>
  <c r="AT100" i="2"/>
  <c r="AT131" i="2" s="1"/>
  <c r="AQ112" i="2"/>
  <c r="AS100" i="2"/>
  <c r="AS131" i="2" s="1"/>
  <c r="AB92" i="2"/>
  <c r="AR115" i="2"/>
  <c r="AT104" i="2"/>
  <c r="AT109" i="2" s="1"/>
  <c r="BB102" i="2"/>
  <c r="AO112" i="2"/>
  <c r="AQ100" i="2"/>
  <c r="AQ131" i="2" s="1"/>
  <c r="AO108" i="2"/>
  <c r="AP107" i="2"/>
  <c r="AO107" i="2"/>
  <c r="AP115" i="2"/>
  <c r="AR104" i="2"/>
  <c r="AR109" i="2" s="1"/>
  <c r="AM115" i="2"/>
  <c r="AO104" i="2"/>
  <c r="AN115" i="2"/>
  <c r="AP104" i="2"/>
  <c r="AP109" i="2" s="1"/>
  <c r="AD120" i="2"/>
  <c r="AU106" i="2"/>
  <c r="AE115" i="2"/>
  <c r="AG104" i="2"/>
  <c r="AM112" i="2"/>
  <c r="AO100" i="2"/>
  <c r="AO131" i="2" s="1"/>
  <c r="BA84" i="2"/>
  <c r="AS112" i="2"/>
  <c r="AU100" i="2"/>
  <c r="AU131" i="2" s="1"/>
  <c r="AS108" i="2"/>
  <c r="AE122" i="2"/>
  <c r="AR106" i="2"/>
  <c r="AN112" i="2"/>
  <c r="AP100" i="2"/>
  <c r="AP131" i="2" s="1"/>
  <c r="AC123" i="2"/>
  <c r="AC118" i="2"/>
  <c r="AA112" i="2"/>
  <c r="AC100" i="2"/>
  <c r="AA108" i="2"/>
  <c r="AJ122" i="2"/>
  <c r="AZ97" i="2"/>
  <c r="AE107" i="2"/>
  <c r="AB55" i="2"/>
  <c r="AB68" i="2"/>
  <c r="AV93" i="2"/>
  <c r="AV103" i="2"/>
  <c r="AV115" i="2" s="1"/>
  <c r="AJ115" i="2"/>
  <c r="AL104" i="2"/>
  <c r="AK112" i="2"/>
  <c r="AM100" i="2"/>
  <c r="AM131" i="2" s="1"/>
  <c r="AK108" i="2"/>
  <c r="AB112" i="2"/>
  <c r="AD100" i="2"/>
  <c r="AB108" i="2"/>
  <c r="AL115" i="2"/>
  <c r="AN104" i="2"/>
  <c r="AA107" i="2"/>
  <c r="AZ85" i="2"/>
  <c r="AV99" i="2"/>
  <c r="AV112" i="2" s="1"/>
  <c r="AV92" i="2"/>
  <c r="AL120" i="2"/>
  <c r="AN132" i="2"/>
  <c r="AM122" i="2"/>
  <c r="AO133" i="2" s="1"/>
  <c r="AU114" i="2"/>
  <c r="AU121" i="2" s="1"/>
  <c r="AU122" i="2" s="1"/>
  <c r="AV122" i="2"/>
  <c r="AF122" i="2"/>
  <c r="AT122" i="2"/>
  <c r="AV133" i="2" s="1"/>
  <c r="AI109" i="2"/>
  <c r="AU99" i="2"/>
  <c r="AU112" i="2" s="1"/>
  <c r="AU92" i="2"/>
  <c r="AY85" i="2"/>
  <c r="AV98" i="2"/>
  <c r="AZ98" i="2" s="1"/>
  <c r="AU103" i="2"/>
  <c r="AU115" i="2" s="1"/>
  <c r="AU93" i="2"/>
  <c r="AR122" i="2"/>
  <c r="AZ102" i="2"/>
  <c r="AV68" i="2"/>
  <c r="AY40" i="2"/>
  <c r="AV69" i="2"/>
  <c r="AO109" i="2"/>
  <c r="AG123" i="2"/>
  <c r="AG118" i="2"/>
  <c r="AY101" i="2"/>
  <c r="AN108" i="2"/>
  <c r="BA97" i="2"/>
  <c r="AM104" i="2"/>
  <c r="AQ104" i="2"/>
  <c r="AE112" i="2"/>
  <c r="AF113" i="2" s="1"/>
  <c r="AG100" i="2"/>
  <c r="AG109" i="2" s="1"/>
  <c r="AC112" i="2"/>
  <c r="AE100" i="2"/>
  <c r="BA99" i="2"/>
  <c r="AC108" i="2"/>
  <c r="AD115" i="2"/>
  <c r="BB115" i="2" s="1"/>
  <c r="AF104" i="2"/>
  <c r="AF109" i="2" s="1"/>
  <c r="AD106" i="2"/>
  <c r="AF107" i="2" s="1"/>
  <c r="AI115" i="2"/>
  <c r="AK104" i="2"/>
  <c r="AV108" i="2"/>
  <c r="AV114" i="2"/>
  <c r="AV121" i="2" s="1"/>
  <c r="AZ121" i="2" s="1"/>
  <c r="BB101" i="2"/>
  <c r="AI122" i="2"/>
  <c r="AH120" i="2"/>
  <c r="AF115" i="2"/>
  <c r="AZ115" i="2" s="1"/>
  <c r="AH104" i="2"/>
  <c r="AH109" i="2" s="1"/>
  <c r="AT115" i="2"/>
  <c r="AI106" i="2"/>
  <c r="AK107" i="2" s="1"/>
  <c r="AL106" i="2"/>
  <c r="AN107" i="2" s="1"/>
  <c r="AF106" i="2"/>
  <c r="AH107" i="2" s="1"/>
  <c r="AA115" i="2"/>
  <c r="AD122" i="2"/>
  <c r="BA98" i="2"/>
  <c r="AY98" i="2"/>
  <c r="BA101" i="2"/>
  <c r="AQ109" i="2"/>
  <c r="AF3" i="2"/>
  <c r="AE42" i="2"/>
  <c r="AI112" i="2"/>
  <c r="AK100" i="2"/>
  <c r="AK109" i="2" s="1"/>
  <c r="AT106" i="2"/>
  <c r="AJ112" i="2"/>
  <c r="AL100" i="2"/>
  <c r="AL109" i="2" s="1"/>
  <c r="AN100" i="2"/>
  <c r="AN131" i="2" s="1"/>
  <c r="AY102" i="2"/>
  <c r="AU124" i="2"/>
  <c r="AZ116" i="2"/>
  <c r="BB116" i="2"/>
  <c r="AY116" i="2"/>
  <c r="BA116" i="2"/>
  <c r="AQ106" i="2"/>
  <c r="AS107" i="2" s="1"/>
  <c r="AE104" i="2"/>
  <c r="AE109" i="2" s="1"/>
  <c r="AS123" i="2"/>
  <c r="AS118" i="2"/>
  <c r="AM108" i="2"/>
  <c r="AP122" i="2"/>
  <c r="AR133" i="2" s="1"/>
  <c r="AS122" i="2"/>
  <c r="AU133" i="2" s="1"/>
  <c r="AK123" i="2"/>
  <c r="AK118" i="2"/>
  <c r="AO123" i="2"/>
  <c r="AO118" i="2"/>
  <c r="AQ122" i="2"/>
  <c r="AT112" i="2"/>
  <c r="AV100" i="2"/>
  <c r="AV131" i="2" s="1"/>
  <c r="AF112" i="2"/>
  <c r="AH100" i="2"/>
  <c r="AP112" i="2"/>
  <c r="AR100" i="2"/>
  <c r="AR131" i="2" s="1"/>
  <c r="AG112" i="2"/>
  <c r="AI100" i="2"/>
  <c r="AG108" i="2"/>
  <c r="B155" i="1"/>
  <c r="Y134" i="1"/>
  <c r="M133" i="1"/>
  <c r="M134" i="1" s="1"/>
  <c r="M120" i="1"/>
  <c r="B146" i="1"/>
  <c r="X134" i="1"/>
  <c r="H58" i="6" l="1"/>
  <c r="H55" i="6"/>
  <c r="I51" i="6"/>
  <c r="AA123" i="2"/>
  <c r="AA118" i="2"/>
  <c r="AY68" i="2"/>
  <c r="AW68" i="2"/>
  <c r="AV120" i="2"/>
  <c r="AK120" i="2"/>
  <c r="AK125" i="2" s="1"/>
  <c r="AK117" i="2"/>
  <c r="AM132" i="2"/>
  <c r="AM113" i="2"/>
  <c r="AJ107" i="2"/>
  <c r="AS132" i="2"/>
  <c r="AQ120" i="2"/>
  <c r="AQ117" i="2"/>
  <c r="AS113" i="2"/>
  <c r="AN133" i="2"/>
  <c r="AJ120" i="2"/>
  <c r="AL113" i="2"/>
  <c r="AL117" i="2" s="1"/>
  <c r="AM109" i="2"/>
  <c r="BA85" i="2"/>
  <c r="AB120" i="2"/>
  <c r="AD113" i="2"/>
  <c r="AD117" i="2" s="1"/>
  <c r="AS109" i="2"/>
  <c r="BA100" i="2"/>
  <c r="AZ100" i="2"/>
  <c r="BB100" i="2"/>
  <c r="AY100" i="2"/>
  <c r="BA103" i="2"/>
  <c r="AY121" i="2"/>
  <c r="BB121" i="2"/>
  <c r="AS120" i="2"/>
  <c r="AS125" i="2" s="1"/>
  <c r="AS117" i="2"/>
  <c r="AU132" i="2"/>
  <c r="AU113" i="2"/>
  <c r="AN123" i="2"/>
  <c r="AN118" i="2"/>
  <c r="AP123" i="2"/>
  <c r="AP118" i="2"/>
  <c r="AB103" i="2"/>
  <c r="AB93" i="2"/>
  <c r="AH123" i="2"/>
  <c r="AH118" i="2"/>
  <c r="AZ103" i="2"/>
  <c r="AY124" i="2"/>
  <c r="BB124" i="2"/>
  <c r="BA124" i="2"/>
  <c r="AZ124" i="2"/>
  <c r="AF123" i="2"/>
  <c r="AF118" i="2"/>
  <c r="AP133" i="2"/>
  <c r="BB108" i="2"/>
  <c r="AE120" i="2"/>
  <c r="AE125" i="2" s="1"/>
  <c r="AE117" i="2"/>
  <c r="AG113" i="2"/>
  <c r="AT133" i="2"/>
  <c r="AT107" i="2"/>
  <c r="BA121" i="2"/>
  <c r="AO132" i="2"/>
  <c r="AM120" i="2"/>
  <c r="AM117" i="2"/>
  <c r="AO113" i="2"/>
  <c r="AR123" i="2"/>
  <c r="AR118" i="2"/>
  <c r="AP120" i="2"/>
  <c r="AP125" i="2" s="1"/>
  <c r="AP117" i="2"/>
  <c r="AR132" i="2"/>
  <c r="AR113" i="2"/>
  <c r="AT120" i="2"/>
  <c r="AT125" i="2" s="1"/>
  <c r="AT117" i="2"/>
  <c r="AV132" i="2"/>
  <c r="AV113" i="2"/>
  <c r="AV117" i="2" s="1"/>
  <c r="BA114" i="2"/>
  <c r="AI120" i="2"/>
  <c r="AI125" i="2" s="1"/>
  <c r="AK113" i="2"/>
  <c r="AV104" i="2"/>
  <c r="AV109" i="2" s="1"/>
  <c r="AJ113" i="2"/>
  <c r="AJ117" i="2" s="1"/>
  <c r="AI107" i="2"/>
  <c r="AY114" i="2"/>
  <c r="AY99" i="2"/>
  <c r="BB103" i="2"/>
  <c r="AQ107" i="2"/>
  <c r="AS133" i="2"/>
  <c r="AV106" i="2"/>
  <c r="BA106" i="2" s="1"/>
  <c r="AM107" i="2"/>
  <c r="AT123" i="2"/>
  <c r="AT118" i="2"/>
  <c r="BB99" i="2"/>
  <c r="AC120" i="2"/>
  <c r="AE113" i="2"/>
  <c r="BA112" i="2"/>
  <c r="AZ112" i="2"/>
  <c r="AY112" i="2"/>
  <c r="BB112" i="2"/>
  <c r="AV71" i="2"/>
  <c r="AY69" i="2"/>
  <c r="AZ114" i="2"/>
  <c r="AU123" i="2"/>
  <c r="AU118" i="2"/>
  <c r="AU120" i="2"/>
  <c r="AU125" i="2" s="1"/>
  <c r="AU117" i="2"/>
  <c r="AG107" i="2"/>
  <c r="AU108" i="2"/>
  <c r="BA108" i="2" s="1"/>
  <c r="AL125" i="2"/>
  <c r="AL123" i="2"/>
  <c r="AL118" i="2"/>
  <c r="AJ123" i="2"/>
  <c r="AJ118" i="2"/>
  <c r="BA118" i="2" s="1"/>
  <c r="AY106" i="2"/>
  <c r="AA120" i="2"/>
  <c r="AA125" i="2" s="1"/>
  <c r="AA117" i="2"/>
  <c r="AC113" i="2"/>
  <c r="AC117" i="2" s="1"/>
  <c r="BB114" i="2"/>
  <c r="AE123" i="2"/>
  <c r="AE118" i="2"/>
  <c r="BB118" i="2" s="1"/>
  <c r="AM133" i="2"/>
  <c r="AR107" i="2"/>
  <c r="AT132" i="2"/>
  <c r="AR120" i="2"/>
  <c r="AR125" i="2" s="1"/>
  <c r="AR117" i="2"/>
  <c r="AT113" i="2"/>
  <c r="AQ123" i="2"/>
  <c r="AQ118" i="2"/>
  <c r="AY103" i="2"/>
  <c r="AG120" i="2"/>
  <c r="AG125" i="2" s="1"/>
  <c r="AG117" i="2"/>
  <c r="AI113" i="2"/>
  <c r="AI117" i="2" s="1"/>
  <c r="AF120" i="2"/>
  <c r="AF117" i="2"/>
  <c r="AH113" i="2"/>
  <c r="AH117" i="2" s="1"/>
  <c r="AF42" i="2"/>
  <c r="AG3" i="2"/>
  <c r="AH125" i="2"/>
  <c r="AI123" i="2"/>
  <c r="AI118" i="2"/>
  <c r="AD123" i="2"/>
  <c r="BA123" i="2" s="1"/>
  <c r="AD118" i="2"/>
  <c r="AZ118" i="2" s="1"/>
  <c r="AZ99" i="2"/>
  <c r="AL107" i="2"/>
  <c r="AN109" i="2"/>
  <c r="AN113" i="2"/>
  <c r="AV123" i="2"/>
  <c r="AV118" i="2"/>
  <c r="AZ106" i="2"/>
  <c r="BA115" i="2"/>
  <c r="AY115" i="2"/>
  <c r="AP132" i="2"/>
  <c r="AN120" i="2"/>
  <c r="AN125" i="2" s="1"/>
  <c r="AN117" i="2"/>
  <c r="AP113" i="2"/>
  <c r="AM123" i="2"/>
  <c r="AM118" i="2"/>
  <c r="AU107" i="2"/>
  <c r="AO120" i="2"/>
  <c r="AO125" i="2" s="1"/>
  <c r="AO117" i="2"/>
  <c r="AQ132" i="2"/>
  <c r="AQ113" i="2"/>
  <c r="AQ133" i="2"/>
  <c r="J51" i="6" l="1"/>
  <c r="I58" i="6"/>
  <c r="I55" i="6"/>
  <c r="AZ117" i="2"/>
  <c r="AY117" i="2"/>
  <c r="BB117" i="2"/>
  <c r="BA117" i="2"/>
  <c r="AG42" i="2"/>
  <c r="AH3" i="2"/>
  <c r="AZ120" i="2"/>
  <c r="AY120" i="2"/>
  <c r="BB120" i="2"/>
  <c r="AC125" i="2"/>
  <c r="BA120" i="2"/>
  <c r="AD125" i="2"/>
  <c r="AF125" i="2"/>
  <c r="AB115" i="2"/>
  <c r="AD104" i="2"/>
  <c r="AD109" i="2" s="1"/>
  <c r="AB106" i="2"/>
  <c r="AC104" i="2"/>
  <c r="AY123" i="2"/>
  <c r="AV107" i="2"/>
  <c r="AM125" i="2"/>
  <c r="AY118" i="2"/>
  <c r="AZ108" i="2"/>
  <c r="AZ123" i="2"/>
  <c r="BB106" i="2"/>
  <c r="AJ125" i="2"/>
  <c r="AQ125" i="2"/>
  <c r="BB123" i="2"/>
  <c r="AY108" i="2"/>
  <c r="AV125" i="2"/>
  <c r="J55" i="6" l="1"/>
  <c r="K51" i="6"/>
  <c r="J58" i="6"/>
  <c r="AD107" i="2"/>
  <c r="AB107" i="2"/>
  <c r="AC107" i="2"/>
  <c r="AY104" i="2"/>
  <c r="AZ104" i="2"/>
  <c r="BB104" i="2"/>
  <c r="BA104" i="2"/>
  <c r="AC109" i="2"/>
  <c r="AH42" i="2"/>
  <c r="AI3" i="2"/>
  <c r="AB123" i="2"/>
  <c r="AB125" i="2" s="1"/>
  <c r="AB118" i="2"/>
  <c r="AB117" i="2"/>
  <c r="BB125" i="2"/>
  <c r="BA125" i="2"/>
  <c r="AZ125" i="2"/>
  <c r="AY125" i="2"/>
  <c r="K55" i="6" l="1"/>
  <c r="K58" i="6"/>
  <c r="L51" i="6"/>
  <c r="AY109" i="2"/>
  <c r="BB109" i="2"/>
  <c r="BA109" i="2"/>
  <c r="AZ109" i="2"/>
  <c r="BA107" i="2"/>
  <c r="AZ107" i="2"/>
  <c r="AY107" i="2"/>
  <c r="BB107" i="2"/>
  <c r="AJ3" i="2"/>
  <c r="AI42" i="2"/>
  <c r="L58" i="6" l="1"/>
  <c r="L55" i="6"/>
  <c r="M51" i="6"/>
  <c r="AJ42" i="2"/>
  <c r="AK3" i="2"/>
  <c r="N51" i="6" l="1"/>
  <c r="M58" i="6"/>
  <c r="M55" i="6"/>
  <c r="AL3" i="2"/>
  <c r="AK42" i="2"/>
  <c r="O51" i="6" l="1"/>
  <c r="N55" i="6"/>
  <c r="N58" i="6"/>
  <c r="AL42" i="2"/>
  <c r="AM3" i="2"/>
  <c r="O55" i="6" l="1"/>
  <c r="O58" i="6"/>
  <c r="P51" i="6"/>
  <c r="AM130" i="2"/>
  <c r="AM42" i="2"/>
  <c r="AN3" i="2"/>
  <c r="P58" i="6" l="1"/>
  <c r="P55" i="6"/>
  <c r="AN130" i="2"/>
  <c r="AN42" i="2"/>
  <c r="AO3" i="2"/>
  <c r="AO130" i="2" l="1"/>
  <c r="AO42" i="2"/>
  <c r="AP3" i="2"/>
  <c r="AP130" i="2" l="1"/>
  <c r="AP42" i="2"/>
  <c r="AQ3" i="2"/>
  <c r="AQ130" i="2" l="1"/>
  <c r="AQ42" i="2"/>
  <c r="AR3" i="2"/>
  <c r="AR130" i="2" l="1"/>
  <c r="AR42" i="2"/>
  <c r="AS3" i="2"/>
  <c r="AS130" i="2" l="1"/>
  <c r="AS42" i="2"/>
  <c r="AT3" i="2"/>
  <c r="AT130" i="2" l="1"/>
  <c r="AT42" i="2"/>
  <c r="AU3" i="2"/>
  <c r="AU130" i="2" l="1"/>
  <c r="AU42" i="2"/>
  <c r="AU45" i="2" s="1"/>
  <c r="AU48" i="2" s="1"/>
  <c r="AV3" i="2"/>
  <c r="AV130" i="2" l="1"/>
  <c r="AV42" i="2"/>
  <c r="AV45" i="2" s="1"/>
  <c r="AW3" i="2"/>
  <c r="AW45" i="2" l="1"/>
  <c r="AV48" i="2"/>
  <c r="AW48" i="2" s="1"/>
  <c r="B89" i="1" l="1"/>
  <c r="B90" i="1" s="1"/>
  <c r="B91" i="1" s="1"/>
</calcChain>
</file>

<file path=xl/sharedStrings.xml><?xml version="1.0" encoding="utf-8"?>
<sst xmlns="http://schemas.openxmlformats.org/spreadsheetml/2006/main" count="321" uniqueCount="227">
  <si>
    <t xml:space="preserve">Canadian Cattle and Beef Supply and Disposition Balance Sheet </t>
  </si>
  <si>
    <t xml:space="preserve">Retail &amp; Metric Wt. Basis </t>
  </si>
  <si>
    <t>Final</t>
  </si>
  <si>
    <t>Projected</t>
  </si>
  <si>
    <t>Estimate</t>
  </si>
  <si>
    <t>Created by C.A. Gracey</t>
  </si>
  <si>
    <t>THE BREEDING HERD</t>
  </si>
  <si>
    <t>Revised</t>
  </si>
  <si>
    <t>Jan</t>
  </si>
  <si>
    <t>DOMESTIC SLAUGHTER HEAD</t>
  </si>
  <si>
    <t>Feb</t>
  </si>
  <si>
    <t>NA</t>
  </si>
  <si>
    <t>Mar</t>
  </si>
  <si>
    <t>Apr</t>
  </si>
  <si>
    <t>May</t>
  </si>
  <si>
    <t>Jun</t>
  </si>
  <si>
    <t>Jul</t>
  </si>
  <si>
    <t>Aug</t>
  </si>
  <si>
    <t>TOTAL F.I. SLAUGHTER</t>
  </si>
  <si>
    <t>Sep</t>
  </si>
  <si>
    <t>Oct</t>
  </si>
  <si>
    <r>
      <t xml:space="preserve">P.I. SLAUGHTER </t>
    </r>
    <r>
      <rPr>
        <b/>
        <sz val="8"/>
        <rFont val="Arial"/>
        <family val="2"/>
      </rPr>
      <t>(Provincially Inspected)</t>
    </r>
  </si>
  <si>
    <t>Nov</t>
  </si>
  <si>
    <t xml:space="preserve"> Source:Est, based on previous years. No longer reported.   </t>
  </si>
  <si>
    <t>Dec</t>
  </si>
  <si>
    <t>TOTAL F.I. + P.I. SLAUGHTER</t>
  </si>
  <si>
    <t>SEX ADJUSTED SLAUGHTER</t>
  </si>
  <si>
    <t>CARCASS WEIGHTS (KG AND RETAIL BASIS)</t>
  </si>
  <si>
    <t>Steers</t>
  </si>
  <si>
    <t>DOM SLAUGHTER (,000 Tonnes)</t>
  </si>
  <si>
    <t>TOTAL ('000 Tonnes)</t>
  </si>
  <si>
    <t xml:space="preserve">SLAUGHTER CATTLE EXPORTS*** </t>
  </si>
  <si>
    <t xml:space="preserve"> Source: AAFC Livestock Div/Stats Can</t>
  </si>
  <si>
    <t>SLAUGHTER CATTLE EXPORT TONNAGE</t>
  </si>
  <si>
    <t>TOTAL ('000 TONNES CARCASSS BASIS)</t>
  </si>
  <si>
    <t>TOTAL ('000 TONNES RETAIL BASIS)</t>
  </si>
  <si>
    <t>FEEDER CATTLE EXPORTS AND TONNAGE****</t>
  </si>
  <si>
    <t>Source AAFC/ Stats Can</t>
  </si>
  <si>
    <t xml:space="preserve">Note: Since live cattle imports eventually appear in the slaughter </t>
  </si>
  <si>
    <t xml:space="preserve">they are will already included in the domestic or export slaughter </t>
  </si>
  <si>
    <t xml:space="preserve">data, To include them here would constitute double counting </t>
  </si>
  <si>
    <t>Therefore line 68 is not relevant on this sheet and Line 69 is not</t>
  </si>
  <si>
    <t>relevant in the Productivity sheet.</t>
  </si>
  <si>
    <t xml:space="preserve">Beef Imports (Tonnes)***** </t>
  </si>
  <si>
    <t xml:space="preserve"> Beef and Processed (Source  BSG)</t>
  </si>
  <si>
    <t>Est</t>
  </si>
  <si>
    <t xml:space="preserve"> USA</t>
  </si>
  <si>
    <t xml:space="preserve"> ROW</t>
  </si>
  <si>
    <t>TOTAL</t>
  </si>
  <si>
    <t>Beef Exports (Tonnes)*****</t>
  </si>
  <si>
    <t>Beef and Processed Source (BSG)</t>
  </si>
  <si>
    <t>USA</t>
  </si>
  <si>
    <t>MEX</t>
  </si>
  <si>
    <t>ROW</t>
  </si>
  <si>
    <t>Beef Supply in Canada</t>
  </si>
  <si>
    <t>Domestic Supply Minus Beef Exports</t>
  </si>
  <si>
    <t>Imports from USA</t>
  </si>
  <si>
    <t>Imports from ROW</t>
  </si>
  <si>
    <t>TOTAL SUPPLY AVAILABLE FOR CONSUMPTION</t>
  </si>
  <si>
    <t>Percent Domestic</t>
  </si>
  <si>
    <t xml:space="preserve">Canadian Population '000 July 1 </t>
  </si>
  <si>
    <t>Apparent Per Capita Disappearance</t>
  </si>
  <si>
    <t>Retail Basis</t>
  </si>
  <si>
    <t>Carcass Basis kg</t>
  </si>
  <si>
    <t>STATS CAN (kg. Carcass Basis)</t>
  </si>
  <si>
    <t xml:space="preserve"> Stats Can - Spread Sheet Estimate</t>
  </si>
  <si>
    <t>Disposition of Canadian Beef Production</t>
  </si>
  <si>
    <t xml:space="preserve"> Productive Capacity, of which</t>
  </si>
  <si>
    <t xml:space="preserve">    Exported as Fed Sl to USA</t>
  </si>
  <si>
    <t xml:space="preserve">    Pecentage Exported as Fed to USA</t>
  </si>
  <si>
    <t xml:space="preserve">    Exported as Non-Fed Sl to USA</t>
  </si>
  <si>
    <t xml:space="preserve">    Pecentage Exported as Non-Fed to USA</t>
  </si>
  <si>
    <t xml:space="preserve">    Exported as Feeder Cattle to USA</t>
  </si>
  <si>
    <t xml:space="preserve">    Pecentage Exported as Feeder Cattle to USA</t>
  </si>
  <si>
    <t xml:space="preserve">    Exported as Beef to USA</t>
  </si>
  <si>
    <t xml:space="preserve">    Percentage Exported as Beef to USA</t>
  </si>
  <si>
    <t xml:space="preserve">    Exported as Beef to Mexico</t>
  </si>
  <si>
    <t xml:space="preserve">    Percentage Exported as Beef to Mexico</t>
  </si>
  <si>
    <t xml:space="preserve">    Exported as Beef to Rest of World</t>
  </si>
  <si>
    <t xml:space="preserve">    Percentage Exported as Beef to Rest of World</t>
  </si>
  <si>
    <t xml:space="preserve">    Consumed in Canada</t>
  </si>
  <si>
    <t xml:space="preserve">    Percentage Consumed in Canada</t>
  </si>
  <si>
    <t>Total Tonnage</t>
  </si>
  <si>
    <t>Total % (check)</t>
  </si>
  <si>
    <t>U.S. Subtotal %</t>
  </si>
  <si>
    <t xml:space="preserve">Disposition of Canadian Beef Production </t>
  </si>
  <si>
    <t xml:space="preserve">    Exported as feeder cattle to USA</t>
  </si>
  <si>
    <t xml:space="preserve">   Total Tonnage</t>
  </si>
  <si>
    <t xml:space="preserve">    Total % (check</t>
  </si>
  <si>
    <t>*CANSIM 003 0032</t>
  </si>
  <si>
    <t>**Source A009</t>
  </si>
  <si>
    <t>*** Source LS EXP to US 060 from 2000.</t>
  </si>
  <si>
    <t>****Source LS EXP to US 060 from 2000. Estimated 1999 and earlier</t>
  </si>
  <si>
    <t>*****Source AAFC Beef Supply at a Glance &amp; O&amp;) Red Meats imports by Country</t>
  </si>
  <si>
    <t>Disposition of 2019 Beef Supply</t>
  </si>
  <si>
    <r>
      <t xml:space="preserve"> F.I. SLAUGHTER </t>
    </r>
    <r>
      <rPr>
        <b/>
        <sz val="8"/>
        <rFont val="Arial"/>
        <family val="2"/>
      </rPr>
      <t>(Federally Inspected)**</t>
    </r>
    <r>
      <rPr>
        <b/>
        <sz val="10"/>
        <rFont val="Arial"/>
        <family val="2"/>
      </rPr>
      <t xml:space="preserve">     </t>
    </r>
    <r>
      <rPr>
        <b/>
        <sz val="8"/>
        <rFont val="Arial"/>
        <family val="2"/>
      </rPr>
      <t>Source:Beef Supply at a glance (BSG)</t>
    </r>
  </si>
  <si>
    <t>Canadian Beef Industry Productivity Analysis -Output per Cow 1996 to Present</t>
  </si>
  <si>
    <t>Metric Weights &amp; Carcass Basis</t>
  </si>
  <si>
    <t xml:space="preserve">Beef Cows July 1 '000 head* </t>
  </si>
  <si>
    <t>Stats Canada</t>
  </si>
  <si>
    <t>28 12 19</t>
  </si>
  <si>
    <t>Steers Number</t>
  </si>
  <si>
    <t>Heifers</t>
  </si>
  <si>
    <t>Cows</t>
  </si>
  <si>
    <t>Bulls</t>
  </si>
  <si>
    <t>R</t>
  </si>
  <si>
    <t>incl</t>
  </si>
  <si>
    <t>PI Sl as % of FI</t>
  </si>
  <si>
    <t>TOTAL SLAUGHTER (CHECK)</t>
  </si>
  <si>
    <t>AVERAGE CARCASS WEIGHTS (kg)</t>
  </si>
  <si>
    <t xml:space="preserve">Steers Source BSG </t>
  </si>
  <si>
    <t>WEIGHTED AVERAGE</t>
  </si>
  <si>
    <t>Nov.</t>
  </si>
  <si>
    <t>Fed Steers  Number</t>
  </si>
  <si>
    <t xml:space="preserve">Fed Heifers </t>
  </si>
  <si>
    <t>Cows and Bulls</t>
  </si>
  <si>
    <t xml:space="preserve">Sl. Cows </t>
  </si>
  <si>
    <t xml:space="preserve">Sl. Bulls </t>
  </si>
  <si>
    <t>Note re source BSG + or- Live cattle Imports from USA (AAFC)</t>
  </si>
  <si>
    <t>Steers  '000 Tonnes</t>
  </si>
  <si>
    <t xml:space="preserve"> FEEDER CATTLE EXPORTS AND TONNAGE****</t>
  </si>
  <si>
    <t>Breeding Cattle</t>
  </si>
  <si>
    <t xml:space="preserve">Steers </t>
  </si>
  <si>
    <t xml:space="preserve">Heifers </t>
  </si>
  <si>
    <t>Potential Tonnage '000Tonnes</t>
  </si>
  <si>
    <t>LIVE CATTLE IMPORTS &amp;  TONNAGE</t>
  </si>
  <si>
    <t xml:space="preserve"> Steers  Estimate  Assumed to be All </t>
  </si>
  <si>
    <t xml:space="preserve">Heifers Estimate  Assumed to be Zero </t>
  </si>
  <si>
    <t>Breeding Cows, Assumed to include bulls</t>
  </si>
  <si>
    <t xml:space="preserve">Fed Tonnage </t>
  </si>
  <si>
    <t>Non Fed Tonnage</t>
  </si>
  <si>
    <t>TOTAL PRODUCTIVE CAPACITY (CARCASS BASIS) '000 Tonnes</t>
  </si>
  <si>
    <t>TOTAL DOMESTIC SUPPLY (Includes live cattle imports)</t>
  </si>
  <si>
    <t>Productivity Per 100 Cows</t>
  </si>
  <si>
    <t>Beef Cows -July 1 ,000 head (Source CANSIM 003 0032)</t>
  </si>
  <si>
    <t>Lagged beef Cows</t>
  </si>
  <si>
    <t>Dairy Cows-July 1</t>
  </si>
  <si>
    <t>Total Cows-July 1</t>
  </si>
  <si>
    <t>Cow Culling rate   NOTE from 2014 Beef Cow Culling Rate</t>
  </si>
  <si>
    <t>Percent Dairy Cows Note from 2014 Dairy Cow culling rate</t>
  </si>
  <si>
    <t>Production (Head)</t>
  </si>
  <si>
    <t>Beef</t>
  </si>
  <si>
    <t>Dairy</t>
  </si>
  <si>
    <t>Total Cows</t>
  </si>
  <si>
    <t>Apparent Beef Cow culling Rate %</t>
  </si>
  <si>
    <t>Apparent Dairy Cow Culling Rate "</t>
  </si>
  <si>
    <t>Female:Male Ratio</t>
  </si>
  <si>
    <t>Table 1</t>
  </si>
  <si>
    <t>2000-2018</t>
  </si>
  <si>
    <t>Number of Cattle  marketed Per 100 Beef Cows</t>
  </si>
  <si>
    <t>Productivity of the National Beef Herd</t>
  </si>
  <si>
    <t>Ave.</t>
  </si>
  <si>
    <t>SD</t>
  </si>
  <si>
    <t>Min</t>
  </si>
  <si>
    <t>Max</t>
  </si>
  <si>
    <t>Steer No. / 100 Cows (lagged)</t>
  </si>
  <si>
    <t xml:space="preserve"> 3 Yr Rolling Avg.</t>
  </si>
  <si>
    <t xml:space="preserve"> 3 Yr Rolling Average</t>
  </si>
  <si>
    <t>y</t>
  </si>
  <si>
    <t>Beef Steers/100 Beef Cows (lagged)</t>
  </si>
  <si>
    <t>Beef Heifer No. / 100 Beef Cows (lagged)</t>
  </si>
  <si>
    <t>Beef Cows/ 100 Beef Cows</t>
  </si>
  <si>
    <t>Beef Cows/ 100 Beef Cows*</t>
  </si>
  <si>
    <t>Beef Bull No. /100 Beef Cows</t>
  </si>
  <si>
    <t>TOTAL N0. / 100 BEEF COWS</t>
  </si>
  <si>
    <t>Total No. / 100 Beef Cows</t>
  </si>
  <si>
    <t xml:space="preserve">Beef Heifers as % of Beef Steers </t>
  </si>
  <si>
    <t>Female/ Male Ratio - Beef Cattle only</t>
  </si>
  <si>
    <t>Female/ Male Ratio</t>
  </si>
  <si>
    <t>NOTE Beef Cows/100 beef cows dates from 2006 due to BSE</t>
  </si>
  <si>
    <t xml:space="preserve">Steer Lbs. / Beef Cow (lagged) </t>
  </si>
  <si>
    <t>Steer beef /Beef Cow</t>
  </si>
  <si>
    <t>Heifer Lbs. / Beef Cow (lagged)</t>
  </si>
  <si>
    <t>Heifer Beef/ Beef Cow</t>
  </si>
  <si>
    <t>CowLbs. / Beef Cow</t>
  </si>
  <si>
    <t>Cow Beef/Cow</t>
  </si>
  <si>
    <t>Bull Lbs. / Cow</t>
  </si>
  <si>
    <t>TOTAL LBS./ COW</t>
  </si>
  <si>
    <t>Total Lbs. / Cow</t>
  </si>
  <si>
    <t>Non Fed Component</t>
  </si>
  <si>
    <t>Steer Beef per cwt of Beef Cow</t>
  </si>
  <si>
    <t>Heifer Beef per cwt of Beef Cow</t>
  </si>
  <si>
    <t>Steer Beef per cwt of Beef Cow3 # Yr. Rolling Average</t>
  </si>
  <si>
    <t>Cow Beef per cwt of Beef Cow</t>
  </si>
  <si>
    <t>Bull Beef per Cwt of cow</t>
  </si>
  <si>
    <t>Data for Graphs</t>
  </si>
  <si>
    <t>Imported Cattle</t>
  </si>
  <si>
    <t>Tonnage</t>
  </si>
  <si>
    <t>Breeding Cattle Exports (head) Source S.C &amp; AAFC</t>
  </si>
  <si>
    <t>Females</t>
  </si>
  <si>
    <t>Dairy Contribution</t>
  </si>
  <si>
    <t>Dairy Steers</t>
  </si>
  <si>
    <t>Dairy cows</t>
  </si>
  <si>
    <t xml:space="preserve">Work sheet for Imports exports and tonnage </t>
  </si>
  <si>
    <t>NOV.</t>
  </si>
  <si>
    <t>BE REEDING CATTLE Exports</t>
  </si>
  <si>
    <t>Sl St Exports</t>
  </si>
  <si>
    <t>SL Hf Exp</t>
  </si>
  <si>
    <t>Sl Cow exports</t>
  </si>
  <si>
    <t>Sl Bull Exports</t>
  </si>
  <si>
    <t>Export tonnages are calculated on Productivity sheet</t>
  </si>
  <si>
    <t>Male Feeder Cattle Exports</t>
  </si>
  <si>
    <t>Female Feeder Exports</t>
  </si>
  <si>
    <t>Total</t>
  </si>
  <si>
    <t xml:space="preserve">Breeding Cattle Imports </t>
  </si>
  <si>
    <t xml:space="preserve">Feeder Imports </t>
  </si>
  <si>
    <t>Carcass weights</t>
  </si>
  <si>
    <t>Feeders</t>
  </si>
  <si>
    <t>TONNAGE '000 MT</t>
  </si>
  <si>
    <t xml:space="preserve">                     Fed</t>
  </si>
  <si>
    <t xml:space="preserve">                    Non-fed</t>
  </si>
  <si>
    <t>Culling Rate Calculator</t>
  </si>
  <si>
    <t>Beef Cows July 1 ,000</t>
  </si>
  <si>
    <t>Dairy Cows July 1</t>
  </si>
  <si>
    <t>Dairy Culling rate %</t>
  </si>
  <si>
    <t>Total Cows Culled</t>
  </si>
  <si>
    <t>Dairy Cows Culled</t>
  </si>
  <si>
    <t>Beef Cows Culled</t>
  </si>
  <si>
    <t>Beef Cow Culling rate %</t>
  </si>
  <si>
    <t>Steers/100 Cows</t>
  </si>
  <si>
    <t>Beef Steers/100 beef cows</t>
  </si>
  <si>
    <t>Steer Beef pounds / Beef Cow</t>
  </si>
  <si>
    <t>Steer Beef pounds/ Cwt Cow Weight</t>
  </si>
  <si>
    <t>Carcass Basis Pounds</t>
  </si>
  <si>
    <t>Lagged Total Cows</t>
  </si>
  <si>
    <t>Total Steers</t>
  </si>
  <si>
    <t>Female / Male Ratio  Beef and Dairy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</si>
</sst>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"/>
    <numFmt numFmtId="165" formatCode="#,##0.000000000"/>
    <numFmt numFmtId="166" formatCode="0.0%"/>
    <numFmt numFmtId="167" formatCode="#,##0.0"/>
    <numFmt numFmtId="168" formatCode="0.000"/>
    <numFmt numFmtId="169" formatCode="#,##0.000"/>
    <numFmt numFmtId="170" formatCode="0.00000"/>
    <numFmt numFmtId="171" formatCode="0.0000"/>
    <numFmt numFmtId="172" formatCode="0.0000%"/>
    <numFmt numFmtId="173" formatCode="0.000%"/>
    <numFmt numFmtId="174" formatCode="0_)"/>
    <numFmt numFmtId="175" formatCode="0.00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2" tint="-0.749992370372631"/>
      <name val="Arial"/>
      <family val="2"/>
    </font>
    <font>
      <sz val="14"/>
      <color theme="2" tint="-0.74999237037263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rgb="FF000000"/>
      <name val="Tahoma"/>
      <family val="2"/>
    </font>
    <font>
      <sz val="10"/>
      <color rgb="FF000000"/>
      <name val="Tahoma"/>
      <family val="2"/>
    </font>
    <font>
      <sz val="10"/>
      <color rgb="FF000000"/>
      <name val="Arial"/>
      <family val="2"/>
    </font>
    <font>
      <sz val="10"/>
      <name val="Arial MT"/>
    </font>
    <font>
      <sz val="12"/>
      <name val="Arial"/>
      <family val="2"/>
    </font>
    <font>
      <sz val="10"/>
      <color rgb="FFFF0000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6"/>
      <color theme="5" tint="-0.249977111117893"/>
      <name val="Arial"/>
      <family val="2"/>
    </font>
    <font>
      <sz val="14"/>
      <color theme="5" tint="-0.249977111117893"/>
      <name val="Arial"/>
      <family val="2"/>
    </font>
    <font>
      <sz val="12"/>
      <name val="Arial MT"/>
    </font>
    <font>
      <b/>
      <sz val="12"/>
      <name val="Arial"/>
      <family val="2"/>
    </font>
    <font>
      <sz val="10"/>
      <color theme="1"/>
      <name val="Tahoma"/>
      <family val="2"/>
    </font>
    <font>
      <sz val="10"/>
      <color theme="1"/>
      <name val="Andale WT"/>
      <family val="2"/>
    </font>
    <font>
      <sz val="10"/>
      <color theme="1"/>
      <name val="Arial"/>
      <family val="2"/>
    </font>
    <font>
      <b/>
      <sz val="14"/>
      <color theme="2"/>
      <name val="Arial"/>
      <family val="2"/>
    </font>
    <font>
      <sz val="18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6"/>
      <color theme="1" tint="0.249977111117893"/>
      <name val="Arial"/>
      <family val="2"/>
    </font>
    <font>
      <sz val="14"/>
      <color theme="1" tint="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1" fillId="2" borderId="0" applyNumberFormat="0" applyBorder="0" applyAlignment="0" applyProtection="0"/>
    <xf numFmtId="0" fontId="1" fillId="0" borderId="0"/>
    <xf numFmtId="0" fontId="28" fillId="0" borderId="0"/>
  </cellStyleXfs>
  <cellXfs count="173">
    <xf numFmtId="0" fontId="0" fillId="0" borderId="0" xfId="0"/>
    <xf numFmtId="0" fontId="3" fillId="0" borderId="0" xfId="2" applyFont="1" applyAlignment="1">
      <alignment horizontal="left" vertical="top" wrapText="1"/>
    </xf>
    <xf numFmtId="0" fontId="4" fillId="0" borderId="0" xfId="2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5" fillId="0" borderId="0" xfId="0" applyFont="1"/>
    <xf numFmtId="1" fontId="6" fillId="0" borderId="0" xfId="0" applyNumberFormat="1" applyFont="1"/>
    <xf numFmtId="3" fontId="0" fillId="0" borderId="0" xfId="0" applyNumberFormat="1"/>
    <xf numFmtId="0" fontId="7" fillId="3" borderId="0" xfId="2" applyFont="1" applyFill="1"/>
    <xf numFmtId="3" fontId="0" fillId="4" borderId="0" xfId="0" applyNumberFormat="1" applyFill="1"/>
    <xf numFmtId="2" fontId="0" fillId="0" borderId="0" xfId="0" applyNumberFormat="1"/>
    <xf numFmtId="2" fontId="0" fillId="4" borderId="0" xfId="0" applyNumberFormat="1" applyFill="1"/>
    <xf numFmtId="0" fontId="8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9" fillId="0" borderId="0" xfId="0" applyFont="1"/>
    <xf numFmtId="0" fontId="11" fillId="4" borderId="0" xfId="0" applyFont="1" applyFill="1"/>
    <xf numFmtId="3" fontId="2" fillId="0" borderId="0" xfId="0" applyNumberFormat="1" applyFont="1"/>
    <xf numFmtId="0" fontId="12" fillId="0" borderId="0" xfId="0" applyFont="1"/>
    <xf numFmtId="0" fontId="8" fillId="0" borderId="0" xfId="0" applyFont="1"/>
    <xf numFmtId="164" fontId="0" fillId="0" borderId="0" xfId="0" applyNumberFormat="1"/>
    <xf numFmtId="2" fontId="9" fillId="5" borderId="0" xfId="0" applyNumberFormat="1" applyFont="1" applyFill="1"/>
    <xf numFmtId="0" fontId="13" fillId="0" borderId="0" xfId="0" applyFont="1"/>
    <xf numFmtId="0" fontId="0" fillId="6" borderId="0" xfId="0" applyFill="1"/>
    <xf numFmtId="0" fontId="2" fillId="0" borderId="0" xfId="2"/>
    <xf numFmtId="0" fontId="12" fillId="0" borderId="0" xfId="2" applyFont="1"/>
    <xf numFmtId="166" fontId="0" fillId="0" borderId="0" xfId="1" applyNumberFormat="1" applyFont="1"/>
    <xf numFmtId="0" fontId="19" fillId="0" borderId="0" xfId="2" applyFont="1"/>
    <xf numFmtId="166" fontId="12" fillId="0" borderId="0" xfId="1" applyNumberFormat="1" applyFont="1" applyFill="1"/>
    <xf numFmtId="0" fontId="8" fillId="0" borderId="0" xfId="2" applyFont="1"/>
    <xf numFmtId="4" fontId="0" fillId="0" borderId="0" xfId="0" applyNumberFormat="1"/>
    <xf numFmtId="0" fontId="8" fillId="0" borderId="0" xfId="2" applyFont="1" applyAlignment="1">
      <alignment wrapText="1"/>
    </xf>
    <xf numFmtId="166" fontId="0" fillId="0" borderId="0" xfId="0" applyNumberFormat="1"/>
    <xf numFmtId="0" fontId="23" fillId="0" borderId="0" xfId="2" applyFont="1" applyAlignment="1">
      <alignment wrapText="1"/>
    </xf>
    <xf numFmtId="10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5" fillId="0" borderId="0" xfId="0" applyFont="1"/>
    <xf numFmtId="169" fontId="0" fillId="0" borderId="0" xfId="0" applyNumberFormat="1"/>
    <xf numFmtId="0" fontId="6" fillId="0" borderId="0" xfId="0" applyFont="1"/>
    <xf numFmtId="3" fontId="22" fillId="0" borderId="0" xfId="4" applyNumberFormat="1" applyFont="1" applyFill="1"/>
    <xf numFmtId="3" fontId="12" fillId="0" borderId="0" xfId="0" applyNumberFormat="1" applyFont="1"/>
    <xf numFmtId="168" fontId="0" fillId="0" borderId="0" xfId="0" applyNumberFormat="1"/>
    <xf numFmtId="1" fontId="0" fillId="0" borderId="0" xfId="0" applyNumberFormat="1"/>
    <xf numFmtId="2" fontId="9" fillId="0" borderId="0" xfId="0" applyNumberFormat="1" applyFont="1"/>
    <xf numFmtId="0" fontId="2" fillId="4" borderId="0" xfId="0" applyFont="1" applyFill="1"/>
    <xf numFmtId="9" fontId="9" fillId="0" borderId="0" xfId="1" applyFont="1"/>
    <xf numFmtId="171" fontId="9" fillId="0" borderId="0" xfId="0" applyNumberFormat="1" applyFont="1"/>
    <xf numFmtId="1" fontId="22" fillId="0" borderId="0" xfId="4" applyNumberFormat="1" applyFont="1" applyFill="1"/>
    <xf numFmtId="166" fontId="9" fillId="0" borderId="0" xfId="1" applyNumberFormat="1" applyFont="1"/>
    <xf numFmtId="1" fontId="0" fillId="0" borderId="0" xfId="1" applyNumberFormat="1" applyFont="1"/>
    <xf numFmtId="0" fontId="27" fillId="0" borderId="0" xfId="0" applyFont="1"/>
    <xf numFmtId="1" fontId="2" fillId="0" borderId="0" xfId="0" applyNumberFormat="1" applyFont="1"/>
    <xf numFmtId="0" fontId="9" fillId="6" borderId="0" xfId="0" applyFont="1" applyFill="1"/>
    <xf numFmtId="0" fontId="23" fillId="0" borderId="0" xfId="0" applyFont="1"/>
    <xf numFmtId="0" fontId="0" fillId="0" borderId="0" xfId="0" quotePrefix="1" applyAlignment="1">
      <alignment horizontal="left"/>
    </xf>
    <xf numFmtId="0" fontId="2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/>
    <xf numFmtId="164" fontId="0" fillId="0" borderId="0" xfId="1" applyNumberFormat="1" applyFont="1"/>
    <xf numFmtId="0" fontId="23" fillId="0" borderId="0" xfId="0" applyFont="1" applyAlignment="1">
      <alignment wrapText="1"/>
    </xf>
    <xf numFmtId="168" fontId="9" fillId="0" borderId="0" xfId="0" applyNumberFormat="1" applyFont="1"/>
    <xf numFmtId="0" fontId="12" fillId="0" borderId="0" xfId="0" quotePrefix="1" applyFont="1" applyAlignment="1">
      <alignment horizontal="left"/>
    </xf>
    <xf numFmtId="2" fontId="0" fillId="0" borderId="0" xfId="0" quotePrefix="1" applyNumberFormat="1" applyAlignment="1">
      <alignment horizontal="left"/>
    </xf>
    <xf numFmtId="174" fontId="0" fillId="0" borderId="0" xfId="0" applyNumberFormat="1"/>
    <xf numFmtId="171" fontId="0" fillId="0" borderId="0" xfId="0" applyNumberFormat="1"/>
    <xf numFmtId="175" fontId="0" fillId="0" borderId="0" xfId="0" applyNumberFormat="1"/>
    <xf numFmtId="3" fontId="0" fillId="0" borderId="0" xfId="0" applyNumberFormat="1" applyFill="1"/>
    <xf numFmtId="3" fontId="2" fillId="0" borderId="0" xfId="0" applyNumberFormat="1" applyFont="1" applyFill="1"/>
    <xf numFmtId="3" fontId="12" fillId="0" borderId="0" xfId="0" applyNumberFormat="1" applyFont="1" applyFill="1"/>
    <xf numFmtId="10" fontId="0" fillId="0" borderId="0" xfId="1" applyNumberFormat="1" applyFont="1" applyFill="1"/>
    <xf numFmtId="0" fontId="0" fillId="0" borderId="0" xfId="0" applyFill="1"/>
    <xf numFmtId="164" fontId="0" fillId="0" borderId="0" xfId="0" applyNumberFormat="1" applyFill="1"/>
    <xf numFmtId="164" fontId="12" fillId="0" borderId="0" xfId="0" applyNumberFormat="1" applyFont="1" applyFill="1"/>
    <xf numFmtId="0" fontId="2" fillId="0" borderId="0" xfId="0" applyFont="1" applyFill="1"/>
    <xf numFmtId="2" fontId="0" fillId="0" borderId="0" xfId="0" applyNumberFormat="1" applyFill="1"/>
    <xf numFmtId="2" fontId="2" fillId="0" borderId="0" xfId="0" applyNumberFormat="1" applyFont="1" applyFill="1"/>
    <xf numFmtId="2" fontId="9" fillId="0" borderId="0" xfId="0" applyNumberFormat="1" applyFont="1" applyFill="1"/>
    <xf numFmtId="1" fontId="12" fillId="0" borderId="0" xfId="0" applyNumberFormat="1" applyFont="1" applyFill="1"/>
    <xf numFmtId="0" fontId="14" fillId="0" borderId="0" xfId="0" applyFont="1" applyFill="1"/>
    <xf numFmtId="3" fontId="14" fillId="0" borderId="0" xfId="0" applyNumberFormat="1" applyFont="1" applyFill="1"/>
    <xf numFmtId="3" fontId="15" fillId="0" borderId="0" xfId="3" applyNumberFormat="1" applyFont="1" applyFill="1" applyAlignment="1">
      <alignment horizontal="right" vertical="top"/>
    </xf>
    <xf numFmtId="3" fontId="16" fillId="0" borderId="0" xfId="3" applyNumberFormat="1" applyFont="1" applyFill="1" applyAlignment="1">
      <alignment horizontal="right" vertical="top"/>
    </xf>
    <xf numFmtId="3" fontId="2" fillId="0" borderId="0" xfId="2" applyNumberFormat="1" applyFill="1"/>
    <xf numFmtId="3" fontId="17" fillId="0" borderId="0" xfId="3" applyNumberFormat="1" applyFont="1" applyFill="1" applyAlignment="1">
      <alignment horizontal="right" vertical="center"/>
    </xf>
    <xf numFmtId="3" fontId="0" fillId="0" borderId="0" xfId="1" applyNumberFormat="1" applyFont="1" applyFill="1"/>
    <xf numFmtId="3" fontId="12" fillId="0" borderId="0" xfId="2" applyNumberFormat="1" applyFont="1" applyFill="1"/>
    <xf numFmtId="3" fontId="9" fillId="0" borderId="0" xfId="1" applyNumberFormat="1" applyFont="1" applyFill="1"/>
    <xf numFmtId="2" fontId="18" fillId="0" borderId="0" xfId="0" applyNumberFormat="1" applyFont="1" applyFill="1"/>
    <xf numFmtId="3" fontId="2" fillId="0" borderId="0" xfId="3" applyNumberFormat="1" applyFill="1">
      <alignment vertical="top"/>
    </xf>
    <xf numFmtId="0" fontId="2" fillId="0" borderId="0" xfId="2" applyFill="1"/>
    <xf numFmtId="16" fontId="0" fillId="0" borderId="0" xfId="1" applyNumberFormat="1" applyFont="1" applyFill="1"/>
    <xf numFmtId="3" fontId="17" fillId="0" borderId="0" xfId="3" applyNumberFormat="1" applyFont="1" applyFill="1" applyAlignment="1">
      <alignment horizontal="right" vertical="top"/>
    </xf>
    <xf numFmtId="166" fontId="0" fillId="0" borderId="0" xfId="1" applyNumberFormat="1" applyFont="1" applyFill="1"/>
    <xf numFmtId="3" fontId="12" fillId="0" borderId="0" xfId="3" applyNumberFormat="1" applyFont="1" applyFill="1">
      <alignment vertical="top"/>
    </xf>
    <xf numFmtId="0" fontId="12" fillId="0" borderId="0" xfId="0" applyFont="1" applyFill="1"/>
    <xf numFmtId="3" fontId="20" fillId="0" borderId="0" xfId="0" applyNumberFormat="1" applyFont="1" applyFill="1"/>
    <xf numFmtId="10" fontId="2" fillId="0" borderId="0" xfId="2" applyNumberFormat="1" applyFill="1"/>
    <xf numFmtId="9" fontId="0" fillId="0" borderId="0" xfId="1" applyFont="1" applyFill="1"/>
    <xf numFmtId="4" fontId="2" fillId="0" borderId="0" xfId="2" applyNumberFormat="1" applyFill="1"/>
    <xf numFmtId="2" fontId="2" fillId="0" borderId="0" xfId="2" applyNumberFormat="1" applyFill="1"/>
    <xf numFmtId="4" fontId="0" fillId="0" borderId="0" xfId="0" applyNumberFormat="1" applyFill="1"/>
    <xf numFmtId="4" fontId="22" fillId="0" borderId="0" xfId="4" applyNumberFormat="1" applyFont="1" applyFill="1"/>
    <xf numFmtId="166" fontId="0" fillId="0" borderId="0" xfId="0" applyNumberFormat="1" applyFill="1"/>
    <xf numFmtId="167" fontId="0" fillId="0" borderId="0" xfId="0" applyNumberFormat="1" applyFill="1"/>
    <xf numFmtId="168" fontId="0" fillId="0" borderId="0" xfId="0" applyNumberFormat="1" applyFill="1"/>
    <xf numFmtId="165" fontId="0" fillId="0" borderId="0" xfId="0" applyNumberFormat="1" applyFill="1"/>
    <xf numFmtId="1" fontId="2" fillId="0" borderId="0" xfId="2" applyNumberFormat="1" applyFill="1"/>
    <xf numFmtId="9" fontId="0" fillId="0" borderId="0" xfId="0" applyNumberFormat="1" applyFill="1"/>
    <xf numFmtId="10" fontId="0" fillId="0" borderId="0" xfId="0" applyNumberFormat="1" applyFill="1"/>
    <xf numFmtId="0" fontId="6" fillId="0" borderId="0" xfId="0" applyFont="1" applyAlignment="1">
      <alignment horizontal="center" vertical="center"/>
    </xf>
    <xf numFmtId="3" fontId="33" fillId="0" borderId="0" xfId="0" applyNumberFormat="1" applyFont="1" applyAlignment="1">
      <alignment horizontal="center"/>
    </xf>
    <xf numFmtId="3" fontId="34" fillId="0" borderId="0" xfId="0" applyNumberFormat="1" applyFont="1"/>
    <xf numFmtId="3" fontId="35" fillId="0" borderId="0" xfId="0" applyNumberFormat="1" applyFont="1" applyFill="1"/>
    <xf numFmtId="0" fontId="0" fillId="7" borderId="0" xfId="0" applyFill="1"/>
    <xf numFmtId="10" fontId="0" fillId="7" borderId="0" xfId="1" applyNumberFormat="1" applyFont="1" applyFill="1"/>
    <xf numFmtId="0" fontId="7" fillId="8" borderId="0" xfId="2" applyFont="1" applyFill="1" applyAlignment="1">
      <alignment wrapText="1"/>
    </xf>
    <xf numFmtId="0" fontId="7" fillId="8" borderId="0" xfId="0" applyFont="1" applyFill="1" applyAlignment="1">
      <alignment wrapText="1"/>
    </xf>
    <xf numFmtId="0" fontId="7" fillId="8" borderId="0" xfId="2" applyFont="1" applyFill="1"/>
    <xf numFmtId="0" fontId="36" fillId="0" borderId="0" xfId="0" applyFont="1" applyAlignment="1">
      <alignment horizontal="left" wrapText="1"/>
    </xf>
    <xf numFmtId="0" fontId="37" fillId="0" borderId="0" xfId="0" applyFont="1"/>
    <xf numFmtId="0" fontId="7" fillId="0" borderId="0" xfId="2" applyFont="1" applyFill="1"/>
    <xf numFmtId="3" fontId="1" fillId="0" borderId="0" xfId="5" applyNumberFormat="1" applyFill="1"/>
    <xf numFmtId="1" fontId="26" fillId="0" borderId="0" xfId="0" applyNumberFormat="1" applyFont="1" applyFill="1"/>
    <xf numFmtId="3" fontId="9" fillId="0" borderId="0" xfId="0" applyNumberFormat="1" applyFont="1" applyFill="1"/>
    <xf numFmtId="1" fontId="0" fillId="0" borderId="0" xfId="0" applyNumberFormat="1" applyFill="1"/>
    <xf numFmtId="10" fontId="1" fillId="0" borderId="0" xfId="1" applyNumberFormat="1" applyFill="1"/>
    <xf numFmtId="170" fontId="2" fillId="0" borderId="0" xfId="2" applyNumberFormat="1" applyFill="1"/>
    <xf numFmtId="4" fontId="2" fillId="0" borderId="0" xfId="0" applyNumberFormat="1" applyFont="1" applyFill="1" applyAlignment="1">
      <alignment wrapText="1"/>
    </xf>
    <xf numFmtId="169" fontId="2" fillId="0" borderId="0" xfId="0" applyNumberFormat="1" applyFont="1" applyFill="1"/>
    <xf numFmtId="166" fontId="1" fillId="0" borderId="0" xfId="1" applyNumberFormat="1" applyFill="1"/>
    <xf numFmtId="172" fontId="0" fillId="0" borderId="0" xfId="1" applyNumberFormat="1" applyFont="1" applyFill="1"/>
    <xf numFmtId="4" fontId="2" fillId="0" borderId="0" xfId="0" applyNumberFormat="1" applyFont="1" applyFill="1"/>
    <xf numFmtId="1" fontId="9" fillId="0" borderId="0" xfId="0" applyNumberFormat="1" applyFont="1" applyFill="1"/>
    <xf numFmtId="0" fontId="9" fillId="0" borderId="0" xfId="0" applyFont="1" applyFill="1"/>
    <xf numFmtId="2" fontId="12" fillId="0" borderId="0" xfId="0" applyNumberFormat="1" applyFont="1" applyFill="1"/>
    <xf numFmtId="4" fontId="12" fillId="0" borderId="0" xfId="0" applyNumberFormat="1" applyFont="1" applyFill="1"/>
    <xf numFmtId="1" fontId="0" fillId="0" borderId="0" xfId="1" applyNumberFormat="1" applyFont="1" applyFill="1"/>
    <xf numFmtId="0" fontId="27" fillId="0" borderId="0" xfId="0" applyFont="1" applyFill="1"/>
    <xf numFmtId="3" fontId="29" fillId="0" borderId="1" xfId="6" applyNumberFormat="1" applyFont="1" applyFill="1" applyBorder="1" applyAlignment="1">
      <alignment horizontal="right" vertical="top"/>
    </xf>
    <xf numFmtId="3" fontId="30" fillId="0" borderId="1" xfId="6" applyNumberFormat="1" applyFont="1" applyFill="1" applyBorder="1" applyAlignment="1">
      <alignment horizontal="right" vertical="top"/>
    </xf>
    <xf numFmtId="3" fontId="0" fillId="0" borderId="0" xfId="0" applyNumberFormat="1" applyFill="1" applyAlignment="1">
      <alignment vertical="top"/>
    </xf>
    <xf numFmtId="167" fontId="2" fillId="0" borderId="0" xfId="0" applyNumberFormat="1" applyFont="1" applyFill="1"/>
    <xf numFmtId="167" fontId="12" fillId="0" borderId="0" xfId="0" applyNumberFormat="1" applyFont="1" applyFill="1"/>
    <xf numFmtId="3" fontId="27" fillId="0" borderId="0" xfId="0" applyNumberFormat="1" applyFont="1" applyFill="1"/>
    <xf numFmtId="3" fontId="28" fillId="0" borderId="0" xfId="6" applyNumberFormat="1" applyFill="1"/>
    <xf numFmtId="3" fontId="2" fillId="0" borderId="0" xfId="0" quotePrefix="1" applyNumberFormat="1" applyFont="1" applyFill="1"/>
    <xf numFmtId="166" fontId="2" fillId="0" borderId="0" xfId="1" applyNumberFormat="1" applyFont="1" applyFill="1"/>
    <xf numFmtId="9" fontId="2" fillId="0" borderId="0" xfId="1" applyFont="1" applyFill="1"/>
    <xf numFmtId="0" fontId="6" fillId="0" borderId="0" xfId="0" applyFont="1" applyFill="1"/>
    <xf numFmtId="0" fontId="1" fillId="0" borderId="0" xfId="5" applyFill="1"/>
    <xf numFmtId="173" fontId="1" fillId="0" borderId="0" xfId="1" applyNumberFormat="1" applyFill="1"/>
    <xf numFmtId="10" fontId="2" fillId="0" borderId="0" xfId="1" applyNumberFormat="1" applyFont="1" applyFill="1"/>
    <xf numFmtId="170" fontId="0" fillId="0" borderId="0" xfId="0" applyNumberFormat="1" applyFill="1"/>
    <xf numFmtId="170" fontId="27" fillId="0" borderId="0" xfId="0" applyNumberFormat="1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wrapText="1"/>
    </xf>
    <xf numFmtId="1" fontId="27" fillId="0" borderId="0" xfId="0" applyNumberFormat="1" applyFont="1" applyFill="1"/>
    <xf numFmtId="0" fontId="0" fillId="0" borderId="0" xfId="0" quotePrefix="1" applyFill="1" applyAlignment="1">
      <alignment horizontal="left"/>
    </xf>
    <xf numFmtId="166" fontId="12" fillId="0" borderId="0" xfId="0" applyNumberFormat="1" applyFont="1" applyFill="1"/>
    <xf numFmtId="0" fontId="7" fillId="0" borderId="0" xfId="0" applyFont="1" applyFill="1" applyAlignment="1">
      <alignment wrapText="1"/>
    </xf>
    <xf numFmtId="4" fontId="12" fillId="0" borderId="0" xfId="0" quotePrefix="1" applyNumberFormat="1" applyFont="1" applyFill="1"/>
    <xf numFmtId="3" fontId="12" fillId="0" borderId="0" xfId="0" quotePrefix="1" applyNumberFormat="1" applyFont="1" applyFill="1"/>
    <xf numFmtId="0" fontId="31" fillId="0" borderId="0" xfId="0" applyFont="1" applyFill="1"/>
    <xf numFmtId="0" fontId="31" fillId="7" borderId="0" xfId="0" applyFont="1" applyFill="1"/>
    <xf numFmtId="0" fontId="32" fillId="0" borderId="0" xfId="0" applyFont="1" applyFill="1"/>
    <xf numFmtId="16" fontId="2" fillId="0" borderId="0" xfId="0" applyNumberFormat="1" applyFont="1" applyFill="1"/>
    <xf numFmtId="0" fontId="20" fillId="0" borderId="0" xfId="0" applyFont="1" applyFill="1"/>
    <xf numFmtId="10" fontId="2" fillId="0" borderId="0" xfId="0" applyNumberFormat="1" applyFont="1" applyFill="1"/>
  </cellXfs>
  <cellStyles count="7">
    <cellStyle name="Neutral 3" xfId="4" xr:uid="{5642062F-1BC4-483A-B5EA-BBE3EA7A1503}"/>
    <cellStyle name="Normal" xfId="0" builtinId="0"/>
    <cellStyle name="Normal 10 2" xfId="2" xr:uid="{B90029B0-12FC-4FC0-A6CE-2A00B4EE1BE6}"/>
    <cellStyle name="Normal 55 2" xfId="5" xr:uid="{D63337CC-630C-48BC-BC25-657C620C070D}"/>
    <cellStyle name="Normal 55 3" xfId="3" xr:uid="{1642B975-E8F6-4926-B84C-D1AA3A18DB53}"/>
    <cellStyle name="Normal 56" xfId="6" xr:uid="{2A3B0FF2-7462-4928-86FA-4BAE1EB65AF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outputcow4!#REF!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AF-4D84-ADC4-F6E63D26A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68096"/>
        <c:axId val="51669632"/>
      </c:lineChart>
      <c:catAx>
        <c:axId val="5166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669632"/>
        <c:crosses val="autoZero"/>
        <c:auto val="1"/>
        <c:lblAlgn val="ctr"/>
        <c:lblOffset val="100"/>
        <c:noMultiLvlLbl val="0"/>
      </c:catAx>
      <c:valAx>
        <c:axId val="51669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1668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6885389326336"/>
          <c:y val="0.19480351414406535"/>
          <c:w val="0.77537270341207365"/>
          <c:h val="0.65183253135024788"/>
        </c:manualLayout>
      </c:layou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82496"/>
        <c:axId val="52284032"/>
      </c:lineChart>
      <c:catAx>
        <c:axId val="52282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284032"/>
        <c:crosses val="autoZero"/>
        <c:auto val="1"/>
        <c:lblAlgn val="ctr"/>
        <c:lblOffset val="100"/>
        <c:noMultiLvlLbl val="0"/>
      </c:catAx>
      <c:valAx>
        <c:axId val="5228403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282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73565804274478"/>
          <c:y val="0.52983127109111361"/>
          <c:w val="0.48411698537682829"/>
          <c:h val="8.3734533183352278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Steers/</a:t>
            </a:r>
            <a:r>
              <a:rPr lang="en-US" b="1" baseline="0"/>
              <a:t> 100 Cows</a:t>
            </a:r>
          </a:p>
          <a:p>
            <a:pPr>
              <a:defRPr b="1"/>
            </a:pPr>
            <a:r>
              <a:rPr lang="en-US" b="1"/>
              <a:t>3 Yr, Rolling Avg. </a:t>
            </a:r>
            <a:r>
              <a:rPr lang="en-US" sz="1000" b="1"/>
              <a:t>CAG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[1]Sheet1!$A$52</c:f>
              <c:strCache>
                <c:ptCount val="1"/>
                <c:pt idx="0">
                  <c:v>Steers/100 Cows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[1]Sheet1!$B$51:$P$51</c:f>
              <c:numCache>
                <c:formatCode>0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[1]Sheet1!$B$52:$P$52</c:f>
              <c:numCache>
                <c:formatCode>0</c:formatCode>
                <c:ptCount val="15"/>
                <c:pt idx="0">
                  <c:v>34.13403195551745</c:v>
                </c:pt>
                <c:pt idx="1">
                  <c:v>34.941537383473189</c:v>
                </c:pt>
                <c:pt idx="2">
                  <c:v>35.978902096272783</c:v>
                </c:pt>
                <c:pt idx="3">
                  <c:v>35.928619198816243</c:v>
                </c:pt>
                <c:pt idx="4">
                  <c:v>36.050859776083549</c:v>
                </c:pt>
                <c:pt idx="5">
                  <c:v>35.522699012306752</c:v>
                </c:pt>
                <c:pt idx="6">
                  <c:v>35.159739130583937</c:v>
                </c:pt>
                <c:pt idx="7">
                  <c:v>35.586066017133</c:v>
                </c:pt>
                <c:pt idx="8">
                  <c:v>35.95818212573456</c:v>
                </c:pt>
                <c:pt idx="9">
                  <c:v>37.376682815797075</c:v>
                </c:pt>
                <c:pt idx="10">
                  <c:v>37.637834162494322</c:v>
                </c:pt>
                <c:pt idx="11">
                  <c:v>38.762610322720782</c:v>
                </c:pt>
                <c:pt idx="12">
                  <c:v>38.802415010722179</c:v>
                </c:pt>
                <c:pt idx="13">
                  <c:v>39.059583281247882</c:v>
                </c:pt>
                <c:pt idx="14">
                  <c:v>38.82971154857011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0-438C-B246-098284F18241}"/>
            </c:ext>
          </c:extLst>
        </c:ser>
        <c:ser>
          <c:idx val="1"/>
          <c:order val="1"/>
          <c:tx>
            <c:strRef>
              <c:f>[1]Sheet1!$A$53</c:f>
              <c:strCache>
                <c:ptCount val="1"/>
                <c:pt idx="0">
                  <c:v>Beef Steers/100 beef cows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[1]Sheet1!$B$51:$P$51</c:f>
              <c:numCache>
                <c:formatCode>0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[1]Sheet1!$B$53:$P$53</c:f>
              <c:numCache>
                <c:formatCode>0</c:formatCode>
                <c:ptCount val="15"/>
                <c:pt idx="0">
                  <c:v>39.94063186858471</c:v>
                </c:pt>
                <c:pt idx="1">
                  <c:v>36.719258687036657</c:v>
                </c:pt>
                <c:pt idx="2">
                  <c:v>39.928374218475</c:v>
                </c:pt>
                <c:pt idx="3">
                  <c:v>39.362957176015748</c:v>
                </c:pt>
                <c:pt idx="4">
                  <c:v>37.222406344442895</c:v>
                </c:pt>
                <c:pt idx="5">
                  <c:v>41.722969599401885</c:v>
                </c:pt>
                <c:pt idx="6">
                  <c:v>39.347470113603997</c:v>
                </c:pt>
                <c:pt idx="7">
                  <c:v>39.842085500565126</c:v>
                </c:pt>
                <c:pt idx="8">
                  <c:v>40.992764920868979</c:v>
                </c:pt>
                <c:pt idx="9">
                  <c:v>44.480795018759594</c:v>
                </c:pt>
                <c:pt idx="10">
                  <c:v>40.867016601468336</c:v>
                </c:pt>
                <c:pt idx="11">
                  <c:v>44.994431574800714</c:v>
                </c:pt>
                <c:pt idx="12">
                  <c:v>44.866430101685843</c:v>
                </c:pt>
                <c:pt idx="13">
                  <c:v>41.895449164578778</c:v>
                </c:pt>
                <c:pt idx="14">
                  <c:v>44.353816854215204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0-438C-B246-098284F18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853608"/>
        <c:axId val="456853936"/>
      </c:barChart>
      <c:catAx>
        <c:axId val="456853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853936"/>
        <c:crosses val="autoZero"/>
        <c:auto val="1"/>
        <c:lblAlgn val="ctr"/>
        <c:lblOffset val="100"/>
        <c:noMultiLvlLbl val="0"/>
      </c:catAx>
      <c:valAx>
        <c:axId val="45685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85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Pounds of Beef Per Beef Cow</a:t>
            </a:r>
          </a:p>
          <a:p>
            <a:pPr>
              <a:defRPr/>
            </a:pPr>
            <a:r>
              <a:rPr lang="en-US" b="1"/>
              <a:t> 3Yr. Rolling Average </a:t>
            </a:r>
            <a:r>
              <a:rPr lang="en-US" sz="1000" b="1"/>
              <a:t>CAG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[1]Sheet1!$A$56</c:f>
              <c:strCache>
                <c:ptCount val="1"/>
                <c:pt idx="0">
                  <c:v>Steer Beef pounds / Beef Cow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[1]Sheet1!$B$55:$P$55</c:f>
              <c:numCache>
                <c:formatCode>0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[1]Sheet1!$B$56:$P$56</c:f>
              <c:numCache>
                <c:formatCode>0</c:formatCode>
                <c:ptCount val="15"/>
                <c:pt idx="0">
                  <c:v>310.52295451584888</c:v>
                </c:pt>
                <c:pt idx="1">
                  <c:v>316.80670108298887</c:v>
                </c:pt>
                <c:pt idx="2">
                  <c:v>324.83246949899473</c:v>
                </c:pt>
                <c:pt idx="3">
                  <c:v>325.20816078861378</c:v>
                </c:pt>
                <c:pt idx="4">
                  <c:v>327.23902482728334</c:v>
                </c:pt>
                <c:pt idx="5">
                  <c:v>333.52188966498716</c:v>
                </c:pt>
                <c:pt idx="6">
                  <c:v>335.3146379151197</c:v>
                </c:pt>
                <c:pt idx="7">
                  <c:v>346.95195558877799</c:v>
                </c:pt>
                <c:pt idx="8">
                  <c:v>348.30154009193558</c:v>
                </c:pt>
                <c:pt idx="9">
                  <c:v>363.6454929432735</c:v>
                </c:pt>
                <c:pt idx="10">
                  <c:v>368.81380097956816</c:v>
                </c:pt>
                <c:pt idx="11">
                  <c:v>387.22115456757609</c:v>
                </c:pt>
                <c:pt idx="12">
                  <c:v>393.30252581136347</c:v>
                </c:pt>
                <c:pt idx="13">
                  <c:v>396.65745571495682</c:v>
                </c:pt>
                <c:pt idx="14">
                  <c:v>393.11237682535989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C-4E69-B2AE-A3D014ACCBFB}"/>
            </c:ext>
          </c:extLst>
        </c:ser>
        <c:ser>
          <c:idx val="1"/>
          <c:order val="1"/>
          <c:tx>
            <c:strRef>
              <c:f>[1]Sheet1!$A$57</c:f>
              <c:strCache>
                <c:ptCount val="1"/>
                <c:pt idx="0">
                  <c:v>Steer Beef pounds/ Cwt Cow Weight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[1]Sheet1!$B$55:$P$55</c:f>
              <c:numCache>
                <c:formatCode>0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[1]Sheet1!$B$57:$P$57</c:f>
              <c:numCache>
                <c:formatCode>0</c:formatCode>
                <c:ptCount val="15"/>
                <c:pt idx="0">
                  <c:v>14.743420671082175</c:v>
                </c:pt>
                <c:pt idx="1">
                  <c:v>14.669841728841766</c:v>
                </c:pt>
                <c:pt idx="2">
                  <c:v>16.047385474690564</c:v>
                </c:pt>
                <c:pt idx="3">
                  <c:v>16.951742626546679</c:v>
                </c:pt>
                <c:pt idx="4">
                  <c:v>15.368656236158326</c:v>
                </c:pt>
                <c:pt idx="5">
                  <c:v>16.818367860470669</c:v>
                </c:pt>
                <c:pt idx="6">
                  <c:v>14.403293557190169</c:v>
                </c:pt>
                <c:pt idx="7">
                  <c:v>14.484969874479624</c:v>
                </c:pt>
                <c:pt idx="8">
                  <c:v>14.895643620536777</c:v>
                </c:pt>
                <c:pt idx="9">
                  <c:v>15.094652162158823</c:v>
                </c:pt>
                <c:pt idx="10">
                  <c:v>12.388811816345932</c:v>
                </c:pt>
                <c:pt idx="11">
                  <c:v>13.830617881799471</c:v>
                </c:pt>
                <c:pt idx="12">
                  <c:v>15.441623775755954</c:v>
                </c:pt>
                <c:pt idx="13">
                  <c:v>15.061041324226416</c:v>
                </c:pt>
                <c:pt idx="14">
                  <c:v>17.626221131074974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CC-4E69-B2AE-A3D014ACC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896904"/>
        <c:axId val="456897232"/>
      </c:barChart>
      <c:catAx>
        <c:axId val="4568969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897232"/>
        <c:crosses val="autoZero"/>
        <c:auto val="1"/>
        <c:lblAlgn val="ctr"/>
        <c:lblOffset val="100"/>
        <c:noMultiLvlLbl val="0"/>
      </c:catAx>
      <c:valAx>
        <c:axId val="45689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896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Pounds of Steer Beef per 100 lbs of Cow Weight </a:t>
            </a:r>
          </a:p>
          <a:p>
            <a:pPr>
              <a:defRPr sz="1600"/>
            </a:pPr>
            <a:r>
              <a:rPr lang="en-US" sz="1600" b="1"/>
              <a:t>3 Yr. Rolling Avg. </a:t>
            </a:r>
            <a:r>
              <a:rPr lang="en-US" sz="1000" b="1"/>
              <a:t>CAG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[1]Sheet1!$A$59</c:f>
              <c:strCache>
                <c:ptCount val="1"/>
                <c:pt idx="0">
                  <c:v>Steer Beef pounds/ Cwt Cow Weight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[1]Sheet1!$B$58:$P$58</c:f>
              <c:numCache>
                <c:formatCode>0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[1]Sheet1!$B$59:$P$59</c:f>
              <c:numCache>
                <c:formatCode>0</c:formatCode>
                <c:ptCount val="15"/>
                <c:pt idx="0">
                  <c:v>14.743420671082175</c:v>
                </c:pt>
                <c:pt idx="1">
                  <c:v>14.669841728841766</c:v>
                </c:pt>
                <c:pt idx="2">
                  <c:v>16.047385474690564</c:v>
                </c:pt>
                <c:pt idx="3">
                  <c:v>16.951742626546679</c:v>
                </c:pt>
                <c:pt idx="4">
                  <c:v>15.368656236158326</c:v>
                </c:pt>
                <c:pt idx="5">
                  <c:v>16.818367860470669</c:v>
                </c:pt>
                <c:pt idx="6">
                  <c:v>14.403293557190169</c:v>
                </c:pt>
                <c:pt idx="7">
                  <c:v>14.484969874479624</c:v>
                </c:pt>
                <c:pt idx="8">
                  <c:v>14.895643620536777</c:v>
                </c:pt>
                <c:pt idx="9">
                  <c:v>15.094652162158823</c:v>
                </c:pt>
                <c:pt idx="10">
                  <c:v>12.388811816345932</c:v>
                </c:pt>
                <c:pt idx="11">
                  <c:v>13.830617881799471</c:v>
                </c:pt>
                <c:pt idx="12">
                  <c:v>15.441623775755954</c:v>
                </c:pt>
                <c:pt idx="13">
                  <c:v>15.061041324226416</c:v>
                </c:pt>
                <c:pt idx="14">
                  <c:v>17.626221131074974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EE-41A7-AC6E-9DD7FCFE2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903464"/>
        <c:axId val="456906744"/>
      </c:barChart>
      <c:catAx>
        <c:axId val="456903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906744"/>
        <c:crosses val="autoZero"/>
        <c:auto val="1"/>
        <c:lblAlgn val="ctr"/>
        <c:lblOffset val="100"/>
        <c:noMultiLvlLbl val="0"/>
      </c:catAx>
      <c:valAx>
        <c:axId val="45690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903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700" b="1" i="0" baseline="0"/>
              <a:t>Domestic Steer and Heifer output per 100 Cows </a:t>
            </a:r>
          </a:p>
          <a:p>
            <a:pPr>
              <a:defRPr sz="1700" b="1"/>
            </a:pPr>
            <a:r>
              <a:rPr lang="en-CA" sz="1700" b="1" i="0" baseline="0"/>
              <a:t>2005 - 2019</a:t>
            </a:r>
          </a:p>
          <a:p>
            <a:pPr>
              <a:defRPr sz="1700" b="1"/>
            </a:pPr>
            <a:r>
              <a:rPr lang="en-CA" sz="1700" b="1" i="0" baseline="0"/>
              <a:t>3 Yr. Rolling Average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908599984958525E-2"/>
          <c:y val="0.10761382506742086"/>
          <c:w val="0.93458239843199575"/>
          <c:h val="0.7935695822308565"/>
        </c:manualLayout>
      </c:layout>
      <c:lineChart>
        <c:grouping val="standard"/>
        <c:varyColors val="0"/>
        <c:ser>
          <c:idx val="0"/>
          <c:order val="0"/>
          <c:tx>
            <c:strRef>
              <c:f>[1]Sheet3!$B$34</c:f>
              <c:strCache>
                <c:ptCount val="1"/>
                <c:pt idx="0">
                  <c:v>Steer No. / 100 Cows (lagged)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[1]Sheet3!$C$33:$Q$33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[1]Sheet3!$C$34:$Q$34</c:f>
              <c:numCache>
                <c:formatCode>#,##0.0</c:formatCode>
                <c:ptCount val="15"/>
                <c:pt idx="0">
                  <c:v>34.13403195551745</c:v>
                </c:pt>
                <c:pt idx="1">
                  <c:v>34.941537383473189</c:v>
                </c:pt>
                <c:pt idx="2">
                  <c:v>35.978902096272783</c:v>
                </c:pt>
                <c:pt idx="3">
                  <c:v>35.928619198816243</c:v>
                </c:pt>
                <c:pt idx="4">
                  <c:v>36.050859776083549</c:v>
                </c:pt>
                <c:pt idx="5">
                  <c:v>35.522699012306752</c:v>
                </c:pt>
                <c:pt idx="6">
                  <c:v>35.159739130583937</c:v>
                </c:pt>
                <c:pt idx="7">
                  <c:v>35.586066017133</c:v>
                </c:pt>
                <c:pt idx="8">
                  <c:v>35.95818212573456</c:v>
                </c:pt>
                <c:pt idx="9">
                  <c:v>37.376682815797075</c:v>
                </c:pt>
                <c:pt idx="10">
                  <c:v>37.637834162494322</c:v>
                </c:pt>
                <c:pt idx="11">
                  <c:v>38.762610322720782</c:v>
                </c:pt>
                <c:pt idx="12">
                  <c:v>38.802415010722179</c:v>
                </c:pt>
                <c:pt idx="13">
                  <c:v>39.059583281247882</c:v>
                </c:pt>
                <c:pt idx="14">
                  <c:v>38.82971154857011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A1-467B-8BEE-600396CE7EB2}"/>
            </c:ext>
          </c:extLst>
        </c:ser>
        <c:ser>
          <c:idx val="1"/>
          <c:order val="1"/>
          <c:tx>
            <c:strRef>
              <c:f>[1]Sheet3!$B$35</c:f>
              <c:strCache>
                <c:ptCount val="1"/>
                <c:pt idx="0">
                  <c:v>Beef Steers/100 Beef Cows (lagged)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[1]Sheet3!$C$33:$Q$33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[1]Sheet3!$C$35:$Q$35</c:f>
              <c:numCache>
                <c:formatCode>#,##0.0</c:formatCode>
                <c:ptCount val="15"/>
                <c:pt idx="0">
                  <c:v>37.330833453910579</c:v>
                </c:pt>
                <c:pt idx="1">
                  <c:v>37.995427632760787</c:v>
                </c:pt>
                <c:pt idx="2">
                  <c:v>38.862754924698784</c:v>
                </c:pt>
                <c:pt idx="3">
                  <c:v>38.670196693842463</c:v>
                </c:pt>
                <c:pt idx="4">
                  <c:v>38.837912579644552</c:v>
                </c:pt>
                <c:pt idx="5">
                  <c:v>39.436111039953509</c:v>
                </c:pt>
                <c:pt idx="6">
                  <c:v>39.430948685816254</c:v>
                </c:pt>
                <c:pt idx="7">
                  <c:v>40.304175071190336</c:v>
                </c:pt>
                <c:pt idx="8">
                  <c:v>40.060773511679365</c:v>
                </c:pt>
                <c:pt idx="9">
                  <c:v>41.771881813397904</c:v>
                </c:pt>
                <c:pt idx="10">
                  <c:v>42.113525513698967</c:v>
                </c:pt>
                <c:pt idx="11">
                  <c:v>43.447414398342879</c:v>
                </c:pt>
                <c:pt idx="12">
                  <c:v>43.575959425984962</c:v>
                </c:pt>
                <c:pt idx="13">
                  <c:v>43.918770280355112</c:v>
                </c:pt>
                <c:pt idx="14">
                  <c:v>43.705232040159949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A1-467B-8BEE-600396CE7EB2}"/>
            </c:ext>
          </c:extLst>
        </c:ser>
        <c:ser>
          <c:idx val="2"/>
          <c:order val="2"/>
          <c:tx>
            <c:strRef>
              <c:f>[1]Sheet3!$B$36</c:f>
              <c:strCache>
                <c:ptCount val="1"/>
                <c:pt idx="0">
                  <c:v>Beef Heifer No. / 100 Beef Cows (lagged)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[1]Sheet3!$C$33:$Q$33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[1]Sheet3!$C$36:$Q$36</c:f>
              <c:numCache>
                <c:formatCode>#,##0.0</c:formatCode>
                <c:ptCount val="15"/>
                <c:pt idx="0">
                  <c:v>27.607205603852133</c:v>
                </c:pt>
                <c:pt idx="1">
                  <c:v>29.245043647188961</c:v>
                </c:pt>
                <c:pt idx="2">
                  <c:v>30.307098583076336</c:v>
                </c:pt>
                <c:pt idx="3">
                  <c:v>31.779313220052671</c:v>
                </c:pt>
                <c:pt idx="4">
                  <c:v>32.245189558263718</c:v>
                </c:pt>
                <c:pt idx="5">
                  <c:v>32.75917781545045</c:v>
                </c:pt>
                <c:pt idx="6">
                  <c:v>31.060211769212771</c:v>
                </c:pt>
                <c:pt idx="7">
                  <c:v>30.471087528093637</c:v>
                </c:pt>
                <c:pt idx="8">
                  <c:v>29.189271368137714</c:v>
                </c:pt>
                <c:pt idx="9">
                  <c:v>29.650177104783484</c:v>
                </c:pt>
                <c:pt idx="10">
                  <c:v>28.252738399361021</c:v>
                </c:pt>
                <c:pt idx="11">
                  <c:v>27.54272124020282</c:v>
                </c:pt>
                <c:pt idx="12">
                  <c:v>27.774035649267574</c:v>
                </c:pt>
                <c:pt idx="13">
                  <c:v>29.555521987854561</c:v>
                </c:pt>
                <c:pt idx="14">
                  <c:v>32.085924154038224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A1-467B-8BEE-600396CE7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716624"/>
        <c:axId val="621715968"/>
      </c:lineChart>
      <c:catAx>
        <c:axId val="62171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715968"/>
        <c:crosses val="autoZero"/>
        <c:auto val="1"/>
        <c:lblAlgn val="ctr"/>
        <c:lblOffset val="100"/>
        <c:noMultiLvlLbl val="0"/>
      </c:catAx>
      <c:valAx>
        <c:axId val="62171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71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4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9.598120461893167E-2"/>
          <c:y val="0.47513451569103232"/>
          <c:w val="0.80803759076213666"/>
          <c:h val="0.219893278016270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444500</xdr:colOff>
      <xdr:row>114</xdr:row>
      <xdr:rowOff>82550</xdr:rowOff>
    </xdr:from>
    <xdr:to>
      <xdr:col>37</xdr:col>
      <xdr:colOff>527050</xdr:colOff>
      <xdr:row>114</xdr:row>
      <xdr:rowOff>127000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A925A6DC-92B5-4119-BC70-F17783E35F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50800</xdr:colOff>
      <xdr:row>160</xdr:row>
      <xdr:rowOff>82550</xdr:rowOff>
    </xdr:from>
    <xdr:to>
      <xdr:col>33</xdr:col>
      <xdr:colOff>95250</xdr:colOff>
      <xdr:row>160</xdr:row>
      <xdr:rowOff>127000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F79F383F-9FE6-428F-8086-8C5062E70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38100</xdr:colOff>
      <xdr:row>153</xdr:row>
      <xdr:rowOff>146050</xdr:rowOff>
    </xdr:from>
    <xdr:ext cx="11988800" cy="75351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6CF31BC-0AE8-4BB6-BD93-EB83FEB76D95}"/>
            </a:ext>
          </a:extLst>
        </xdr:cNvPr>
        <xdr:cNvSpPr txBox="1"/>
      </xdr:nvSpPr>
      <xdr:spPr>
        <a:xfrm>
          <a:off x="38100" y="35988625"/>
          <a:ext cx="11988800" cy="753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C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2AE62B-A5BC-441F-8186-57F0446E864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9C2FD0-DC4D-4978-A536-0A7D3D27C0B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9CAA04-6ED4-45D9-B1FB-4F79411D44F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44FC4E-E1CB-4856-9B05-F96F8C5DCD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y,%20Disposition%20and%20Productivity%20%202019%20%20Year%20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ef%20Supply/Annual%20Supply%20Spread%20Sheets/2014%20Annual%20Supply%20Spread%20sheet%20(original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eef%20Supply/Exports%20and%20Imports/LIVE%20Cattle%20Trade%20%20Nov%202019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2"/>
      <sheetName val="Chart6"/>
      <sheetName val="Supply &amp;Disposition"/>
      <sheetName val="Productivity"/>
      <sheetName val="Chart7"/>
      <sheetName val="Chart8"/>
      <sheetName val="Chart10"/>
      <sheetName val="Chart11"/>
      <sheetName val="Chart12"/>
      <sheetName val="Chart13"/>
      <sheetName val="Sheet1"/>
      <sheetName val="Sheet6"/>
      <sheetName val="Chart 1"/>
      <sheetName val="Chart3"/>
      <sheetName val="Chart4"/>
      <sheetName val="Chart5"/>
      <sheetName val="Sheet3"/>
      <sheetName val="Sheet2"/>
    </sheetNames>
    <sheetDataSet>
      <sheetData sheetId="3">
        <row r="7">
          <cell r="AA7" t="str">
            <v>Feb</v>
          </cell>
          <cell r="AB7">
            <v>32</v>
          </cell>
          <cell r="AC7">
            <v>33</v>
          </cell>
          <cell r="AD7">
            <v>34</v>
          </cell>
          <cell r="AE7">
            <v>35</v>
          </cell>
          <cell r="AF7">
            <v>36</v>
          </cell>
          <cell r="AG7">
            <v>37</v>
          </cell>
          <cell r="AH7">
            <v>38</v>
          </cell>
          <cell r="AI7">
            <v>39</v>
          </cell>
          <cell r="AJ7">
            <v>40</v>
          </cell>
          <cell r="AK7">
            <v>41</v>
          </cell>
          <cell r="AL7">
            <v>42</v>
          </cell>
          <cell r="AM7">
            <v>43</v>
          </cell>
          <cell r="AN7">
            <v>44</v>
          </cell>
          <cell r="AO7">
            <v>45</v>
          </cell>
          <cell r="AP7">
            <v>46</v>
          </cell>
          <cell r="AQ7">
            <v>47</v>
          </cell>
          <cell r="AR7">
            <v>48</v>
          </cell>
          <cell r="AS7">
            <v>49</v>
          </cell>
          <cell r="AT7">
            <v>50</v>
          </cell>
          <cell r="AU7">
            <v>51</v>
          </cell>
          <cell r="AV7">
            <v>52</v>
          </cell>
          <cell r="AW7">
            <v>53</v>
          </cell>
          <cell r="AX7">
            <v>54</v>
          </cell>
          <cell r="AY7">
            <v>55</v>
          </cell>
          <cell r="AZ7">
            <v>56</v>
          </cell>
          <cell r="BA7">
            <v>57</v>
          </cell>
          <cell r="BB7">
            <v>58</v>
          </cell>
          <cell r="BC7">
            <v>59</v>
          </cell>
        </row>
        <row r="8">
          <cell r="AA8" t="str">
            <v>Mar</v>
          </cell>
          <cell r="AB8">
            <v>60</v>
          </cell>
          <cell r="AC8">
            <v>61</v>
          </cell>
          <cell r="AD8">
            <v>62</v>
          </cell>
          <cell r="AE8">
            <v>63</v>
          </cell>
          <cell r="AF8">
            <v>64</v>
          </cell>
          <cell r="AG8">
            <v>65</v>
          </cell>
          <cell r="AH8">
            <v>66</v>
          </cell>
          <cell r="AI8">
            <v>67</v>
          </cell>
          <cell r="AJ8">
            <v>68</v>
          </cell>
          <cell r="AK8">
            <v>69</v>
          </cell>
          <cell r="AL8">
            <v>70</v>
          </cell>
          <cell r="AM8">
            <v>71</v>
          </cell>
          <cell r="AN8">
            <v>72</v>
          </cell>
          <cell r="AO8">
            <v>73</v>
          </cell>
          <cell r="AP8">
            <v>74</v>
          </cell>
          <cell r="AQ8">
            <v>75</v>
          </cell>
          <cell r="AR8">
            <v>76</v>
          </cell>
          <cell r="AS8">
            <v>77</v>
          </cell>
          <cell r="AT8">
            <v>78</v>
          </cell>
          <cell r="AU8">
            <v>79</v>
          </cell>
          <cell r="AV8">
            <v>80</v>
          </cell>
          <cell r="AW8">
            <v>81</v>
          </cell>
          <cell r="AX8">
            <v>82</v>
          </cell>
          <cell r="AY8">
            <v>83</v>
          </cell>
          <cell r="AZ8">
            <v>84</v>
          </cell>
          <cell r="BA8">
            <v>85</v>
          </cell>
          <cell r="BB8">
            <v>86</v>
          </cell>
          <cell r="BC8">
            <v>87</v>
          </cell>
          <cell r="BD8">
            <v>88</v>
          </cell>
          <cell r="BE8">
            <v>89</v>
          </cell>
          <cell r="BF8">
            <v>90</v>
          </cell>
        </row>
        <row r="9">
          <cell r="AA9" t="str">
            <v>Apr</v>
          </cell>
          <cell r="AB9">
            <v>91</v>
          </cell>
          <cell r="AC9">
            <v>92</v>
          </cell>
          <cell r="AD9">
            <v>93</v>
          </cell>
          <cell r="AE9">
            <v>94</v>
          </cell>
          <cell r="AF9">
            <v>95</v>
          </cell>
          <cell r="AG9">
            <v>96</v>
          </cell>
          <cell r="AH9">
            <v>97</v>
          </cell>
          <cell r="AI9">
            <v>98</v>
          </cell>
          <cell r="AJ9">
            <v>99</v>
          </cell>
          <cell r="AK9">
            <v>100</v>
          </cell>
          <cell r="AL9">
            <v>101</v>
          </cell>
          <cell r="AM9">
            <v>102</v>
          </cell>
          <cell r="AN9">
            <v>103</v>
          </cell>
          <cell r="AO9">
            <v>104</v>
          </cell>
          <cell r="AP9">
            <v>105</v>
          </cell>
          <cell r="AQ9">
            <v>106</v>
          </cell>
          <cell r="AR9">
            <v>107</v>
          </cell>
          <cell r="AS9">
            <v>108</v>
          </cell>
          <cell r="AT9">
            <v>109</v>
          </cell>
          <cell r="AU9">
            <v>110</v>
          </cell>
          <cell r="AV9">
            <v>111</v>
          </cell>
          <cell r="AW9">
            <v>112</v>
          </cell>
          <cell r="AX9">
            <v>113</v>
          </cell>
          <cell r="AY9">
            <v>114</v>
          </cell>
          <cell r="AZ9">
            <v>115</v>
          </cell>
          <cell r="BA9">
            <v>116</v>
          </cell>
          <cell r="BB9">
            <v>117</v>
          </cell>
          <cell r="BC9">
            <v>118</v>
          </cell>
          <cell r="BD9">
            <v>119</v>
          </cell>
          <cell r="BE9">
            <v>120</v>
          </cell>
        </row>
        <row r="10">
          <cell r="AA10" t="str">
            <v>May</v>
          </cell>
          <cell r="AB10">
            <v>121</v>
          </cell>
          <cell r="AC10">
            <v>122</v>
          </cell>
          <cell r="AD10">
            <v>123</v>
          </cell>
          <cell r="AE10">
            <v>124</v>
          </cell>
          <cell r="AF10">
            <v>125</v>
          </cell>
          <cell r="AG10">
            <v>126</v>
          </cell>
          <cell r="AH10">
            <v>127</v>
          </cell>
          <cell r="AI10">
            <v>128</v>
          </cell>
          <cell r="AJ10">
            <v>129</v>
          </cell>
          <cell r="AK10">
            <v>130</v>
          </cell>
          <cell r="AL10">
            <v>131</v>
          </cell>
          <cell r="AM10">
            <v>132</v>
          </cell>
          <cell r="AN10">
            <v>133</v>
          </cell>
          <cell r="AO10">
            <v>134</v>
          </cell>
          <cell r="AP10">
            <v>135</v>
          </cell>
          <cell r="AQ10">
            <v>136</v>
          </cell>
          <cell r="AR10">
            <v>137</v>
          </cell>
          <cell r="AS10">
            <v>138</v>
          </cell>
          <cell r="AT10">
            <v>139</v>
          </cell>
          <cell r="AU10">
            <v>140</v>
          </cell>
          <cell r="AV10">
            <v>141</v>
          </cell>
          <cell r="AW10">
            <v>142</v>
          </cell>
          <cell r="AX10">
            <v>143</v>
          </cell>
          <cell r="AY10">
            <v>144</v>
          </cell>
          <cell r="AZ10">
            <v>145</v>
          </cell>
          <cell r="BA10">
            <v>146</v>
          </cell>
          <cell r="BB10">
            <v>147</v>
          </cell>
          <cell r="BC10">
            <v>148</v>
          </cell>
          <cell r="BD10">
            <v>149</v>
          </cell>
          <cell r="BE10">
            <v>150</v>
          </cell>
          <cell r="BF10">
            <v>151</v>
          </cell>
        </row>
        <row r="11">
          <cell r="AA11" t="str">
            <v>Jun</v>
          </cell>
          <cell r="AB11">
            <v>152</v>
          </cell>
          <cell r="AC11">
            <v>153</v>
          </cell>
          <cell r="AD11">
            <v>154</v>
          </cell>
          <cell r="AE11">
            <v>155</v>
          </cell>
          <cell r="AF11">
            <v>156</v>
          </cell>
          <cell r="AG11">
            <v>157</v>
          </cell>
          <cell r="AH11">
            <v>158</v>
          </cell>
          <cell r="AI11">
            <v>159</v>
          </cell>
          <cell r="AJ11">
            <v>160</v>
          </cell>
          <cell r="AK11">
            <v>161</v>
          </cell>
          <cell r="AL11">
            <v>162</v>
          </cell>
          <cell r="AM11">
            <v>163</v>
          </cell>
          <cell r="AN11">
            <v>164</v>
          </cell>
          <cell r="AO11">
            <v>165</v>
          </cell>
          <cell r="AP11">
            <v>166</v>
          </cell>
          <cell r="AQ11">
            <v>167</v>
          </cell>
          <cell r="AR11">
            <v>168</v>
          </cell>
          <cell r="AS11">
            <v>169</v>
          </cell>
          <cell r="AT11">
            <v>170</v>
          </cell>
          <cell r="AU11">
            <v>171</v>
          </cell>
          <cell r="AV11">
            <v>172</v>
          </cell>
          <cell r="AW11">
            <v>173</v>
          </cell>
          <cell r="AX11">
            <v>174</v>
          </cell>
          <cell r="AY11">
            <v>175</v>
          </cell>
          <cell r="AZ11">
            <v>176</v>
          </cell>
          <cell r="BA11">
            <v>177</v>
          </cell>
          <cell r="BB11">
            <v>178</v>
          </cell>
          <cell r="BC11">
            <v>179</v>
          </cell>
          <cell r="BD11">
            <v>180</v>
          </cell>
          <cell r="BE11">
            <v>181</v>
          </cell>
        </row>
        <row r="12">
          <cell r="AA12" t="str">
            <v>Jul</v>
          </cell>
          <cell r="AB12">
            <v>182</v>
          </cell>
          <cell r="AC12">
            <v>183</v>
          </cell>
          <cell r="AD12">
            <v>184</v>
          </cell>
          <cell r="AE12">
            <v>185</v>
          </cell>
          <cell r="AF12">
            <v>186</v>
          </cell>
          <cell r="AG12">
            <v>187</v>
          </cell>
          <cell r="AH12">
            <v>188</v>
          </cell>
          <cell r="AI12">
            <v>189</v>
          </cell>
          <cell r="AJ12">
            <v>190</v>
          </cell>
          <cell r="AK12">
            <v>191</v>
          </cell>
          <cell r="AL12">
            <v>192</v>
          </cell>
          <cell r="AM12">
            <v>193</v>
          </cell>
          <cell r="AN12">
            <v>194</v>
          </cell>
          <cell r="AO12">
            <v>195</v>
          </cell>
          <cell r="AP12">
            <v>196</v>
          </cell>
          <cell r="AQ12">
            <v>197</v>
          </cell>
          <cell r="AR12">
            <v>198</v>
          </cell>
          <cell r="AS12">
            <v>199</v>
          </cell>
          <cell r="AT12">
            <v>200</v>
          </cell>
          <cell r="AU12">
            <v>201</v>
          </cell>
          <cell r="AV12">
            <v>202</v>
          </cell>
          <cell r="AW12">
            <v>203</v>
          </cell>
          <cell r="AX12">
            <v>204</v>
          </cell>
          <cell r="AY12">
            <v>205</v>
          </cell>
          <cell r="AZ12">
            <v>206</v>
          </cell>
          <cell r="BA12">
            <v>207</v>
          </cell>
          <cell r="BB12">
            <v>208</v>
          </cell>
          <cell r="BC12">
            <v>209</v>
          </cell>
          <cell r="BD12">
            <v>210</v>
          </cell>
          <cell r="BE12">
            <v>211</v>
          </cell>
          <cell r="BF12">
            <v>212</v>
          </cell>
        </row>
        <row r="13">
          <cell r="AA13" t="str">
            <v>Aug</v>
          </cell>
          <cell r="AB13">
            <v>213</v>
          </cell>
          <cell r="AC13">
            <v>214</v>
          </cell>
          <cell r="AD13">
            <v>215</v>
          </cell>
          <cell r="AE13">
            <v>216</v>
          </cell>
          <cell r="AF13">
            <v>217</v>
          </cell>
          <cell r="AG13">
            <v>218</v>
          </cell>
          <cell r="AH13">
            <v>219</v>
          </cell>
          <cell r="AI13">
            <v>220</v>
          </cell>
          <cell r="AJ13">
            <v>221</v>
          </cell>
          <cell r="AK13">
            <v>222</v>
          </cell>
          <cell r="AL13">
            <v>223</v>
          </cell>
          <cell r="AM13">
            <v>224</v>
          </cell>
          <cell r="AN13">
            <v>225</v>
          </cell>
          <cell r="AO13">
            <v>226</v>
          </cell>
          <cell r="AP13">
            <v>227</v>
          </cell>
          <cell r="AQ13">
            <v>228</v>
          </cell>
          <cell r="AR13">
            <v>229</v>
          </cell>
          <cell r="AS13">
            <v>230</v>
          </cell>
          <cell r="AT13">
            <v>231</v>
          </cell>
          <cell r="AU13">
            <v>232</v>
          </cell>
          <cell r="AV13">
            <v>233</v>
          </cell>
          <cell r="AW13">
            <v>234</v>
          </cell>
          <cell r="AX13">
            <v>235</v>
          </cell>
          <cell r="AY13">
            <v>236</v>
          </cell>
          <cell r="AZ13">
            <v>237</v>
          </cell>
          <cell r="BA13">
            <v>238</v>
          </cell>
          <cell r="BB13">
            <v>239</v>
          </cell>
          <cell r="BC13">
            <v>240</v>
          </cell>
          <cell r="BD13">
            <v>241</v>
          </cell>
          <cell r="BE13">
            <v>242</v>
          </cell>
          <cell r="BF13">
            <v>243</v>
          </cell>
        </row>
        <row r="14">
          <cell r="AA14" t="str">
            <v>Sep</v>
          </cell>
          <cell r="AB14">
            <v>244</v>
          </cell>
          <cell r="AC14">
            <v>245</v>
          </cell>
          <cell r="AD14">
            <v>246</v>
          </cell>
          <cell r="AE14">
            <v>247</v>
          </cell>
          <cell r="AF14">
            <v>248</v>
          </cell>
          <cell r="AG14">
            <v>249</v>
          </cell>
          <cell r="AH14">
            <v>250</v>
          </cell>
          <cell r="AI14">
            <v>251</v>
          </cell>
          <cell r="AJ14">
            <v>252</v>
          </cell>
          <cell r="AK14">
            <v>253</v>
          </cell>
          <cell r="AL14">
            <v>254</v>
          </cell>
          <cell r="AM14">
            <v>255</v>
          </cell>
          <cell r="AN14">
            <v>256</v>
          </cell>
          <cell r="AO14">
            <v>257</v>
          </cell>
          <cell r="AP14">
            <v>258</v>
          </cell>
          <cell r="AQ14">
            <v>259</v>
          </cell>
          <cell r="AR14">
            <v>260</v>
          </cell>
          <cell r="AS14">
            <v>261</v>
          </cell>
          <cell r="AT14">
            <v>262</v>
          </cell>
          <cell r="AU14">
            <v>263</v>
          </cell>
          <cell r="AV14">
            <v>264</v>
          </cell>
          <cell r="AW14">
            <v>265</v>
          </cell>
          <cell r="AX14">
            <v>266</v>
          </cell>
          <cell r="AY14">
            <v>267</v>
          </cell>
          <cell r="AZ14">
            <v>268</v>
          </cell>
          <cell r="BA14">
            <v>269</v>
          </cell>
          <cell r="BB14">
            <v>270</v>
          </cell>
          <cell r="BC14">
            <v>271</v>
          </cell>
          <cell r="BD14">
            <v>272</v>
          </cell>
          <cell r="BE14">
            <v>273</v>
          </cell>
        </row>
        <row r="15">
          <cell r="AA15" t="str">
            <v>Oct</v>
          </cell>
          <cell r="AB15">
            <v>274</v>
          </cell>
          <cell r="AC15">
            <v>275</v>
          </cell>
          <cell r="AD15">
            <v>276</v>
          </cell>
          <cell r="AE15">
            <v>277</v>
          </cell>
          <cell r="AF15">
            <v>278</v>
          </cell>
          <cell r="AG15">
            <v>279</v>
          </cell>
          <cell r="AH15">
            <v>280</v>
          </cell>
          <cell r="AI15">
            <v>281</v>
          </cell>
          <cell r="AJ15">
            <v>282</v>
          </cell>
          <cell r="AK15">
            <v>283</v>
          </cell>
          <cell r="AL15">
            <v>284</v>
          </cell>
          <cell r="AM15">
            <v>285</v>
          </cell>
          <cell r="AN15">
            <v>286</v>
          </cell>
          <cell r="AO15">
            <v>287</v>
          </cell>
          <cell r="AP15">
            <v>288</v>
          </cell>
          <cell r="AQ15">
            <v>289</v>
          </cell>
          <cell r="AR15">
            <v>290</v>
          </cell>
          <cell r="AS15">
            <v>291</v>
          </cell>
          <cell r="AT15">
            <v>292</v>
          </cell>
          <cell r="AU15">
            <v>293</v>
          </cell>
          <cell r="AV15">
            <v>294</v>
          </cell>
          <cell r="AW15">
            <v>295</v>
          </cell>
          <cell r="AX15">
            <v>296</v>
          </cell>
          <cell r="AY15">
            <v>297</v>
          </cell>
          <cell r="AZ15">
            <v>298</v>
          </cell>
          <cell r="BA15">
            <v>299</v>
          </cell>
          <cell r="BB15">
            <v>300</v>
          </cell>
          <cell r="BC15">
            <v>301</v>
          </cell>
          <cell r="BD15">
            <v>302</v>
          </cell>
          <cell r="BE15">
            <v>303</v>
          </cell>
          <cell r="BF15">
            <v>304</v>
          </cell>
        </row>
        <row r="16">
          <cell r="AA16" t="str">
            <v>Nov</v>
          </cell>
          <cell r="AB16">
            <v>305</v>
          </cell>
          <cell r="AC16">
            <v>306</v>
          </cell>
          <cell r="AD16">
            <v>307</v>
          </cell>
          <cell r="AE16">
            <v>308</v>
          </cell>
          <cell r="AF16">
            <v>309</v>
          </cell>
          <cell r="AG16">
            <v>310</v>
          </cell>
          <cell r="AH16">
            <v>311</v>
          </cell>
          <cell r="AI16">
            <v>312</v>
          </cell>
          <cell r="AJ16">
            <v>313</v>
          </cell>
          <cell r="AK16">
            <v>314</v>
          </cell>
          <cell r="AL16">
            <v>315</v>
          </cell>
          <cell r="AM16">
            <v>316</v>
          </cell>
          <cell r="AN16">
            <v>317</v>
          </cell>
          <cell r="AO16">
            <v>318</v>
          </cell>
          <cell r="AP16">
            <v>319</v>
          </cell>
          <cell r="AQ16">
            <v>320</v>
          </cell>
          <cell r="AR16">
            <v>321</v>
          </cell>
          <cell r="AS16">
            <v>322</v>
          </cell>
          <cell r="AT16">
            <v>323</v>
          </cell>
          <cell r="AU16">
            <v>324</v>
          </cell>
          <cell r="AV16">
            <v>325</v>
          </cell>
          <cell r="AW16">
            <v>326</v>
          </cell>
          <cell r="AX16">
            <v>327</v>
          </cell>
          <cell r="AY16">
            <v>328</v>
          </cell>
          <cell r="AZ16">
            <v>329</v>
          </cell>
          <cell r="BA16">
            <v>330</v>
          </cell>
          <cell r="BB16">
            <v>331</v>
          </cell>
          <cell r="BC16">
            <v>332</v>
          </cell>
          <cell r="BD16">
            <v>333</v>
          </cell>
          <cell r="BE16">
            <v>334</v>
          </cell>
        </row>
        <row r="17">
          <cell r="AA17" t="str">
            <v>Dec</v>
          </cell>
          <cell r="AB17">
            <v>335</v>
          </cell>
          <cell r="AC17">
            <v>336</v>
          </cell>
          <cell r="AD17">
            <v>337</v>
          </cell>
          <cell r="AE17">
            <v>338</v>
          </cell>
          <cell r="AF17">
            <v>339</v>
          </cell>
          <cell r="AG17">
            <v>340</v>
          </cell>
          <cell r="AH17">
            <v>341</v>
          </cell>
          <cell r="AI17">
            <v>342</v>
          </cell>
          <cell r="AJ17">
            <v>343</v>
          </cell>
          <cell r="AK17">
            <v>344</v>
          </cell>
          <cell r="AL17">
            <v>345</v>
          </cell>
          <cell r="AM17">
            <v>346</v>
          </cell>
          <cell r="AN17">
            <v>347</v>
          </cell>
          <cell r="AO17">
            <v>348</v>
          </cell>
          <cell r="AP17">
            <v>349</v>
          </cell>
          <cell r="AQ17">
            <v>350</v>
          </cell>
          <cell r="AR17">
            <v>351</v>
          </cell>
          <cell r="AS17">
            <v>352</v>
          </cell>
          <cell r="AT17">
            <v>353</v>
          </cell>
          <cell r="AU17">
            <v>354</v>
          </cell>
          <cell r="AV17">
            <v>355</v>
          </cell>
          <cell r="AW17">
            <v>356</v>
          </cell>
          <cell r="AX17">
            <v>357</v>
          </cell>
          <cell r="AY17">
            <v>358</v>
          </cell>
          <cell r="AZ17">
            <v>359</v>
          </cell>
          <cell r="BA17">
            <v>360</v>
          </cell>
          <cell r="BB17">
            <v>361</v>
          </cell>
          <cell r="BC17">
            <v>362</v>
          </cell>
          <cell r="BD17">
            <v>363</v>
          </cell>
          <cell r="BE17">
            <v>364</v>
          </cell>
          <cell r="BF17">
            <v>365</v>
          </cell>
        </row>
      </sheetData>
      <sheetData sheetId="4">
        <row r="5">
          <cell r="A5" t="str">
            <v xml:space="preserve">Beef Cows July 1 '000 head* </v>
          </cell>
          <cell r="Y5">
            <v>4718.2</v>
          </cell>
          <cell r="Z5">
            <v>4688.3999999999996</v>
          </cell>
          <cell r="AA5">
            <v>4601.1000000000004</v>
          </cell>
          <cell r="AB5">
            <v>4616.7</v>
          </cell>
          <cell r="AC5">
            <v>4710.6000000000004</v>
          </cell>
          <cell r="AD5">
            <v>4799.3</v>
          </cell>
          <cell r="AE5">
            <v>4821.6000000000004</v>
          </cell>
          <cell r="AF5">
            <v>4924.2</v>
          </cell>
          <cell r="AG5">
            <v>5334.7</v>
          </cell>
          <cell r="AH5">
            <v>5436.2</v>
          </cell>
          <cell r="AI5">
            <v>5164.6000000000004</v>
          </cell>
          <cell r="AJ5">
            <v>5030.2</v>
          </cell>
          <cell r="AK5">
            <v>4767.3999999999996</v>
          </cell>
          <cell r="AL5">
            <v>4374.8</v>
          </cell>
          <cell r="AM5">
            <v>4096</v>
          </cell>
          <cell r="AN5">
            <v>3944.2</v>
          </cell>
          <cell r="AO5">
            <v>3931</v>
          </cell>
          <cell r="AP5">
            <v>3932</v>
          </cell>
          <cell r="AQ5">
            <v>3848</v>
          </cell>
          <cell r="AR5">
            <v>3737</v>
          </cell>
          <cell r="AS5">
            <v>3737</v>
          </cell>
        </row>
        <row r="8">
          <cell r="Y8">
            <v>3143</v>
          </cell>
          <cell r="Z8">
            <v>3257700</v>
          </cell>
          <cell r="AA8">
            <v>3405500</v>
          </cell>
          <cell r="AB8">
            <v>3587900</v>
          </cell>
          <cell r="AC8">
            <v>3496800</v>
          </cell>
          <cell r="AD8">
            <v>3461200</v>
          </cell>
          <cell r="AE8">
            <v>3529900</v>
          </cell>
          <cell r="AF8">
            <v>3224900</v>
          </cell>
          <cell r="AG8">
            <v>4072500</v>
          </cell>
          <cell r="AH8">
            <v>3657735</v>
          </cell>
          <cell r="AI8">
            <v>3643200</v>
          </cell>
          <cell r="AJ8">
            <v>3490200</v>
          </cell>
          <cell r="AK8">
            <v>3527100</v>
          </cell>
          <cell r="AL8">
            <v>3406200</v>
          </cell>
          <cell r="AM8">
            <v>3441400</v>
          </cell>
          <cell r="AN8">
            <v>3101500</v>
          </cell>
          <cell r="AO8">
            <v>2827300</v>
          </cell>
          <cell r="AP8">
            <v>2797700</v>
          </cell>
          <cell r="AQ8">
            <v>2903900</v>
          </cell>
          <cell r="AR8">
            <v>2517514</v>
          </cell>
          <cell r="AS8">
            <v>2649021</v>
          </cell>
        </row>
        <row r="10">
          <cell r="A10" t="str">
            <v>Steers Number</v>
          </cell>
          <cell r="Y10">
            <v>1502733.1584787467</v>
          </cell>
          <cell r="Z10">
            <v>1461627</v>
          </cell>
          <cell r="AA10">
            <v>1499626</v>
          </cell>
          <cell r="AB10">
            <v>1644543</v>
          </cell>
          <cell r="AC10">
            <v>1667040</v>
          </cell>
          <cell r="AD10">
            <v>1624871</v>
          </cell>
          <cell r="AE10">
            <v>1674532</v>
          </cell>
          <cell r="AF10">
            <v>1592351</v>
          </cell>
          <cell r="AG10">
            <v>1899606</v>
          </cell>
          <cell r="AH10">
            <v>1812713</v>
          </cell>
          <cell r="AI10">
            <v>1531480</v>
          </cell>
          <cell r="AJ10">
            <v>1459428</v>
          </cell>
          <cell r="AK10">
            <v>1488588</v>
          </cell>
          <cell r="AL10">
            <v>1520831</v>
          </cell>
          <cell r="AM10">
            <v>1545105</v>
          </cell>
          <cell r="AN10">
            <v>1443183</v>
          </cell>
          <cell r="AO10">
            <v>1354578</v>
          </cell>
          <cell r="AP10">
            <v>1344108</v>
          </cell>
          <cell r="AQ10">
            <v>1413141</v>
          </cell>
          <cell r="AR10">
            <v>1408535</v>
          </cell>
          <cell r="AS10">
            <v>1465996</v>
          </cell>
          <cell r="AT10">
            <v>1499887</v>
          </cell>
          <cell r="AU10">
            <v>1598958</v>
          </cell>
          <cell r="AV10">
            <v>1712761</v>
          </cell>
        </row>
        <row r="11">
          <cell r="A11" t="str">
            <v>Heifers</v>
          </cell>
          <cell r="Y11">
            <v>730926.71000871493</v>
          </cell>
          <cell r="Z11">
            <v>918097</v>
          </cell>
          <cell r="AA11">
            <v>1004415</v>
          </cell>
          <cell r="AB11">
            <v>1159994</v>
          </cell>
          <cell r="AC11">
            <v>1113925</v>
          </cell>
          <cell r="AD11">
            <v>1097565</v>
          </cell>
          <cell r="AE11">
            <v>1116291</v>
          </cell>
          <cell r="AF11">
            <v>986120</v>
          </cell>
          <cell r="AG11">
            <v>1324089</v>
          </cell>
          <cell r="AH11">
            <v>1255235</v>
          </cell>
          <cell r="AI11">
            <v>1064577</v>
          </cell>
          <cell r="AJ11">
            <v>1009653</v>
          </cell>
          <cell r="AK11">
            <v>994068</v>
          </cell>
          <cell r="AL11">
            <v>999361</v>
          </cell>
          <cell r="AM11">
            <v>1062659</v>
          </cell>
          <cell r="AN11">
            <v>919997</v>
          </cell>
          <cell r="AO11">
            <v>830364</v>
          </cell>
          <cell r="AP11">
            <v>780515</v>
          </cell>
          <cell r="AQ11">
            <v>843330</v>
          </cell>
          <cell r="AR11">
            <v>746106</v>
          </cell>
          <cell r="AS11">
            <v>777629</v>
          </cell>
          <cell r="AT11">
            <v>866047</v>
          </cell>
          <cell r="AU11">
            <v>889953</v>
          </cell>
          <cell r="AV11">
            <v>913450</v>
          </cell>
        </row>
        <row r="12">
          <cell r="A12" t="str">
            <v>Cows</v>
          </cell>
          <cell r="Y12">
            <v>516303.18069700018</v>
          </cell>
          <cell r="Z12">
            <v>588446</v>
          </cell>
          <cell r="AA12">
            <v>523466</v>
          </cell>
          <cell r="AB12">
            <v>507316</v>
          </cell>
          <cell r="AC12">
            <v>459969</v>
          </cell>
          <cell r="AD12">
            <v>475723</v>
          </cell>
          <cell r="AE12">
            <v>497002</v>
          </cell>
          <cell r="AF12">
            <v>330525</v>
          </cell>
          <cell r="AG12">
            <v>406798</v>
          </cell>
          <cell r="AH12">
            <v>545211</v>
          </cell>
          <cell r="AI12">
            <v>676259</v>
          </cell>
          <cell r="AJ12">
            <v>684442</v>
          </cell>
          <cell r="AK12">
            <v>750838</v>
          </cell>
          <cell r="AL12">
            <v>602855</v>
          </cell>
          <cell r="AM12">
            <v>573247</v>
          </cell>
          <cell r="AN12">
            <v>501212</v>
          </cell>
          <cell r="AO12">
            <v>412390</v>
          </cell>
          <cell r="AP12">
            <v>456177</v>
          </cell>
          <cell r="AQ12">
            <v>409933</v>
          </cell>
          <cell r="AR12">
            <v>352508</v>
          </cell>
          <cell r="AS12">
            <v>391840</v>
          </cell>
          <cell r="AT12">
            <v>444862</v>
          </cell>
          <cell r="AU12">
            <v>505159</v>
          </cell>
          <cell r="AV12">
            <v>507299</v>
          </cell>
        </row>
        <row r="13">
          <cell r="A13" t="str">
            <v>Bulls</v>
          </cell>
          <cell r="Y13">
            <v>41336.950815538206</v>
          </cell>
          <cell r="Z13">
            <v>24801</v>
          </cell>
          <cell r="AA13">
            <v>23277</v>
          </cell>
          <cell r="AB13">
            <v>28131</v>
          </cell>
          <cell r="AC13">
            <v>18120</v>
          </cell>
          <cell r="AD13">
            <v>12040</v>
          </cell>
          <cell r="AE13">
            <v>9843</v>
          </cell>
          <cell r="AF13">
            <v>14631</v>
          </cell>
          <cell r="AG13">
            <v>32983</v>
          </cell>
          <cell r="AH13">
            <v>46995</v>
          </cell>
          <cell r="AI13">
            <v>44415</v>
          </cell>
          <cell r="AJ13">
            <v>45591</v>
          </cell>
          <cell r="AK13">
            <v>20390</v>
          </cell>
          <cell r="AL13">
            <v>15992</v>
          </cell>
          <cell r="AM13">
            <v>29294</v>
          </cell>
          <cell r="AN13">
            <v>25235</v>
          </cell>
          <cell r="AO13">
            <v>13821</v>
          </cell>
          <cell r="AP13">
            <v>4890</v>
          </cell>
          <cell r="AQ13">
            <v>6358</v>
          </cell>
          <cell r="AR13">
            <v>10364</v>
          </cell>
          <cell r="AS13">
            <v>13556</v>
          </cell>
          <cell r="AT13">
            <v>18230</v>
          </cell>
          <cell r="AU13">
            <v>17397</v>
          </cell>
          <cell r="AV13">
            <v>15993</v>
          </cell>
        </row>
        <row r="16">
          <cell r="Y16" t="str">
            <v>incl</v>
          </cell>
          <cell r="Z16">
            <v>184927</v>
          </cell>
          <cell r="AA16">
            <v>159798</v>
          </cell>
          <cell r="AB16">
            <v>162260</v>
          </cell>
          <cell r="AC16">
            <v>158557</v>
          </cell>
          <cell r="AD16">
            <v>165407</v>
          </cell>
          <cell r="AE16">
            <v>174400</v>
          </cell>
          <cell r="AF16">
            <v>185079</v>
          </cell>
          <cell r="AG16">
            <v>248017</v>
          </cell>
          <cell r="AH16">
            <v>273825</v>
          </cell>
          <cell r="AI16">
            <v>232181</v>
          </cell>
          <cell r="AJ16">
            <v>222581</v>
          </cell>
          <cell r="AK16">
            <v>222627</v>
          </cell>
          <cell r="AL16">
            <v>215998</v>
          </cell>
          <cell r="AM16">
            <v>194535</v>
          </cell>
          <cell r="AN16">
            <v>168023</v>
          </cell>
          <cell r="AO16">
            <v>170885</v>
          </cell>
          <cell r="AQ16">
            <v>160220</v>
          </cell>
          <cell r="AR16">
            <v>155292</v>
          </cell>
          <cell r="AS16">
            <v>148885</v>
          </cell>
          <cell r="AT16">
            <v>178228.63800000001</v>
          </cell>
          <cell r="AU16">
            <v>189722.421</v>
          </cell>
          <cell r="AV16">
            <v>198418.68900000001</v>
          </cell>
        </row>
        <row r="18">
          <cell r="Y18" t="str">
            <v>incl</v>
          </cell>
          <cell r="Z18">
            <v>3177898</v>
          </cell>
          <cell r="AA18">
            <v>3210582</v>
          </cell>
          <cell r="AB18">
            <v>3502244</v>
          </cell>
          <cell r="AC18">
            <v>3417611</v>
          </cell>
          <cell r="AD18">
            <v>3375606</v>
          </cell>
          <cell r="AE18">
            <v>3472068</v>
          </cell>
          <cell r="AF18">
            <v>3108706</v>
          </cell>
          <cell r="AG18">
            <v>3911493</v>
          </cell>
          <cell r="AH18">
            <v>3933979</v>
          </cell>
          <cell r="AI18">
            <v>3548912</v>
          </cell>
          <cell r="AJ18">
            <v>3421695</v>
          </cell>
          <cell r="AK18">
            <v>3476511</v>
          </cell>
          <cell r="AL18">
            <v>3355037</v>
          </cell>
          <cell r="AM18">
            <v>3404840</v>
          </cell>
          <cell r="AN18">
            <v>3057650</v>
          </cell>
          <cell r="AO18">
            <v>2782038</v>
          </cell>
          <cell r="AP18">
            <v>2749237</v>
          </cell>
          <cell r="AQ18">
            <v>2832982</v>
          </cell>
          <cell r="AR18">
            <v>2672805</v>
          </cell>
          <cell r="AS18">
            <v>2797906</v>
          </cell>
          <cell r="AT18">
            <v>3007254.6379999998</v>
          </cell>
          <cell r="AU18">
            <v>3201189.4210000001</v>
          </cell>
          <cell r="AV18">
            <v>3347921.6890000002</v>
          </cell>
        </row>
        <row r="22">
          <cell r="A22" t="str">
            <v>Steers Number</v>
          </cell>
          <cell r="Y22">
            <v>1502733.1584787467</v>
          </cell>
          <cell r="Z22">
            <v>1551936.6943568781</v>
          </cell>
          <cell r="AA22">
            <v>1578175.3943681363</v>
          </cell>
          <cell r="AB22">
            <v>1724436.6603229237</v>
          </cell>
          <cell r="AC22">
            <v>1748143.5537551695</v>
          </cell>
          <cell r="AD22">
            <v>1708593.2357545434</v>
          </cell>
          <cell r="AE22">
            <v>1763091.0607665782</v>
          </cell>
          <cell r="AF22">
            <v>1693154.1225354671</v>
          </cell>
          <cell r="AG22">
            <v>2028209.157575483</v>
          </cell>
          <cell r="AH22">
            <v>1948326.457036234</v>
          </cell>
          <cell r="AI22">
            <v>1638688.1389416265</v>
          </cell>
          <cell r="AJ22">
            <v>1560968.9090354391</v>
          </cell>
          <cell r="AK22">
            <v>1590435.4784829454</v>
          </cell>
          <cell r="AL22">
            <v>1625479.7330479168</v>
          </cell>
          <cell r="AM22">
            <v>1638733.7988758078</v>
          </cell>
          <cell r="AN22">
            <v>1527099.6913961559</v>
          </cell>
          <cell r="AO22">
            <v>1443227.3673599365</v>
          </cell>
          <cell r="AP22">
            <v>1429123.9265325696</v>
          </cell>
          <cell r="AQ22">
            <v>1497852.4150156281</v>
          </cell>
          <cell r="AR22">
            <v>1495420.0398071429</v>
          </cell>
          <cell r="AS22">
            <v>1548390.5202623913</v>
          </cell>
          <cell r="AT22">
            <v>1594379.8810000001</v>
          </cell>
          <cell r="AU22">
            <v>1699692.3540000001</v>
          </cell>
          <cell r="AV22">
            <v>1820664.943</v>
          </cell>
        </row>
        <row r="23">
          <cell r="A23" t="str">
            <v>Heifers</v>
          </cell>
          <cell r="Y23">
            <v>730926.71000871493</v>
          </cell>
          <cell r="Z23">
            <v>974823.55161677138</v>
          </cell>
          <cell r="AA23">
            <v>1057025.5775335126</v>
          </cell>
          <cell r="AB23">
            <v>1216347.7509281482</v>
          </cell>
          <cell r="AC23">
            <v>1168118.8262529557</v>
          </cell>
          <cell r="AD23">
            <v>1154117.5482859474</v>
          </cell>
          <cell r="AE23">
            <v>1175327.0067781233</v>
          </cell>
          <cell r="AF23">
            <v>1048545.9194076399</v>
          </cell>
          <cell r="AG23">
            <v>1413729.7077630644</v>
          </cell>
          <cell r="AH23">
            <v>1349142.1754562785</v>
          </cell>
          <cell r="AI23">
            <v>1139100.5451524407</v>
          </cell>
          <cell r="AJ23">
            <v>1079900.4417582494</v>
          </cell>
          <cell r="AK23">
            <v>1062080.9889805538</v>
          </cell>
          <cell r="AL23">
            <v>1068127.2616737161</v>
          </cell>
          <cell r="AM23">
            <v>1127052.9963850786</v>
          </cell>
          <cell r="AN23">
            <v>973492.02061373321</v>
          </cell>
          <cell r="AO23">
            <v>884706.56519629457</v>
          </cell>
          <cell r="AP23">
            <v>829883.20991882239</v>
          </cell>
          <cell r="AQ23">
            <v>893883.8213278997</v>
          </cell>
          <cell r="AR23">
            <v>792129.31465696509</v>
          </cell>
          <cell r="AS23">
            <v>821334.69114589877</v>
          </cell>
          <cell r="AT23">
            <v>920607.96100000001</v>
          </cell>
          <cell r="AU23">
            <v>946020.03899999999</v>
          </cell>
          <cell r="AV23">
            <v>970997.35</v>
          </cell>
        </row>
        <row r="24">
          <cell r="A24" t="str">
            <v>Cows</v>
          </cell>
          <cell r="Y24">
            <v>516303.18069700018</v>
          </cell>
          <cell r="Z24">
            <v>624804.37214660621</v>
          </cell>
          <cell r="AA24">
            <v>550884.79460099433</v>
          </cell>
          <cell r="AB24">
            <v>531961.95463930361</v>
          </cell>
          <cell r="AC24">
            <v>482347.05962497095</v>
          </cell>
          <cell r="AD24">
            <v>500234.84934672277</v>
          </cell>
          <cell r="AE24">
            <v>523286.37695971818</v>
          </cell>
          <cell r="AF24">
            <v>351448.7486433803</v>
          </cell>
          <cell r="AG24">
            <v>434338.18848929269</v>
          </cell>
          <cell r="AH24">
            <v>585999.55755113042</v>
          </cell>
          <cell r="AI24">
            <v>723599.13427046093</v>
          </cell>
          <cell r="AJ24">
            <v>732062.61770915322</v>
          </cell>
          <cell r="AK24">
            <v>802209.47219323122</v>
          </cell>
          <cell r="AL24">
            <v>644337.59205763298</v>
          </cell>
          <cell r="AM24">
            <v>607984.07487139071</v>
          </cell>
          <cell r="AN24">
            <v>530355.94967793417</v>
          </cell>
          <cell r="AO24">
            <v>439378.56219838513</v>
          </cell>
          <cell r="AP24">
            <v>485030.56706295034</v>
          </cell>
          <cell r="AQ24">
            <v>434506.63029704854</v>
          </cell>
          <cell r="AR24">
            <v>374252.34544568392</v>
          </cell>
          <cell r="AS24">
            <v>413862.89011676388</v>
          </cell>
          <cell r="AT24">
            <v>472888.30599999998</v>
          </cell>
          <cell r="AU24">
            <v>536984.01699999999</v>
          </cell>
          <cell r="AV24">
            <v>539258.83700000006</v>
          </cell>
        </row>
        <row r="25">
          <cell r="A25" t="str">
            <v>Bulls</v>
          </cell>
          <cell r="Y25">
            <v>41336.950815538206</v>
          </cell>
          <cell r="Z25">
            <v>26333.38187974424</v>
          </cell>
          <cell r="AA25">
            <v>24496.233497356745</v>
          </cell>
          <cell r="AB25">
            <v>29497.634109624476</v>
          </cell>
          <cell r="AC25">
            <v>19001.560366904014</v>
          </cell>
          <cell r="AD25">
            <v>12660.366612786311</v>
          </cell>
          <cell r="AE25">
            <v>10363.555495580513</v>
          </cell>
          <cell r="AF25">
            <v>15557.209413512735</v>
          </cell>
          <cell r="AG25">
            <v>35215.946172159995</v>
          </cell>
          <cell r="AH25">
            <v>50510.809956357029</v>
          </cell>
          <cell r="AI25">
            <v>47524.181635471796</v>
          </cell>
          <cell r="AJ25">
            <v>48763.031497158277</v>
          </cell>
          <cell r="AK25">
            <v>21785.060343269768</v>
          </cell>
          <cell r="AL25">
            <v>17092.413220734117</v>
          </cell>
          <cell r="AM25">
            <v>31069.129867722848</v>
          </cell>
          <cell r="AN25">
            <v>26702.338312176624</v>
          </cell>
          <cell r="AO25">
            <v>14725.505245383936</v>
          </cell>
          <cell r="AP25">
            <v>5199.2964856576</v>
          </cell>
          <cell r="AQ25">
            <v>6739.1333594236976</v>
          </cell>
          <cell r="AR25">
            <v>11003.300090208075</v>
          </cell>
          <cell r="AS25">
            <v>14317.898474946027</v>
          </cell>
          <cell r="AT25">
            <v>19378.490000000002</v>
          </cell>
          <cell r="AU25">
            <v>18493.010999999999</v>
          </cell>
          <cell r="AV25">
            <v>17000.559000000001</v>
          </cell>
        </row>
        <row r="26">
          <cell r="A26" t="str">
            <v>TOTAL SLAUGHTER (CHECK)</v>
          </cell>
        </row>
        <row r="29">
          <cell r="Y29">
            <v>342.91935044906103</v>
          </cell>
          <cell r="Z29">
            <v>347.0017236686927</v>
          </cell>
          <cell r="AA29">
            <v>358.79524630318423</v>
          </cell>
          <cell r="AB29">
            <v>361.06323142520182</v>
          </cell>
          <cell r="AC29">
            <v>368.77438084006167</v>
          </cell>
          <cell r="AD29">
            <v>372.40315703528984</v>
          </cell>
          <cell r="AE29">
            <v>377.39272430372853</v>
          </cell>
          <cell r="AF29">
            <v>378.75351537693911</v>
          </cell>
          <cell r="AG29">
            <v>378.2999183525356</v>
          </cell>
          <cell r="AH29">
            <v>375.12473918171094</v>
          </cell>
          <cell r="AI29">
            <v>381.4750975233602</v>
          </cell>
          <cell r="AJ29">
            <v>381</v>
          </cell>
          <cell r="AK29">
            <v>381.92869454776377</v>
          </cell>
          <cell r="AL29">
            <v>383.74308264537785</v>
          </cell>
          <cell r="AM29">
            <v>385.10387371858837</v>
          </cell>
          <cell r="AN29">
            <v>388.27905288941304</v>
          </cell>
          <cell r="AO29">
            <v>398.25818742629048</v>
          </cell>
          <cell r="AP29">
            <v>396.44379932867639</v>
          </cell>
          <cell r="AQ29">
            <v>390.41095890410958</v>
          </cell>
          <cell r="AR29">
            <v>405.47945205479454</v>
          </cell>
          <cell r="AS29">
            <v>416.85566542683478</v>
          </cell>
          <cell r="AT29">
            <v>405.5</v>
          </cell>
          <cell r="AU29">
            <v>406.42293386555383</v>
          </cell>
          <cell r="AV29">
            <v>412</v>
          </cell>
        </row>
        <row r="30">
          <cell r="A30" t="str">
            <v>Heifers</v>
          </cell>
          <cell r="Y30">
            <v>311.16755874081463</v>
          </cell>
          <cell r="Z30">
            <v>317.97151410686746</v>
          </cell>
          <cell r="AA30">
            <v>331.57942483897301</v>
          </cell>
          <cell r="AB30">
            <v>335.66179805860475</v>
          </cell>
          <cell r="AC30">
            <v>345.64093259548218</v>
          </cell>
          <cell r="AD30">
            <v>349.2697087907103</v>
          </cell>
          <cell r="AE30">
            <v>352.44488796153496</v>
          </cell>
          <cell r="AF30">
            <v>354.25927605914904</v>
          </cell>
          <cell r="AG30">
            <v>353.35208201034197</v>
          </cell>
          <cell r="AH30">
            <v>350.17690283951737</v>
          </cell>
          <cell r="AI30">
            <v>353.35208201034197</v>
          </cell>
          <cell r="AJ30">
            <v>355.16647010795606</v>
          </cell>
          <cell r="AK30">
            <v>358</v>
          </cell>
          <cell r="AL30">
            <v>356.98085820557014</v>
          </cell>
          <cell r="AM30">
            <v>356.52726118116664</v>
          </cell>
          <cell r="AN30">
            <v>355.62006713235957</v>
          </cell>
          <cell r="AO30">
            <v>371.49596298648277</v>
          </cell>
          <cell r="AP30">
            <v>368.32078381565816</v>
          </cell>
          <cell r="AQ30">
            <v>360.27397260273972</v>
          </cell>
          <cell r="AR30">
            <v>373.97260273972603</v>
          </cell>
          <cell r="AS30">
            <v>381.47509752336026</v>
          </cell>
          <cell r="AT30">
            <v>373.3</v>
          </cell>
          <cell r="AU30">
            <v>375.12473918171094</v>
          </cell>
          <cell r="AV30">
            <v>379.20711240134261</v>
          </cell>
        </row>
        <row r="31">
          <cell r="A31" t="str">
            <v>Cows</v>
          </cell>
          <cell r="Y31">
            <v>275.33339381293655</v>
          </cell>
          <cell r="Z31">
            <v>278.05497595935771</v>
          </cell>
          <cell r="AA31">
            <v>288.94130454504216</v>
          </cell>
          <cell r="AB31">
            <v>296.652453959902</v>
          </cell>
          <cell r="AC31">
            <v>310.26036469200761</v>
          </cell>
          <cell r="AD31">
            <v>314.7963349360428</v>
          </cell>
          <cell r="AE31">
            <v>319.33230518007798</v>
          </cell>
          <cell r="AF31">
            <v>318.42511113127097</v>
          </cell>
          <cell r="AG31">
            <v>298.9204390819196</v>
          </cell>
          <cell r="AH31">
            <v>300.73482717953368</v>
          </cell>
          <cell r="AI31">
            <v>304.36360337476185</v>
          </cell>
          <cell r="AJ31">
            <v>305.27079742356887</v>
          </cell>
          <cell r="AK31">
            <v>308</v>
          </cell>
          <cell r="AL31">
            <v>305.72439444797243</v>
          </cell>
          <cell r="AM31">
            <v>304.81720039916536</v>
          </cell>
          <cell r="AN31">
            <v>303.45640932595478</v>
          </cell>
          <cell r="AO31">
            <v>306.63158849677944</v>
          </cell>
          <cell r="AP31">
            <v>303.91000635035834</v>
          </cell>
          <cell r="AQ31">
            <v>309.58904109589042</v>
          </cell>
          <cell r="AR31">
            <v>328.76712328767127</v>
          </cell>
          <cell r="AS31">
            <v>338.83697722942935</v>
          </cell>
          <cell r="AT31">
            <v>331.6</v>
          </cell>
          <cell r="AU31">
            <v>330.21863376576249</v>
          </cell>
          <cell r="AV31">
            <v>329.76503674135898</v>
          </cell>
        </row>
        <row r="32">
          <cell r="A32" t="str">
            <v>Bulls</v>
          </cell>
          <cell r="Y32">
            <v>404.24566814841694</v>
          </cell>
          <cell r="Z32">
            <v>383.28948562097429</v>
          </cell>
          <cell r="AA32">
            <v>400.52617254830807</v>
          </cell>
          <cell r="AB32">
            <v>411.86609815839608</v>
          </cell>
          <cell r="AC32">
            <v>417.76285947564179</v>
          </cell>
          <cell r="AD32">
            <v>413.68048625601011</v>
          </cell>
          <cell r="AE32">
            <v>414.13408328041368</v>
          </cell>
          <cell r="AF32">
            <v>447.2466660618706</v>
          </cell>
          <cell r="AG32">
            <v>460.4009797695727</v>
          </cell>
          <cell r="AH32">
            <v>470.83371133085365</v>
          </cell>
          <cell r="AI32">
            <v>466.29774108681846</v>
          </cell>
          <cell r="AJ32">
            <v>463.1225619159938</v>
          </cell>
          <cell r="AK32">
            <v>454</v>
          </cell>
          <cell r="AL32">
            <v>432.27796425655447</v>
          </cell>
          <cell r="AM32">
            <v>458.13299464755511</v>
          </cell>
          <cell r="AN32">
            <v>451.78263630590578</v>
          </cell>
          <cell r="AO32">
            <v>452.23623333030935</v>
          </cell>
          <cell r="AP32">
            <v>394.1758142066588</v>
          </cell>
          <cell r="AQ32">
            <v>420.54794520547944</v>
          </cell>
          <cell r="AR32">
            <v>454.79452054794524</v>
          </cell>
          <cell r="AS32">
            <v>460.85457679397621</v>
          </cell>
          <cell r="AT32">
            <v>464</v>
          </cell>
          <cell r="AU32">
            <v>440.44271069581782</v>
          </cell>
          <cell r="AV32">
            <v>434.09235235416855</v>
          </cell>
        </row>
        <row r="33">
          <cell r="A33" t="str">
            <v>WEIGHTED AVERAGE</v>
          </cell>
          <cell r="Y33">
            <v>323.01176829972746</v>
          </cell>
          <cell r="Z33">
            <v>324.84179848850488</v>
          </cell>
          <cell r="AA33">
            <v>338.16750863898523</v>
          </cell>
          <cell r="AB33">
            <v>342.88560158231422</v>
          </cell>
          <cell r="AC33">
            <v>352.88145958236828</v>
          </cell>
          <cell r="AD33">
            <v>356.11183855059005</v>
          </cell>
          <cell r="AE33">
            <v>360.30684894964543</v>
          </cell>
          <cell r="AF33">
            <v>364.01422688299397</v>
          </cell>
          <cell r="AG33">
            <v>361.20778242094809</v>
          </cell>
          <cell r="AH33">
            <v>356.71683817058863</v>
          </cell>
          <cell r="AI33">
            <v>357.86176870852159</v>
          </cell>
          <cell r="AJ33">
            <v>357.8151125262815</v>
          </cell>
          <cell r="AK33">
            <v>358.01091236180105</v>
          </cell>
          <cell r="AL33">
            <v>360.48663064688031</v>
          </cell>
          <cell r="AM33">
            <v>361.9746152667434</v>
          </cell>
          <cell r="AN33">
            <v>363.72301751953836</v>
          </cell>
          <cell r="AO33">
            <v>375.56237056115924</v>
          </cell>
          <cell r="AP33">
            <v>371.62515750391771</v>
          </cell>
          <cell r="AQ33">
            <v>368.577595165959</v>
          </cell>
          <cell r="AR33">
            <v>385.60346431044263</v>
          </cell>
          <cell r="AS33">
            <v>395.1543088958789</v>
          </cell>
          <cell r="AT33">
            <v>384.39890011615302</v>
          </cell>
          <cell r="AU33">
            <v>384.58727429164367</v>
          </cell>
          <cell r="AV33">
            <v>389.35545741282397</v>
          </cell>
        </row>
        <row r="36">
          <cell r="A36" t="str">
            <v>Steers</v>
          </cell>
          <cell r="AO36">
            <v>574.77711536878542</v>
          </cell>
          <cell r="AP36">
            <v>566.56731914608815</v>
          </cell>
          <cell r="AQ36">
            <v>584.77799764308759</v>
          </cell>
          <cell r="AR36">
            <v>606.36209833275939</v>
          </cell>
          <cell r="AS36">
            <v>645.45536066458203</v>
          </cell>
          <cell r="AT36">
            <v>646.52104174549993</v>
          </cell>
          <cell r="AU36">
            <v>690.79395318152956</v>
          </cell>
          <cell r="AV36">
            <v>750.11395651600003</v>
          </cell>
        </row>
        <row r="37">
          <cell r="A37" t="str">
            <v>Heifers</v>
          </cell>
          <cell r="AO37">
            <v>328.66491739806099</v>
          </cell>
          <cell r="AP37">
            <v>305.66323435275507</v>
          </cell>
          <cell r="AQ37">
            <v>322.04307535511998</v>
          </cell>
          <cell r="AR37">
            <v>296.2346615087007</v>
          </cell>
          <cell r="AS37">
            <v>313.31873140420072</v>
          </cell>
          <cell r="AT37">
            <v>343.66295184130001</v>
          </cell>
          <cell r="AU37">
            <v>354.87552039054697</v>
          </cell>
          <cell r="AV37">
            <v>368.20910124285581</v>
          </cell>
        </row>
        <row r="38">
          <cell r="A38" t="str">
            <v>Cows</v>
          </cell>
          <cell r="AO38">
            <v>134.72734647832186</v>
          </cell>
          <cell r="AP38">
            <v>147.40564271621915</v>
          </cell>
          <cell r="AQ38">
            <v>134.51849102346983</v>
          </cell>
          <cell r="AR38">
            <v>123.0418669958413</v>
          </cell>
          <cell r="AS38">
            <v>140.23205067459975</v>
          </cell>
          <cell r="AT38">
            <v>156.80976226960001</v>
          </cell>
          <cell r="AU38">
            <v>177.32212844779099</v>
          </cell>
          <cell r="AV38">
            <v>177.82871019640751</v>
          </cell>
        </row>
        <row r="39">
          <cell r="A39" t="str">
            <v>Bulls</v>
          </cell>
          <cell r="AO39">
            <v>6.6594070260581439</v>
          </cell>
          <cell r="AP39">
            <v>2.0494369255359044</v>
          </cell>
          <cell r="AQ39">
            <v>2.8341286867713356</v>
          </cell>
          <cell r="AR39">
            <v>5.0042405889713439</v>
          </cell>
          <cell r="AS39">
            <v>6.5984690422503691</v>
          </cell>
          <cell r="AT39">
            <v>8.9916193600000014</v>
          </cell>
          <cell r="AU39">
            <v>8.1451118937675755</v>
          </cell>
          <cell r="AV39">
            <v>7.3798126476458323</v>
          </cell>
        </row>
        <row r="43">
          <cell r="A43" t="str">
            <v>Fed Steers  Number</v>
          </cell>
          <cell r="Y43">
            <v>460293</v>
          </cell>
          <cell r="Z43">
            <v>393166</v>
          </cell>
          <cell r="AA43">
            <v>393166</v>
          </cell>
          <cell r="AB43">
            <v>414428</v>
          </cell>
          <cell r="AC43">
            <v>358961</v>
          </cell>
          <cell r="AD43">
            <v>424335</v>
          </cell>
          <cell r="AE43">
            <v>346237</v>
          </cell>
          <cell r="AF43">
            <v>106506</v>
          </cell>
          <cell r="AG43">
            <v>0</v>
          </cell>
          <cell r="AH43">
            <v>208041</v>
          </cell>
          <cell r="AI43">
            <v>388832</v>
          </cell>
          <cell r="AJ43">
            <v>475661</v>
          </cell>
          <cell r="AK43">
            <v>358675</v>
          </cell>
          <cell r="AL43">
            <v>277738</v>
          </cell>
          <cell r="AM43">
            <v>368012</v>
          </cell>
          <cell r="AN43">
            <v>256493</v>
          </cell>
          <cell r="AO43">
            <v>247996</v>
          </cell>
          <cell r="AP43">
            <v>213921</v>
          </cell>
          <cell r="AQ43">
            <v>231310</v>
          </cell>
          <cell r="AR43">
            <v>137502</v>
          </cell>
          <cell r="AS43">
            <v>177799</v>
          </cell>
          <cell r="AT43">
            <v>187628</v>
          </cell>
          <cell r="AU43">
            <v>115373</v>
          </cell>
          <cell r="AV43">
            <v>138472.36363636365</v>
          </cell>
        </row>
        <row r="44">
          <cell r="A44" t="str">
            <v xml:space="preserve">Fed Heifers </v>
          </cell>
          <cell r="Y44">
            <v>265795</v>
          </cell>
          <cell r="Z44">
            <v>136.42927968792526</v>
          </cell>
          <cell r="AA44">
            <v>312711.30704329524</v>
          </cell>
          <cell r="AB44">
            <v>239433.33488130127</v>
          </cell>
          <cell r="AC44">
            <v>195182</v>
          </cell>
          <cell r="AD44">
            <v>285805</v>
          </cell>
          <cell r="AE44">
            <v>248399</v>
          </cell>
          <cell r="AF44">
            <v>94371</v>
          </cell>
          <cell r="AG44">
            <v>0</v>
          </cell>
          <cell r="AH44">
            <v>107883</v>
          </cell>
          <cell r="AI44">
            <v>314055</v>
          </cell>
          <cell r="AJ44">
            <v>362834</v>
          </cell>
          <cell r="AK44">
            <v>302353</v>
          </cell>
          <cell r="AL44">
            <v>245756</v>
          </cell>
          <cell r="AM44">
            <v>252606</v>
          </cell>
          <cell r="AN44">
            <v>180337</v>
          </cell>
          <cell r="AO44">
            <v>183819</v>
          </cell>
          <cell r="AP44">
            <v>136846</v>
          </cell>
          <cell r="AQ44">
            <v>172006</v>
          </cell>
          <cell r="AR44">
            <v>95369</v>
          </cell>
          <cell r="AS44">
            <v>152669</v>
          </cell>
          <cell r="AT44">
            <v>148758</v>
          </cell>
          <cell r="AU44">
            <v>123944</v>
          </cell>
          <cell r="AV44">
            <v>199382.18181818182</v>
          </cell>
        </row>
        <row r="46">
          <cell r="A46" t="str">
            <v xml:space="preserve">Sl. Cows </v>
          </cell>
          <cell r="Y46">
            <v>231201</v>
          </cell>
          <cell r="Z46">
            <v>286935</v>
          </cell>
          <cell r="AA46">
            <v>275537</v>
          </cell>
          <cell r="AB46">
            <v>-23841.02682152369</v>
          </cell>
          <cell r="AC46">
            <v>171448</v>
          </cell>
          <cell r="AD46">
            <v>257584</v>
          </cell>
          <cell r="AE46">
            <v>372294</v>
          </cell>
          <cell r="AF46">
            <v>136161</v>
          </cell>
          <cell r="AG46">
            <v>0</v>
          </cell>
          <cell r="AH46">
            <v>2799</v>
          </cell>
          <cell r="AI46">
            <v>0</v>
          </cell>
          <cell r="AJ46">
            <v>8469</v>
          </cell>
          <cell r="AK46">
            <v>186657</v>
          </cell>
          <cell r="AL46">
            <v>199433</v>
          </cell>
          <cell r="AM46">
            <v>182815</v>
          </cell>
          <cell r="AN46">
            <v>112425</v>
          </cell>
          <cell r="AO46">
            <v>179824</v>
          </cell>
          <cell r="AP46">
            <v>277992</v>
          </cell>
          <cell r="AQ46">
            <v>276560</v>
          </cell>
          <cell r="AR46">
            <v>204938</v>
          </cell>
          <cell r="AS46">
            <v>187225</v>
          </cell>
          <cell r="AT46">
            <v>126292</v>
          </cell>
          <cell r="AU46">
            <v>145537</v>
          </cell>
          <cell r="AV46">
            <v>145358.18181818182</v>
          </cell>
        </row>
        <row r="47">
          <cell r="A47" t="str">
            <v xml:space="preserve">Sl. Bulls </v>
          </cell>
          <cell r="Y47">
            <v>49429</v>
          </cell>
          <cell r="Z47">
            <v>55449</v>
          </cell>
          <cell r="AA47">
            <v>53161</v>
          </cell>
          <cell r="AB47">
            <v>23841.02682152369</v>
          </cell>
          <cell r="AC47">
            <v>44286</v>
          </cell>
          <cell r="AD47">
            <v>53575</v>
          </cell>
          <cell r="AE47">
            <v>57448</v>
          </cell>
          <cell r="AF47">
            <v>17006</v>
          </cell>
          <cell r="AG47">
            <v>0</v>
          </cell>
          <cell r="AH47">
            <v>476</v>
          </cell>
          <cell r="AI47">
            <v>904</v>
          </cell>
          <cell r="AJ47">
            <v>2351</v>
          </cell>
          <cell r="AK47">
            <v>47958</v>
          </cell>
          <cell r="AL47">
            <v>40238</v>
          </cell>
          <cell r="AM47">
            <v>28179</v>
          </cell>
          <cell r="AN47">
            <v>24274</v>
          </cell>
          <cell r="AO47">
            <v>27462</v>
          </cell>
          <cell r="AP47">
            <v>42444</v>
          </cell>
          <cell r="AQ47">
            <v>44638</v>
          </cell>
          <cell r="AR47">
            <v>33132</v>
          </cell>
          <cell r="AS47">
            <v>28627</v>
          </cell>
          <cell r="AT47">
            <v>26666</v>
          </cell>
          <cell r="AU47">
            <v>29990</v>
          </cell>
          <cell r="AV47">
            <v>32741.454545454544</v>
          </cell>
        </row>
        <row r="50">
          <cell r="A50" t="str">
            <v>Steers  '000 Tonnes</v>
          </cell>
          <cell r="Y50">
            <v>157.84337657624965</v>
          </cell>
          <cell r="Z50">
            <v>136.42927968792526</v>
          </cell>
          <cell r="AA50">
            <v>141.06609180803773</v>
          </cell>
        </row>
        <row r="51">
          <cell r="A51" t="str">
            <v>Heifers</v>
          </cell>
          <cell r="Y51">
            <v>82.706781275514828</v>
          </cell>
          <cell r="Z51">
            <v>4.338062463087889E-2</v>
          </cell>
          <cell r="AA51">
            <v>103.68863533005931</v>
          </cell>
        </row>
        <row r="52">
          <cell r="A52" t="str">
            <v>Cows</v>
          </cell>
          <cell r="Y52">
            <v>63.657355982944743</v>
          </cell>
          <cell r="Z52">
            <v>79.783704526898305</v>
          </cell>
          <cell r="AA52">
            <v>79.614020230427286</v>
          </cell>
        </row>
        <row r="53">
          <cell r="A53" t="str">
            <v>Bulls</v>
          </cell>
          <cell r="Y53">
            <v>19.981459130908103</v>
          </cell>
          <cell r="Z53">
            <v>21.253018688197404</v>
          </cell>
          <cell r="AA53">
            <v>21.292371858840603</v>
          </cell>
        </row>
        <row r="58">
          <cell r="A58" t="str">
            <v xml:space="preserve">Steers </v>
          </cell>
          <cell r="Y58">
            <v>83351</v>
          </cell>
          <cell r="Z58">
            <v>120483.3</v>
          </cell>
          <cell r="AA58">
            <v>73178</v>
          </cell>
          <cell r="AB58">
            <v>-56421</v>
          </cell>
          <cell r="AC58">
            <v>79759</v>
          </cell>
          <cell r="AD58">
            <v>103257</v>
          </cell>
          <cell r="AE58">
            <v>257757</v>
          </cell>
          <cell r="AF58">
            <v>57860</v>
          </cell>
          <cell r="AG58">
            <v>0</v>
          </cell>
          <cell r="AH58">
            <v>150974</v>
          </cell>
          <cell r="AI58">
            <v>176739</v>
          </cell>
          <cell r="AJ58">
            <v>294401</v>
          </cell>
          <cell r="AK58">
            <v>270327</v>
          </cell>
          <cell r="AL58">
            <v>104362</v>
          </cell>
          <cell r="AM58">
            <v>81423</v>
          </cell>
          <cell r="AN58">
            <v>47378</v>
          </cell>
          <cell r="AO58">
            <v>77010</v>
          </cell>
          <cell r="AP58">
            <v>149412</v>
          </cell>
          <cell r="AQ58">
            <v>231310</v>
          </cell>
          <cell r="AR58">
            <v>137502</v>
          </cell>
          <cell r="AS58">
            <v>177799</v>
          </cell>
          <cell r="AT58">
            <v>187628</v>
          </cell>
          <cell r="AU58">
            <v>115373</v>
          </cell>
          <cell r="AV58">
            <v>138472.36363636365</v>
          </cell>
        </row>
        <row r="59">
          <cell r="A59" t="str">
            <v xml:space="preserve">Heifers </v>
          </cell>
          <cell r="Y59">
            <v>69467</v>
          </cell>
          <cell r="Z59">
            <v>69467</v>
          </cell>
          <cell r="AA59">
            <v>69467</v>
          </cell>
          <cell r="AB59">
            <v>69467</v>
          </cell>
          <cell r="AC59">
            <v>20569</v>
          </cell>
          <cell r="AD59">
            <v>55202</v>
          </cell>
          <cell r="AE59">
            <v>188937</v>
          </cell>
          <cell r="AF59">
            <v>33017.739094620614</v>
          </cell>
          <cell r="AG59">
            <v>0</v>
          </cell>
          <cell r="AH59">
            <v>76065</v>
          </cell>
          <cell r="AI59">
            <v>131981</v>
          </cell>
          <cell r="AJ59">
            <v>243598</v>
          </cell>
          <cell r="AK59">
            <v>356016</v>
          </cell>
          <cell r="AL59">
            <v>178144</v>
          </cell>
          <cell r="AM59">
            <v>135460</v>
          </cell>
          <cell r="AN59">
            <v>52592</v>
          </cell>
          <cell r="AO59">
            <v>88619</v>
          </cell>
          <cell r="AP59">
            <v>205664</v>
          </cell>
          <cell r="AQ59">
            <v>121054</v>
          </cell>
          <cell r="AR59">
            <v>72813</v>
          </cell>
          <cell r="AS59">
            <v>69829</v>
          </cell>
          <cell r="AT59">
            <v>84741</v>
          </cell>
          <cell r="AU59">
            <v>62560</v>
          </cell>
          <cell r="AV59">
            <v>148361.45454545453</v>
          </cell>
        </row>
        <row r="60">
          <cell r="A60" t="str">
            <v>Potential Tonnage '000Tonnes</v>
          </cell>
          <cell r="Y60">
            <v>50.198547582327855</v>
          </cell>
          <cell r="Z60">
            <v>63.896439943753975</v>
          </cell>
          <cell r="AA60">
            <v>49.289746439263361</v>
          </cell>
          <cell r="AB60">
            <v>2.9458695454957859</v>
          </cell>
          <cell r="AC60">
            <v>36.52256418397895</v>
          </cell>
          <cell r="AD60">
            <v>57.733619250657711</v>
          </cell>
          <cell r="AE60">
            <v>163.86549623514466</v>
          </cell>
          <cell r="AF60">
            <v>33.61151874847986</v>
          </cell>
          <cell r="AG60">
            <v>0</v>
          </cell>
          <cell r="AH60">
            <v>83.270288487707504</v>
          </cell>
          <cell r="AI60">
            <v>114.0572883969881</v>
          </cell>
          <cell r="AJ60">
            <v>198.6846227853579</v>
          </cell>
          <cell r="AK60">
            <v>230.69936621101331</v>
          </cell>
          <cell r="AL60">
            <v>103.64219359521002</v>
          </cell>
          <cell r="AM60">
            <v>79.651495509389463</v>
          </cell>
          <cell r="AN60">
            <v>37.098655538419663</v>
          </cell>
          <cell r="AO60">
            <v>63.591463757597744</v>
          </cell>
          <cell r="AP60">
            <v>134.98378662795972</v>
          </cell>
          <cell r="AQ60">
            <v>133.91856438356163</v>
          </cell>
          <cell r="AR60">
            <v>82.984302739726033</v>
          </cell>
          <cell r="AS60">
            <v>100.75454504218453</v>
          </cell>
          <cell r="AT60">
            <v>107.7169693</v>
          </cell>
        </row>
        <row r="61">
          <cell r="A61" t="str">
            <v>LIVE CATTLE IMPORTS &amp;  TONNAGE</v>
          </cell>
        </row>
        <row r="68">
          <cell r="A68" t="str">
            <v>TOTAL PRODUCTIVE CAPACITY (CARCASS BASIS) '000 Tonnes</v>
          </cell>
          <cell r="Y68">
            <v>1276.0102694029745</v>
          </cell>
          <cell r="Z68">
            <v>1333.7199252044284</v>
          </cell>
          <cell r="AA68">
            <v>1480.665381887799</v>
          </cell>
          <cell r="AB68">
            <v>1436.5650585295973</v>
          </cell>
          <cell r="AC68">
            <v>1474.6138676808055</v>
          </cell>
          <cell r="AD68">
            <v>1556.7017465899239</v>
          </cell>
          <cell r="AE68">
            <v>1675.225836147828</v>
          </cell>
          <cell r="AF68">
            <v>1252.0170682376652</v>
          </cell>
          <cell r="AG68">
            <v>1412.8617124850614</v>
          </cell>
          <cell r="AH68">
            <v>1602.7735660946703</v>
          </cell>
          <cell r="AI68">
            <v>1644.0756047992395</v>
          </cell>
          <cell r="AJ68">
            <v>1734.9186090439302</v>
          </cell>
          <cell r="AK68">
            <v>1757.1028856737696</v>
          </cell>
          <cell r="AL68">
            <v>1537.0941404073105</v>
          </cell>
          <cell r="AM68">
            <v>1565.4000902132843</v>
          </cell>
          <cell r="AN68">
            <v>1331.2913278099168</v>
          </cell>
          <cell r="AO68">
            <v>1296.3147320210221</v>
          </cell>
          <cell r="AP68">
            <v>1321.5098543145075</v>
          </cell>
          <cell r="AQ68">
            <v>1362.9593557221474</v>
          </cell>
          <cell r="AR68">
            <v>1113.6271701659987</v>
          </cell>
          <cell r="AS68">
            <v>1415.3467359804981</v>
          </cell>
          <cell r="AT68">
            <v>1395.7343677163999</v>
          </cell>
          <cell r="AU68">
            <v>1377.7018313952644</v>
          </cell>
          <cell r="AV68">
            <v>1498.3361970437065</v>
          </cell>
        </row>
        <row r="69">
          <cell r="A69" t="str">
            <v>TOTAL DOMESTIC SUPPLY (Includes live cattle imports)</v>
          </cell>
          <cell r="AT69">
            <v>1449.5683111163999</v>
          </cell>
          <cell r="AU69">
            <v>1456.1473507638573</v>
          </cell>
          <cell r="AV69">
            <v>1611.6465296317333</v>
          </cell>
        </row>
        <row r="75">
          <cell r="AQ75">
            <v>3848</v>
          </cell>
          <cell r="AR75">
            <v>3737</v>
          </cell>
          <cell r="AS75">
            <v>3737</v>
          </cell>
          <cell r="AT75">
            <v>3771</v>
          </cell>
          <cell r="AU75">
            <v>3726</v>
          </cell>
          <cell r="AV75">
            <v>3661</v>
          </cell>
        </row>
        <row r="77">
          <cell r="AQ77">
            <v>949</v>
          </cell>
          <cell r="AR77">
            <v>934</v>
          </cell>
          <cell r="AS77">
            <v>930</v>
          </cell>
          <cell r="AT77">
            <v>945</v>
          </cell>
          <cell r="AU77">
            <v>945</v>
          </cell>
          <cell r="AV77">
            <v>968.7</v>
          </cell>
        </row>
        <row r="88">
          <cell r="AQ88">
            <v>711066.63029704848</v>
          </cell>
          <cell r="AR88">
            <v>579190.34544568392</v>
          </cell>
          <cell r="AS88">
            <v>601087.89011676388</v>
          </cell>
          <cell r="AT88">
            <v>567291.30599999998</v>
          </cell>
          <cell r="AU88">
            <v>666801.01699999999</v>
          </cell>
          <cell r="AV88">
            <v>666866.83700000017</v>
          </cell>
        </row>
        <row r="98">
          <cell r="AH98">
            <v>34.13403195551745</v>
          </cell>
          <cell r="AI98">
            <v>34.941537383473189</v>
          </cell>
          <cell r="AJ98">
            <v>35.978902096272783</v>
          </cell>
          <cell r="AK98">
            <v>35.928619198816243</v>
          </cell>
          <cell r="AL98">
            <v>36.050859776083549</v>
          </cell>
          <cell r="AM98">
            <v>35.522699012306752</v>
          </cell>
          <cell r="AN98">
            <v>35.159739130583937</v>
          </cell>
          <cell r="AO98">
            <v>35.586066017133</v>
          </cell>
          <cell r="AP98">
            <v>35.95818212573456</v>
          </cell>
          <cell r="AQ98">
            <v>37.376682815797075</v>
          </cell>
          <cell r="AR98">
            <v>37.637834162494322</v>
          </cell>
          <cell r="AS98">
            <v>38.762610322720782</v>
          </cell>
          <cell r="AT98">
            <v>38.802415010722179</v>
          </cell>
          <cell r="AU98">
            <v>39.059583281247882</v>
          </cell>
          <cell r="AV98">
            <v>38.82971154857011</v>
          </cell>
        </row>
        <row r="99">
          <cell r="AH99">
            <v>39.94063186858471</v>
          </cell>
          <cell r="AI99">
            <v>36.719258687036657</v>
          </cell>
          <cell r="AJ99">
            <v>39.928374218475</v>
          </cell>
          <cell r="AK99">
            <v>39.362957176015748</v>
          </cell>
          <cell r="AL99">
            <v>37.222406344442895</v>
          </cell>
          <cell r="AM99">
            <v>41.722969599401885</v>
          </cell>
          <cell r="AN99">
            <v>39.347470113603997</v>
          </cell>
          <cell r="AO99">
            <v>39.842085500565126</v>
          </cell>
          <cell r="AP99">
            <v>40.992764920868979</v>
          </cell>
          <cell r="AQ99">
            <v>44.480795018759594</v>
          </cell>
          <cell r="AR99">
            <v>40.867016601468336</v>
          </cell>
          <cell r="AS99">
            <v>44.994431574800714</v>
          </cell>
          <cell r="AT99">
            <v>44.866430101685843</v>
          </cell>
          <cell r="AU99">
            <v>41.895449164578778</v>
          </cell>
          <cell r="AV99">
            <v>44.353816854215204</v>
          </cell>
        </row>
        <row r="113">
          <cell r="AH113">
            <v>310.52295451584888</v>
          </cell>
          <cell r="AI113">
            <v>316.80670108298887</v>
          </cell>
          <cell r="AJ113">
            <v>324.83246949899473</v>
          </cell>
          <cell r="AK113">
            <v>325.20816078861378</v>
          </cell>
          <cell r="AL113">
            <v>327.23902482728334</v>
          </cell>
          <cell r="AM113">
            <v>333.52188966498716</v>
          </cell>
          <cell r="AN113">
            <v>335.3146379151197</v>
          </cell>
          <cell r="AO113">
            <v>346.95195558877799</v>
          </cell>
          <cell r="AP113">
            <v>348.30154009193558</v>
          </cell>
          <cell r="AQ113">
            <v>363.6454929432735</v>
          </cell>
          <cell r="AR113">
            <v>368.81380097956816</v>
          </cell>
          <cell r="AS113">
            <v>387.22115456757609</v>
          </cell>
          <cell r="AT113">
            <v>393.30252581136347</v>
          </cell>
          <cell r="AU113">
            <v>396.65745571495682</v>
          </cell>
          <cell r="AV113">
            <v>393.11237682535989</v>
          </cell>
        </row>
        <row r="121">
          <cell r="AH121">
            <v>14.743420671082175</v>
          </cell>
          <cell r="AI121">
            <v>14.669841728841766</v>
          </cell>
          <cell r="AJ121">
            <v>16.047385474690564</v>
          </cell>
          <cell r="AK121">
            <v>16.951742626546679</v>
          </cell>
          <cell r="AL121">
            <v>15.368656236158326</v>
          </cell>
          <cell r="AM121">
            <v>16.818367860470669</v>
          </cell>
          <cell r="AN121">
            <v>14.403293557190169</v>
          </cell>
          <cell r="AO121">
            <v>14.484969874479624</v>
          </cell>
          <cell r="AP121">
            <v>14.895643620536777</v>
          </cell>
          <cell r="AQ121">
            <v>15.094652162158823</v>
          </cell>
          <cell r="AR121">
            <v>12.388811816345932</v>
          </cell>
          <cell r="AS121">
            <v>13.830617881799471</v>
          </cell>
          <cell r="AT121">
            <v>15.441623775755954</v>
          </cell>
          <cell r="AU121">
            <v>15.061041324226416</v>
          </cell>
          <cell r="AV121">
            <v>17.626221131074974</v>
          </cell>
        </row>
      </sheetData>
      <sheetData sheetId="11">
        <row r="8">
          <cell r="B8">
            <v>231310</v>
          </cell>
          <cell r="C8">
            <v>137502</v>
          </cell>
          <cell r="D8">
            <v>177799</v>
          </cell>
          <cell r="E8">
            <v>187628</v>
          </cell>
          <cell r="F8">
            <v>115373</v>
          </cell>
          <cell r="G8">
            <v>138472.36363636365</v>
          </cell>
        </row>
        <row r="10">
          <cell r="B10">
            <v>172006</v>
          </cell>
          <cell r="C10">
            <v>95369</v>
          </cell>
          <cell r="D10">
            <v>152669</v>
          </cell>
          <cell r="E10">
            <v>148758</v>
          </cell>
          <cell r="F10">
            <v>123944</v>
          </cell>
          <cell r="G10">
            <v>199382.18181818182</v>
          </cell>
        </row>
        <row r="12">
          <cell r="B12">
            <v>276560</v>
          </cell>
          <cell r="C12">
            <v>204938</v>
          </cell>
          <cell r="D12">
            <v>187225</v>
          </cell>
          <cell r="E12">
            <v>126292</v>
          </cell>
          <cell r="F12">
            <v>145537</v>
          </cell>
          <cell r="G12">
            <v>145358.18181818182</v>
          </cell>
        </row>
        <row r="14">
          <cell r="B14">
            <v>44638</v>
          </cell>
          <cell r="C14">
            <v>33132</v>
          </cell>
          <cell r="D14">
            <v>28627</v>
          </cell>
          <cell r="E14">
            <v>26666</v>
          </cell>
          <cell r="F14">
            <v>29990</v>
          </cell>
          <cell r="G14">
            <v>32741.454545454544</v>
          </cell>
        </row>
        <row r="18">
          <cell r="B18">
            <v>121054</v>
          </cell>
          <cell r="C18">
            <v>72813</v>
          </cell>
          <cell r="D18">
            <v>69829</v>
          </cell>
          <cell r="E18">
            <v>84741</v>
          </cell>
          <cell r="F18">
            <v>62560</v>
          </cell>
          <cell r="G18">
            <v>148361.45454545453</v>
          </cell>
        </row>
        <row r="22">
          <cell r="B22">
            <v>27436</v>
          </cell>
          <cell r="C22">
            <v>25219</v>
          </cell>
          <cell r="D22">
            <v>13150</v>
          </cell>
          <cell r="E22">
            <v>31889</v>
          </cell>
          <cell r="F22">
            <v>15720</v>
          </cell>
          <cell r="G22">
            <v>17750.181818181816</v>
          </cell>
        </row>
        <row r="23">
          <cell r="B23">
            <v>17319</v>
          </cell>
          <cell r="C23">
            <v>10545</v>
          </cell>
          <cell r="D23">
            <v>17407</v>
          </cell>
          <cell r="E23">
            <v>106682</v>
          </cell>
          <cell r="F23">
            <v>180242</v>
          </cell>
          <cell r="G23">
            <v>254043.27272727274</v>
          </cell>
        </row>
        <row r="28">
          <cell r="E28">
            <v>53.833943399999995</v>
          </cell>
          <cell r="F28">
            <v>78.445519368592926</v>
          </cell>
          <cell r="G28">
            <v>110.51921772307489</v>
          </cell>
        </row>
        <row r="40">
          <cell r="B40">
            <v>0.31579999999999997</v>
          </cell>
          <cell r="C40">
            <v>0.2984</v>
          </cell>
          <cell r="D40">
            <v>0.29459999999999997</v>
          </cell>
          <cell r="E40">
            <v>0.26989999999999997</v>
          </cell>
          <cell r="F40">
            <v>0.32950000000000002</v>
          </cell>
          <cell r="G40">
            <v>0.32700000000000001</v>
          </cell>
        </row>
        <row r="45">
          <cell r="B45">
            <v>0.10690551722896272</v>
          </cell>
          <cell r="C45">
            <v>8.0408013231384523E-2</v>
          </cell>
          <cell r="D45">
            <v>8.7532750900926909E-2</v>
          </cell>
          <cell r="E45">
            <v>8.2799206046141605E-2</v>
          </cell>
          <cell r="F45">
            <v>9.5390101180891029E-2</v>
          </cell>
          <cell r="G45">
            <v>9.5630138486752295E-2</v>
          </cell>
        </row>
        <row r="51">
          <cell r="B51">
            <v>2005</v>
          </cell>
          <cell r="C51">
            <v>2006</v>
          </cell>
          <cell r="D51">
            <v>2007</v>
          </cell>
          <cell r="E51">
            <v>2008</v>
          </cell>
          <cell r="F51">
            <v>2009</v>
          </cell>
          <cell r="G51">
            <v>2010</v>
          </cell>
          <cell r="H51">
            <v>2011</v>
          </cell>
          <cell r="I51">
            <v>2012</v>
          </cell>
          <cell r="J51">
            <v>2013</v>
          </cell>
          <cell r="K51">
            <v>2014</v>
          </cell>
          <cell r="L51">
            <v>2015</v>
          </cell>
          <cell r="M51">
            <v>2016</v>
          </cell>
          <cell r="N51">
            <v>2017</v>
          </cell>
          <cell r="O51">
            <v>2018</v>
          </cell>
          <cell r="P51">
            <v>2019</v>
          </cell>
        </row>
        <row r="52">
          <cell r="A52" t="str">
            <v>Steers/100 Cows</v>
          </cell>
          <cell r="B52">
            <v>34.13403195551745</v>
          </cell>
          <cell r="C52">
            <v>34.941537383473189</v>
          </cell>
          <cell r="D52">
            <v>35.978902096272783</v>
          </cell>
          <cell r="E52">
            <v>35.928619198816243</v>
          </cell>
          <cell r="F52">
            <v>36.050859776083549</v>
          </cell>
          <cell r="G52">
            <v>35.522699012306752</v>
          </cell>
          <cell r="H52">
            <v>35.159739130583937</v>
          </cell>
          <cell r="I52">
            <v>35.586066017133</v>
          </cell>
          <cell r="J52">
            <v>35.95818212573456</v>
          </cell>
          <cell r="K52">
            <v>37.376682815797075</v>
          </cell>
          <cell r="L52">
            <v>37.637834162494322</v>
          </cell>
          <cell r="M52">
            <v>38.762610322720782</v>
          </cell>
          <cell r="N52">
            <v>38.802415010722179</v>
          </cell>
          <cell r="O52">
            <v>39.059583281247882</v>
          </cell>
          <cell r="P52">
            <v>38.82971154857011</v>
          </cell>
        </row>
        <row r="53">
          <cell r="A53" t="str">
            <v>Beef Steers/100 beef cows</v>
          </cell>
          <cell r="B53">
            <v>39.94063186858471</v>
          </cell>
          <cell r="C53">
            <v>36.719258687036657</v>
          </cell>
          <cell r="D53">
            <v>39.928374218475</v>
          </cell>
          <cell r="E53">
            <v>39.362957176015748</v>
          </cell>
          <cell r="F53">
            <v>37.222406344442895</v>
          </cell>
          <cell r="G53">
            <v>41.722969599401885</v>
          </cell>
          <cell r="H53">
            <v>39.347470113603997</v>
          </cell>
          <cell r="I53">
            <v>39.842085500565126</v>
          </cell>
          <cell r="J53">
            <v>40.992764920868979</v>
          </cell>
          <cell r="K53">
            <v>44.480795018759594</v>
          </cell>
          <cell r="L53">
            <v>40.867016601468336</v>
          </cell>
          <cell r="M53">
            <v>44.994431574800714</v>
          </cell>
          <cell r="N53">
            <v>44.866430101685843</v>
          </cell>
          <cell r="O53">
            <v>41.895449164578778</v>
          </cell>
          <cell r="P53">
            <v>44.353816854215204</v>
          </cell>
        </row>
        <row r="55">
          <cell r="B55">
            <v>2005</v>
          </cell>
          <cell r="C55">
            <v>2006</v>
          </cell>
          <cell r="D55">
            <v>2007</v>
          </cell>
          <cell r="E55">
            <v>2008</v>
          </cell>
          <cell r="F55">
            <v>2009</v>
          </cell>
          <cell r="G55">
            <v>2010</v>
          </cell>
          <cell r="H55">
            <v>2011</v>
          </cell>
          <cell r="I55">
            <v>2012</v>
          </cell>
          <cell r="J55">
            <v>2013</v>
          </cell>
          <cell r="K55">
            <v>2014</v>
          </cell>
          <cell r="L55">
            <v>2015</v>
          </cell>
          <cell r="M55">
            <v>2016</v>
          </cell>
          <cell r="N55">
            <v>2017</v>
          </cell>
          <cell r="O55">
            <v>2018</v>
          </cell>
          <cell r="P55">
            <v>2019</v>
          </cell>
        </row>
        <row r="56">
          <cell r="A56" t="str">
            <v>Steer Beef pounds / Beef Cow</v>
          </cell>
          <cell r="B56">
            <v>310.52295451584888</v>
          </cell>
          <cell r="C56">
            <v>316.80670108298887</v>
          </cell>
          <cell r="D56">
            <v>324.83246949899473</v>
          </cell>
          <cell r="E56">
            <v>325.20816078861378</v>
          </cell>
          <cell r="F56">
            <v>327.23902482728334</v>
          </cell>
          <cell r="G56">
            <v>333.52188966498716</v>
          </cell>
          <cell r="H56">
            <v>335.3146379151197</v>
          </cell>
          <cell r="I56">
            <v>346.95195558877799</v>
          </cell>
          <cell r="J56">
            <v>348.30154009193558</v>
          </cell>
          <cell r="K56">
            <v>363.6454929432735</v>
          </cell>
          <cell r="L56">
            <v>368.81380097956816</v>
          </cell>
          <cell r="M56">
            <v>387.22115456757609</v>
          </cell>
          <cell r="N56">
            <v>393.30252581136347</v>
          </cell>
          <cell r="O56">
            <v>396.65745571495682</v>
          </cell>
          <cell r="P56">
            <v>393.11237682535989</v>
          </cell>
        </row>
        <row r="57">
          <cell r="A57" t="str">
            <v>Steer Beef pounds/ Cwt Cow Weight</v>
          </cell>
          <cell r="B57">
            <v>14.743420671082175</v>
          </cell>
          <cell r="C57">
            <v>14.669841728841766</v>
          </cell>
          <cell r="D57">
            <v>16.047385474690564</v>
          </cell>
          <cell r="E57">
            <v>16.951742626546679</v>
          </cell>
          <cell r="F57">
            <v>15.368656236158326</v>
          </cell>
          <cell r="G57">
            <v>16.818367860470669</v>
          </cell>
          <cell r="H57">
            <v>14.403293557190169</v>
          </cell>
          <cell r="I57">
            <v>14.484969874479624</v>
          </cell>
          <cell r="J57">
            <v>14.895643620536777</v>
          </cell>
          <cell r="K57">
            <v>15.094652162158823</v>
          </cell>
          <cell r="L57">
            <v>12.388811816345932</v>
          </cell>
          <cell r="M57">
            <v>13.830617881799471</v>
          </cell>
          <cell r="N57">
            <v>15.441623775755954</v>
          </cell>
          <cell r="O57">
            <v>15.061041324226416</v>
          </cell>
          <cell r="P57">
            <v>17.626221131074974</v>
          </cell>
        </row>
        <row r="58">
          <cell r="B58">
            <v>2005</v>
          </cell>
          <cell r="C58">
            <v>2006</v>
          </cell>
          <cell r="D58">
            <v>2007</v>
          </cell>
          <cell r="E58">
            <v>2008</v>
          </cell>
          <cell r="F58">
            <v>2009</v>
          </cell>
          <cell r="G58">
            <v>2010</v>
          </cell>
          <cell r="H58">
            <v>2011</v>
          </cell>
          <cell r="I58">
            <v>2012</v>
          </cell>
          <cell r="J58">
            <v>2013</v>
          </cell>
          <cell r="K58">
            <v>2014</v>
          </cell>
          <cell r="L58">
            <v>2015</v>
          </cell>
          <cell r="M58">
            <v>2016</v>
          </cell>
          <cell r="N58">
            <v>2017</v>
          </cell>
          <cell r="O58">
            <v>2018</v>
          </cell>
          <cell r="P58">
            <v>2019</v>
          </cell>
        </row>
        <row r="59">
          <cell r="A59" t="str">
            <v>Steer Beef pounds/ Cwt Cow Weight</v>
          </cell>
          <cell r="B59">
            <v>14.743420671082175</v>
          </cell>
          <cell r="C59">
            <v>14.669841728841766</v>
          </cell>
          <cell r="D59">
            <v>16.047385474690564</v>
          </cell>
          <cell r="E59">
            <v>16.951742626546679</v>
          </cell>
          <cell r="F59">
            <v>15.368656236158326</v>
          </cell>
          <cell r="G59">
            <v>16.818367860470669</v>
          </cell>
          <cell r="H59">
            <v>14.403293557190169</v>
          </cell>
          <cell r="I59">
            <v>14.484969874479624</v>
          </cell>
          <cell r="J59">
            <v>14.895643620536777</v>
          </cell>
          <cell r="K59">
            <v>15.094652162158823</v>
          </cell>
          <cell r="L59">
            <v>12.388811816345932</v>
          </cell>
          <cell r="M59">
            <v>13.830617881799471</v>
          </cell>
          <cell r="N59">
            <v>15.441623775755954</v>
          </cell>
          <cell r="O59">
            <v>15.061041324226416</v>
          </cell>
          <cell r="P59">
            <v>17.626221131074974</v>
          </cell>
        </row>
      </sheetData>
      <sheetData sheetId="12"/>
      <sheetData sheetId="17">
        <row r="33">
          <cell r="C33">
            <v>2005</v>
          </cell>
          <cell r="D33">
            <v>2006</v>
          </cell>
          <cell r="E33">
            <v>2007</v>
          </cell>
          <cell r="F33">
            <v>2008</v>
          </cell>
          <cell r="G33">
            <v>2009</v>
          </cell>
          <cell r="H33">
            <v>2010</v>
          </cell>
          <cell r="I33">
            <v>2011</v>
          </cell>
          <cell r="J33">
            <v>2012</v>
          </cell>
          <cell r="K33">
            <v>2013</v>
          </cell>
          <cell r="L33">
            <v>2014</v>
          </cell>
          <cell r="M33">
            <v>2015</v>
          </cell>
          <cell r="N33">
            <v>2016</v>
          </cell>
          <cell r="O33">
            <v>2017</v>
          </cell>
          <cell r="P33">
            <v>2018</v>
          </cell>
          <cell r="Q33">
            <v>2019</v>
          </cell>
        </row>
        <row r="34">
          <cell r="B34" t="str">
            <v>Steer No. / 100 Cows (lagged)</v>
          </cell>
          <cell r="C34">
            <v>34.13403195551745</v>
          </cell>
          <cell r="D34">
            <v>34.941537383473189</v>
          </cell>
          <cell r="E34">
            <v>35.978902096272783</v>
          </cell>
          <cell r="F34">
            <v>35.928619198816243</v>
          </cell>
          <cell r="G34">
            <v>36.050859776083549</v>
          </cell>
          <cell r="H34">
            <v>35.522699012306752</v>
          </cell>
          <cell r="I34">
            <v>35.159739130583937</v>
          </cell>
          <cell r="J34">
            <v>35.586066017133</v>
          </cell>
          <cell r="K34">
            <v>35.95818212573456</v>
          </cell>
          <cell r="L34">
            <v>37.376682815797075</v>
          </cell>
          <cell r="M34">
            <v>37.637834162494322</v>
          </cell>
          <cell r="N34">
            <v>38.762610322720782</v>
          </cell>
          <cell r="O34">
            <v>38.802415010722179</v>
          </cell>
          <cell r="P34">
            <v>39.059583281247882</v>
          </cell>
          <cell r="Q34">
            <v>38.82971154857011</v>
          </cell>
        </row>
        <row r="35">
          <cell r="B35" t="str">
            <v>Beef Steers/100 Beef Cows (lagged)</v>
          </cell>
          <cell r="C35">
            <v>37.330833453910579</v>
          </cell>
          <cell r="D35">
            <v>37.995427632760787</v>
          </cell>
          <cell r="E35">
            <v>38.862754924698784</v>
          </cell>
          <cell r="F35">
            <v>38.670196693842463</v>
          </cell>
          <cell r="G35">
            <v>38.837912579644552</v>
          </cell>
          <cell r="H35">
            <v>39.436111039953509</v>
          </cell>
          <cell r="I35">
            <v>39.430948685816254</v>
          </cell>
          <cell r="J35">
            <v>40.304175071190336</v>
          </cell>
          <cell r="K35">
            <v>40.060773511679365</v>
          </cell>
          <cell r="L35">
            <v>41.771881813397904</v>
          </cell>
          <cell r="M35">
            <v>42.113525513698967</v>
          </cell>
          <cell r="N35">
            <v>43.447414398342879</v>
          </cell>
          <cell r="O35">
            <v>43.575959425984962</v>
          </cell>
          <cell r="P35">
            <v>43.918770280355112</v>
          </cell>
          <cell r="Q35">
            <v>43.705232040159949</v>
          </cell>
        </row>
        <row r="36">
          <cell r="B36" t="str">
            <v>Beef Heifer No. / 100 Beef Cows (lagged)</v>
          </cell>
          <cell r="C36">
            <v>27.607205603852133</v>
          </cell>
          <cell r="D36">
            <v>29.245043647188961</v>
          </cell>
          <cell r="E36">
            <v>30.307098583076336</v>
          </cell>
          <cell r="F36">
            <v>31.779313220052671</v>
          </cell>
          <cell r="G36">
            <v>32.245189558263718</v>
          </cell>
          <cell r="H36">
            <v>32.75917781545045</v>
          </cell>
          <cell r="I36">
            <v>31.060211769212771</v>
          </cell>
          <cell r="J36">
            <v>30.471087528093637</v>
          </cell>
          <cell r="K36">
            <v>29.189271368137714</v>
          </cell>
          <cell r="L36">
            <v>29.650177104783484</v>
          </cell>
          <cell r="M36">
            <v>28.252738399361021</v>
          </cell>
          <cell r="N36">
            <v>27.54272124020282</v>
          </cell>
          <cell r="O36">
            <v>27.774035649267574</v>
          </cell>
          <cell r="P36">
            <v>29.555521987854561</v>
          </cell>
          <cell r="Q36">
            <v>32.085924154038224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ill lbs."/>
    </sheetNames>
    <sheetDataSet>
      <sheetData sheetId="0" refreshError="1"/>
      <sheetData sheetId="1" refreshError="1">
        <row r="11">
          <cell r="O11">
            <v>1981517.0851030711</v>
          </cell>
          <cell r="P11">
            <v>2030545.0865690378</v>
          </cell>
          <cell r="Q11">
            <v>2036011.1469239357</v>
          </cell>
          <cell r="R11">
            <v>2178949.5394262248</v>
          </cell>
          <cell r="S11">
            <v>2054407.5464073531</v>
          </cell>
          <cell r="T11">
            <v>1921848.0272959727</v>
          </cell>
          <cell r="U11">
            <v>1770942.2408149699</v>
          </cell>
          <cell r="V11">
            <v>1763238.9296819104</v>
          </cell>
          <cell r="W11">
            <v>1865745.1376106937</v>
          </cell>
          <cell r="X11">
            <v>1800432.9611267662</v>
          </cell>
          <cell r="Y11">
            <v>1760194.5720283617</v>
          </cell>
          <cell r="Z11">
            <v>1645779.0031576999</v>
          </cell>
          <cell r="AA11">
            <v>1620337.5727677513</v>
          </cell>
          <cell r="AB11">
            <v>1641834.8981836787</v>
          </cell>
          <cell r="AC11">
            <v>1569317.8388445573</v>
          </cell>
          <cell r="AD11">
            <v>1537971.0337276154</v>
          </cell>
          <cell r="AE11">
            <v>1534620.4918707863</v>
          </cell>
          <cell r="AF11">
            <v>1471846.8494246018</v>
          </cell>
          <cell r="AG11">
            <v>1411526.0025954237</v>
          </cell>
          <cell r="AH11">
            <v>1477088.6187621816</v>
          </cell>
          <cell r="AI11">
            <v>1396644.3064997236</v>
          </cell>
          <cell r="AJ11">
            <v>1462511.7602417003</v>
          </cell>
          <cell r="AK11">
            <v>1502733.1584787467</v>
          </cell>
        </row>
        <row r="12">
          <cell r="O12">
            <v>661076.36816473573</v>
          </cell>
          <cell r="P12">
            <v>810692.78847300902</v>
          </cell>
          <cell r="Q12">
            <v>1105554.5848072791</v>
          </cell>
          <cell r="R12">
            <v>1222280.081000271</v>
          </cell>
          <cell r="S12">
            <v>1294686.7043793844</v>
          </cell>
          <cell r="T12">
            <v>1163881.7135643081</v>
          </cell>
          <cell r="U12">
            <v>975967.11681003869</v>
          </cell>
          <cell r="V12">
            <v>1029369.5295577717</v>
          </cell>
          <cell r="W12">
            <v>1061346.9310134605</v>
          </cell>
          <cell r="X12">
            <v>1116201.9948949732</v>
          </cell>
          <cell r="Y12">
            <v>1086691.1749503321</v>
          </cell>
          <cell r="Z12">
            <v>1018294.8010617961</v>
          </cell>
          <cell r="AA12">
            <v>1013429.9181474494</v>
          </cell>
          <cell r="AB12">
            <v>1003145.6341689121</v>
          </cell>
          <cell r="AC12">
            <v>863405.56107820373</v>
          </cell>
          <cell r="AD12">
            <v>863153.51398821815</v>
          </cell>
          <cell r="AE12">
            <v>824912.26954769157</v>
          </cell>
          <cell r="AF12">
            <v>785935.3510039096</v>
          </cell>
          <cell r="AG12">
            <v>684206.74431694776</v>
          </cell>
          <cell r="AH12">
            <v>725648.48646670533</v>
          </cell>
          <cell r="AI12">
            <v>723580.44720077596</v>
          </cell>
          <cell r="AJ12">
            <v>725402.13956842048</v>
          </cell>
          <cell r="AK12">
            <v>730926.71000871493</v>
          </cell>
        </row>
        <row r="13">
          <cell r="O13">
            <v>730224.72369854792</v>
          </cell>
          <cell r="P13">
            <v>742276.58017099742</v>
          </cell>
          <cell r="Q13">
            <v>1007658.9702386339</v>
          </cell>
          <cell r="R13">
            <v>1008230.6000026113</v>
          </cell>
          <cell r="S13">
            <v>961263.76726442866</v>
          </cell>
          <cell r="T13">
            <v>848686.06059810892</v>
          </cell>
          <cell r="U13">
            <v>637690.53798541659</v>
          </cell>
          <cell r="V13">
            <v>669411.93989311263</v>
          </cell>
          <cell r="W13">
            <v>691196.24091720814</v>
          </cell>
          <cell r="X13">
            <v>799844.61672489147</v>
          </cell>
          <cell r="Y13">
            <v>804507.87603403011</v>
          </cell>
          <cell r="Z13">
            <v>841935.91814090812</v>
          </cell>
          <cell r="AA13">
            <v>909712.12574981095</v>
          </cell>
          <cell r="AB13">
            <v>806102.44906926877</v>
          </cell>
          <cell r="AC13">
            <v>708082.09578645905</v>
          </cell>
          <cell r="AD13">
            <v>635551.19601176446</v>
          </cell>
          <cell r="AE13">
            <v>708782.74228292087</v>
          </cell>
          <cell r="AF13">
            <v>591607.36213637271</v>
          </cell>
          <cell r="AG13">
            <v>591921.34391321533</v>
          </cell>
          <cell r="AH13">
            <v>589763.6056483126</v>
          </cell>
          <cell r="AI13">
            <v>526737.10202548595</v>
          </cell>
          <cell r="AJ13">
            <v>503632.39118299977</v>
          </cell>
          <cell r="AK13">
            <v>516303.18069700018</v>
          </cell>
        </row>
        <row r="14">
          <cell r="O14">
            <v>70381.8230336454</v>
          </cell>
          <cell r="P14">
            <v>92285.544786955448</v>
          </cell>
          <cell r="Q14">
            <v>88475.298030151491</v>
          </cell>
          <cell r="R14">
            <v>66839.779570892788</v>
          </cell>
          <cell r="S14">
            <v>64341.981948833673</v>
          </cell>
          <cell r="T14">
            <v>58084.198541610174</v>
          </cell>
          <cell r="U14">
            <v>49200.104389574852</v>
          </cell>
          <cell r="V14">
            <v>63679.600867205343</v>
          </cell>
          <cell r="W14">
            <v>73011.690458637517</v>
          </cell>
          <cell r="X14">
            <v>71620.427253369096</v>
          </cell>
          <cell r="Y14">
            <v>57406.376987275988</v>
          </cell>
          <cell r="Z14">
            <v>59890.27763959601</v>
          </cell>
          <cell r="AA14">
            <v>59520.383334988124</v>
          </cell>
          <cell r="AB14">
            <v>60317.018578140145</v>
          </cell>
          <cell r="AC14">
            <v>53694.504290779965</v>
          </cell>
          <cell r="AD14">
            <v>49624.256272402054</v>
          </cell>
          <cell r="AE14">
            <v>52684.496298601669</v>
          </cell>
          <cell r="AF14">
            <v>42610.437435115862</v>
          </cell>
          <cell r="AG14">
            <v>38445.90917441318</v>
          </cell>
          <cell r="AH14">
            <v>42299.289122800379</v>
          </cell>
          <cell r="AI14">
            <v>38038.144274014754</v>
          </cell>
          <cell r="AJ14">
            <v>35853.709006879428</v>
          </cell>
          <cell r="AK14">
            <v>41336.950815538206</v>
          </cell>
        </row>
        <row r="15">
          <cell r="AK15">
            <v>2791300</v>
          </cell>
        </row>
        <row r="18">
          <cell r="O18">
            <v>598.59849707424814</v>
          </cell>
          <cell r="P18">
            <v>590.23327165267676</v>
          </cell>
          <cell r="Q18">
            <v>611.5</v>
          </cell>
          <cell r="R18">
            <v>633.9</v>
          </cell>
          <cell r="S18">
            <v>633.9</v>
          </cell>
          <cell r="T18">
            <v>647.5</v>
          </cell>
          <cell r="U18">
            <v>671.2</v>
          </cell>
          <cell r="V18">
            <v>668.2</v>
          </cell>
          <cell r="W18">
            <v>665.8</v>
          </cell>
          <cell r="X18">
            <v>652.6</v>
          </cell>
          <cell r="Y18">
            <v>662.8</v>
          </cell>
          <cell r="Z18">
            <v>658.6</v>
          </cell>
          <cell r="AA18">
            <v>676.4</v>
          </cell>
          <cell r="AB18">
            <v>677.1</v>
          </cell>
          <cell r="AC18">
            <v>685.2</v>
          </cell>
          <cell r="AD18">
            <v>699.7</v>
          </cell>
          <cell r="AE18">
            <v>695.7</v>
          </cell>
          <cell r="AF18">
            <v>706</v>
          </cell>
          <cell r="AG18">
            <v>723.1</v>
          </cell>
          <cell r="AH18">
            <v>725.3</v>
          </cell>
          <cell r="AI18">
            <v>727.9</v>
          </cell>
          <cell r="AJ18">
            <v>760.5</v>
          </cell>
          <cell r="AK18">
            <v>767.5</v>
          </cell>
        </row>
        <row r="19">
          <cell r="O19">
            <v>524.95412844036696</v>
          </cell>
          <cell r="P19">
            <v>516.69724770642199</v>
          </cell>
          <cell r="Q19">
            <v>475.3</v>
          </cell>
          <cell r="R19">
            <v>505.1</v>
          </cell>
          <cell r="S19">
            <v>497.2</v>
          </cell>
          <cell r="T19">
            <v>523</v>
          </cell>
          <cell r="U19">
            <v>545.29999999999995</v>
          </cell>
          <cell r="V19">
            <v>547.29999999999995</v>
          </cell>
          <cell r="W19">
            <v>542.1</v>
          </cell>
          <cell r="X19">
            <v>534.79999999999995</v>
          </cell>
          <cell r="Y19">
            <v>546.4</v>
          </cell>
          <cell r="Z19">
            <v>547.70000000000005</v>
          </cell>
          <cell r="AA19">
            <v>565.9</v>
          </cell>
          <cell r="AB19">
            <v>577.1</v>
          </cell>
          <cell r="AC19">
            <v>589.4</v>
          </cell>
          <cell r="AD19">
            <v>609.5</v>
          </cell>
          <cell r="AE19">
            <v>608.4</v>
          </cell>
          <cell r="AF19">
            <v>624.9</v>
          </cell>
          <cell r="AG19">
            <v>643.5</v>
          </cell>
          <cell r="AH19">
            <v>651</v>
          </cell>
          <cell r="AI19">
            <v>663.8</v>
          </cell>
          <cell r="AJ19">
            <v>690.5</v>
          </cell>
          <cell r="AK19">
            <v>698.3</v>
          </cell>
        </row>
        <row r="20">
          <cell r="O20">
            <v>524.95412844036696</v>
          </cell>
          <cell r="P20">
            <v>516.69724770642199</v>
          </cell>
          <cell r="Q20">
            <v>513.70000000000005</v>
          </cell>
          <cell r="R20">
            <v>527.29999999999995</v>
          </cell>
          <cell r="S20">
            <v>518.1</v>
          </cell>
          <cell r="T20">
            <v>542.1</v>
          </cell>
          <cell r="U20">
            <v>567.6</v>
          </cell>
          <cell r="V20">
            <v>570.6</v>
          </cell>
          <cell r="W20">
            <v>559.5</v>
          </cell>
          <cell r="X20">
            <v>554</v>
          </cell>
          <cell r="Y20">
            <v>555</v>
          </cell>
          <cell r="Z20">
            <v>553.4</v>
          </cell>
          <cell r="AA20">
            <v>559.1</v>
          </cell>
          <cell r="AB20">
            <v>577.20000000000005</v>
          </cell>
          <cell r="AC20">
            <v>584.5</v>
          </cell>
          <cell r="AD20">
            <v>595</v>
          </cell>
          <cell r="AE20">
            <v>594.4</v>
          </cell>
          <cell r="AF20">
            <v>597.29999999999995</v>
          </cell>
          <cell r="AG20">
            <v>602.5</v>
          </cell>
          <cell r="AH20">
            <v>606.29999999999995</v>
          </cell>
          <cell r="AI20">
            <v>619.29999999999995</v>
          </cell>
          <cell r="AJ20">
            <v>630.9</v>
          </cell>
          <cell r="AK20">
            <v>627.6</v>
          </cell>
        </row>
        <row r="21">
          <cell r="O21">
            <v>762.93333333333339</v>
          </cell>
          <cell r="P21">
            <v>750.93333333333339</v>
          </cell>
          <cell r="Q21">
            <v>751.7</v>
          </cell>
          <cell r="R21">
            <v>792.3</v>
          </cell>
          <cell r="S21">
            <v>768</v>
          </cell>
          <cell r="T21">
            <v>820.4</v>
          </cell>
          <cell r="U21">
            <v>846.9</v>
          </cell>
          <cell r="V21">
            <v>832.4</v>
          </cell>
          <cell r="W21">
            <v>779.5</v>
          </cell>
          <cell r="X21">
            <v>773.7</v>
          </cell>
          <cell r="Y21">
            <v>791.7</v>
          </cell>
          <cell r="Z21">
            <v>835.4</v>
          </cell>
          <cell r="AA21">
            <v>846.8</v>
          </cell>
          <cell r="AB21">
            <v>859.1</v>
          </cell>
          <cell r="AC21">
            <v>891.9</v>
          </cell>
          <cell r="AD21">
            <v>909</v>
          </cell>
          <cell r="AE21">
            <v>914.2</v>
          </cell>
          <cell r="AF21">
            <v>928.5</v>
          </cell>
          <cell r="AG21">
            <v>877.1</v>
          </cell>
          <cell r="AH21">
            <v>873</v>
          </cell>
          <cell r="AI21">
            <v>884.4</v>
          </cell>
          <cell r="AJ21">
            <v>858.8</v>
          </cell>
          <cell r="AK21">
            <v>891.2</v>
          </cell>
          <cell r="AL21">
            <v>845</v>
          </cell>
        </row>
        <row r="22">
          <cell r="O22">
            <v>572.20000000000005</v>
          </cell>
          <cell r="P22">
            <v>563.20000000000005</v>
          </cell>
          <cell r="Q22">
            <v>555.63919226083431</v>
          </cell>
          <cell r="R22">
            <v>577.08530140761718</v>
          </cell>
          <cell r="S22">
            <v>569.9711004277907</v>
          </cell>
          <cell r="T22">
            <v>591.31664966864071</v>
          </cell>
          <cell r="U22">
            <v>618.69416349221717</v>
          </cell>
          <cell r="V22">
            <v>617.33657117885627</v>
          </cell>
          <cell r="W22">
            <v>612.57719324608729</v>
          </cell>
          <cell r="X22">
            <v>599.35957855723996</v>
          </cell>
          <cell r="Y22">
            <v>607.30573775694904</v>
          </cell>
          <cell r="Z22">
            <v>605.06177656706689</v>
          </cell>
          <cell r="AA22">
            <v>618.51741188302401</v>
          </cell>
          <cell r="AB22">
            <v>628.72428071490299</v>
          </cell>
          <cell r="AC22">
            <v>640.46077140081889</v>
          </cell>
          <cell r="AD22">
            <v>656.27832992698188</v>
          </cell>
          <cell r="AE22">
            <v>653.30878869480011</v>
          </cell>
          <cell r="AF22">
            <v>665.00198654864198</v>
          </cell>
          <cell r="AG22">
            <v>679.1075195661557</v>
          </cell>
          <cell r="AH22">
            <v>683.72742111853108</v>
          </cell>
          <cell r="AI22">
            <v>691.53791941651616</v>
          </cell>
          <cell r="AJ22">
            <v>719.24294636953516</v>
          </cell>
          <cell r="AK22">
            <v>725.33414090343877</v>
          </cell>
        </row>
        <row r="54">
          <cell r="O54">
            <v>9429.7888885678512</v>
          </cell>
          <cell r="P54">
            <v>4625.0787798952188</v>
          </cell>
          <cell r="Q54">
            <v>59156.38089149772</v>
          </cell>
          <cell r="R54">
            <v>131337.30072179978</v>
          </cell>
          <cell r="S54">
            <v>118692.62644965871</v>
          </cell>
          <cell r="T54">
            <v>111444.19803138872</v>
          </cell>
          <cell r="U54">
            <v>74627.913023476998</v>
          </cell>
          <cell r="V54">
            <v>59832.641860351105</v>
          </cell>
          <cell r="W54">
            <v>13471.967284434004</v>
          </cell>
          <cell r="X54">
            <v>27921.490361279884</v>
          </cell>
          <cell r="Y54">
            <v>28440.637555533955</v>
          </cell>
          <cell r="Z54">
            <v>63649.389968193929</v>
          </cell>
          <cell r="AA54">
            <v>26086.506036889768</v>
          </cell>
          <cell r="AB54">
            <v>57663.908147510228</v>
          </cell>
          <cell r="AC54">
            <v>71433.898782393531</v>
          </cell>
          <cell r="AD54">
            <v>155703.53970400701</v>
          </cell>
          <cell r="AE54">
            <v>110226.39899632584</v>
          </cell>
          <cell r="AF54">
            <v>164814.90420403788</v>
          </cell>
          <cell r="AG54">
            <v>162657.28018354505</v>
          </cell>
          <cell r="AH54">
            <v>301474.0798802987</v>
          </cell>
          <cell r="AI54">
            <v>337742.64563726669</v>
          </cell>
          <cell r="AJ54">
            <v>415058.18740546994</v>
          </cell>
          <cell r="AK54">
            <v>475431</v>
          </cell>
        </row>
        <row r="60">
          <cell r="AK60">
            <v>460293</v>
          </cell>
          <cell r="AM60">
            <v>393166</v>
          </cell>
          <cell r="AN60">
            <v>414428</v>
          </cell>
        </row>
        <row r="63">
          <cell r="O63">
            <v>3766.6599673352953</v>
          </cell>
          <cell r="P63">
            <v>2040.9449080801203</v>
          </cell>
          <cell r="Q63">
            <v>25945.838001867894</v>
          </cell>
          <cell r="R63">
            <v>76213.501125079405</v>
          </cell>
          <cell r="S63">
            <v>69715.53271331283</v>
          </cell>
          <cell r="T63">
            <v>63209.901006876149</v>
          </cell>
          <cell r="U63">
            <v>44591.272315813025</v>
          </cell>
          <cell r="V63">
            <v>30237.301029384074</v>
          </cell>
          <cell r="W63">
            <v>5974.5803532585051</v>
          </cell>
          <cell r="X63">
            <v>15120.556924387683</v>
          </cell>
          <cell r="Y63">
            <v>29419.159308834543</v>
          </cell>
          <cell r="Z63">
            <v>38242.450485687266</v>
          </cell>
          <cell r="AA63">
            <v>24003.626453838133</v>
          </cell>
          <cell r="AB63">
            <v>55956.768357272478</v>
          </cell>
          <cell r="AC63">
            <v>47512.759441333503</v>
          </cell>
          <cell r="AD63">
            <v>89991.960774204475</v>
          </cell>
          <cell r="AE63">
            <v>89678.111255488853</v>
          </cell>
          <cell r="AF63">
            <v>143473.55759407868</v>
          </cell>
          <cell r="AG63">
            <v>116982.6221999164</v>
          </cell>
          <cell r="AH63">
            <v>239994.63118883257</v>
          </cell>
          <cell r="AI63">
            <v>263680.45918935043</v>
          </cell>
          <cell r="AJ63">
            <v>238310.78371532823</v>
          </cell>
          <cell r="AK63">
            <v>268478</v>
          </cell>
        </row>
        <row r="69">
          <cell r="AK69">
            <v>265795</v>
          </cell>
        </row>
        <row r="72">
          <cell r="O72">
            <v>2587.1490759128451</v>
          </cell>
          <cell r="P72">
            <v>1271.2708843343305</v>
          </cell>
          <cell r="Q72">
            <v>23891.18563075766</v>
          </cell>
          <cell r="R72">
            <v>38365.568026346649</v>
          </cell>
          <cell r="S72">
            <v>37037.934699374258</v>
          </cell>
          <cell r="T72">
            <v>34909.165536994762</v>
          </cell>
          <cell r="U72">
            <v>16561.299715273162</v>
          </cell>
          <cell r="V72">
            <v>18386.495071688521</v>
          </cell>
          <cell r="W72">
            <v>73102.406682328379</v>
          </cell>
          <cell r="X72">
            <v>117512.38650837365</v>
          </cell>
          <cell r="Y72">
            <v>121751.43510603627</v>
          </cell>
          <cell r="Z72">
            <v>110419.50528668443</v>
          </cell>
          <cell r="AA72">
            <v>101478.80135366893</v>
          </cell>
          <cell r="AB72">
            <v>48973.865050902714</v>
          </cell>
          <cell r="AC72">
            <v>54132.507357728871</v>
          </cell>
          <cell r="AD72">
            <v>132885.2442813876</v>
          </cell>
          <cell r="AE72">
            <v>154329.2209158527</v>
          </cell>
          <cell r="AF72">
            <v>212463.11593860827</v>
          </cell>
          <cell r="AG72">
            <v>202103.97933494675</v>
          </cell>
          <cell r="AH72">
            <v>256853.22809743235</v>
          </cell>
          <cell r="AI72">
            <v>258820</v>
          </cell>
          <cell r="AJ72">
            <v>211364</v>
          </cell>
          <cell r="AK72">
            <v>243660</v>
          </cell>
        </row>
        <row r="78">
          <cell r="AK78">
            <v>231201</v>
          </cell>
          <cell r="AL78">
            <v>286935</v>
          </cell>
          <cell r="AM78">
            <v>275537</v>
          </cell>
        </row>
        <row r="81">
          <cell r="O81">
            <v>362.40206818400816</v>
          </cell>
          <cell r="P81">
            <v>229.70542769033079</v>
          </cell>
          <cell r="Q81">
            <v>3069.5954758767366</v>
          </cell>
          <cell r="R81">
            <v>3821.6301267741405</v>
          </cell>
          <cell r="S81">
            <v>3674.9061376542209</v>
          </cell>
          <cell r="T81">
            <v>3615.7354247403609</v>
          </cell>
          <cell r="U81">
            <v>1906.5149454368357</v>
          </cell>
          <cell r="V81">
            <v>2551.5620385762882</v>
          </cell>
          <cell r="W81">
            <v>26867.025145740889</v>
          </cell>
          <cell r="X81">
            <v>33917.326128676912</v>
          </cell>
          <cell r="Y81">
            <v>30239.56231524418</v>
          </cell>
          <cell r="Z81">
            <v>25417.942921000602</v>
          </cell>
          <cell r="AA81">
            <v>26941.224470697878</v>
          </cell>
          <cell r="AB81">
            <v>20227.267966659489</v>
          </cell>
          <cell r="AC81">
            <v>22536.723520857751</v>
          </cell>
          <cell r="AD81">
            <v>27222.966146611674</v>
          </cell>
          <cell r="AE81">
            <v>27391.453974370466</v>
          </cell>
          <cell r="AF81">
            <v>40501.041050873304</v>
          </cell>
          <cell r="AG81">
            <v>43165.049193811305</v>
          </cell>
          <cell r="AH81">
            <v>54205.243630938719</v>
          </cell>
          <cell r="AI81">
            <v>50794</v>
          </cell>
          <cell r="AJ81">
            <v>43861</v>
          </cell>
          <cell r="AK81">
            <v>49946</v>
          </cell>
        </row>
        <row r="87">
          <cell r="AK87">
            <v>49429</v>
          </cell>
          <cell r="AL87">
            <v>55449</v>
          </cell>
          <cell r="AM87">
            <v>53161</v>
          </cell>
        </row>
        <row r="113">
          <cell r="O113">
            <v>14857</v>
          </cell>
          <cell r="P113">
            <v>586.5</v>
          </cell>
          <cell r="Q113">
            <v>4259.5</v>
          </cell>
          <cell r="R113">
            <v>3614</v>
          </cell>
          <cell r="S113">
            <v>6414</v>
          </cell>
          <cell r="T113">
            <v>9381.5</v>
          </cell>
          <cell r="U113">
            <v>10278.5</v>
          </cell>
          <cell r="V113">
            <v>14995</v>
          </cell>
          <cell r="W113">
            <v>14621.763160184461</v>
          </cell>
          <cell r="X113">
            <v>48406.439603091276</v>
          </cell>
          <cell r="Y113">
            <v>1943.4729234446204</v>
          </cell>
          <cell r="Z113">
            <v>594.84393535631352</v>
          </cell>
          <cell r="AA113">
            <v>58480.456867081477</v>
          </cell>
          <cell r="AB113">
            <v>-6830.0522191123546</v>
          </cell>
          <cell r="AC113">
            <v>-11294.21874593046</v>
          </cell>
          <cell r="AD113">
            <v>5112.6677899655297</v>
          </cell>
          <cell r="AE113">
            <v>20692.689640648805</v>
          </cell>
          <cell r="AF113">
            <v>102090.1562919859</v>
          </cell>
          <cell r="AG113">
            <v>108543.69369564364</v>
          </cell>
          <cell r="AH113">
            <v>129470.0051788163</v>
          </cell>
          <cell r="AI113">
            <v>116549.33514506767</v>
          </cell>
          <cell r="AJ113">
            <v>-5608.7948942490912</v>
          </cell>
          <cell r="AK113">
            <v>-7031.2000000000007</v>
          </cell>
          <cell r="AL113">
            <v>71570</v>
          </cell>
          <cell r="AM113">
            <v>98357</v>
          </cell>
          <cell r="AN113">
            <v>63793</v>
          </cell>
          <cell r="AO113">
            <v>-69002</v>
          </cell>
        </row>
        <row r="114">
          <cell r="B114">
            <v>69467</v>
          </cell>
        </row>
        <row r="118">
          <cell r="O118">
            <v>49226.5</v>
          </cell>
          <cell r="P118">
            <v>4468</v>
          </cell>
          <cell r="Q118">
            <v>10121.5</v>
          </cell>
          <cell r="R118">
            <v>23732.5</v>
          </cell>
          <cell r="S118">
            <v>42645.5</v>
          </cell>
          <cell r="T118">
            <v>21895.5</v>
          </cell>
          <cell r="U118">
            <v>20521</v>
          </cell>
          <cell r="V118">
            <v>24526.5</v>
          </cell>
          <cell r="W118">
            <v>16224.042808666145</v>
          </cell>
          <cell r="X118">
            <v>9346.2582316390999</v>
          </cell>
          <cell r="Y118">
            <v>1756.1549347315215</v>
          </cell>
          <cell r="Z118">
            <v>3286.7270781397747</v>
          </cell>
          <cell r="AA118">
            <v>2577.7763123216719</v>
          </cell>
          <cell r="AB118">
            <v>488.75646049272598</v>
          </cell>
          <cell r="AC118">
            <v>2900.4218322698266</v>
          </cell>
          <cell r="AD118">
            <v>2950.1654910634229</v>
          </cell>
          <cell r="AE118">
            <v>5002.829187203155</v>
          </cell>
          <cell r="AF118">
            <v>14757.301150187006</v>
          </cell>
          <cell r="AG118">
            <v>37384.402321910013</v>
          </cell>
          <cell r="AH118">
            <v>36452.22901549525</v>
          </cell>
          <cell r="AI118">
            <v>19172.019248396937</v>
          </cell>
          <cell r="AJ118">
            <v>16930.865120604474</v>
          </cell>
          <cell r="AK118">
            <v>17000</v>
          </cell>
          <cell r="AL118">
            <v>11781</v>
          </cell>
          <cell r="AM118">
            <v>22126.3</v>
          </cell>
          <cell r="AN118">
            <v>9385</v>
          </cell>
          <cell r="AO118">
            <v>12581</v>
          </cell>
        </row>
        <row r="119">
          <cell r="B11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tle Exports Annual"/>
      <sheetName val="Cattle Exports Monthly"/>
      <sheetName val="Cattle Imports Annual"/>
      <sheetName val="Cattle Imports Monthly"/>
    </sheetNames>
    <sheetDataSet>
      <sheetData sheetId="0" refreshError="1">
        <row r="36">
          <cell r="B36">
            <v>138472.36363636365</v>
          </cell>
          <cell r="C36">
            <v>115373</v>
          </cell>
          <cell r="D36">
            <v>187628</v>
          </cell>
          <cell r="E36">
            <v>177799</v>
          </cell>
          <cell r="F36">
            <v>137502</v>
          </cell>
          <cell r="G36">
            <v>231310</v>
          </cell>
        </row>
        <row r="37">
          <cell r="B37">
            <v>199382.18181818182</v>
          </cell>
          <cell r="C37">
            <v>123944</v>
          </cell>
          <cell r="D37">
            <v>148758</v>
          </cell>
          <cell r="E37">
            <v>152669</v>
          </cell>
          <cell r="F37">
            <v>95369</v>
          </cell>
          <cell r="G37">
            <v>172006</v>
          </cell>
        </row>
        <row r="38">
          <cell r="B38">
            <v>145358.18181818182</v>
          </cell>
          <cell r="C38">
            <v>145537</v>
          </cell>
          <cell r="D38">
            <v>126292</v>
          </cell>
          <cell r="E38">
            <v>187225</v>
          </cell>
          <cell r="F38">
            <v>204938</v>
          </cell>
          <cell r="G38">
            <v>276560</v>
          </cell>
        </row>
        <row r="39">
          <cell r="B39">
            <v>32741.454545454544</v>
          </cell>
          <cell r="C39">
            <v>29990</v>
          </cell>
          <cell r="D39">
            <v>26666</v>
          </cell>
          <cell r="E39">
            <v>28627</v>
          </cell>
          <cell r="F39">
            <v>33132</v>
          </cell>
          <cell r="G39">
            <v>44638</v>
          </cell>
        </row>
        <row r="41">
          <cell r="B41">
            <v>5049.8181818181811</v>
          </cell>
          <cell r="C41">
            <v>4629</v>
          </cell>
          <cell r="D41">
            <v>6559</v>
          </cell>
          <cell r="E41">
            <v>5222</v>
          </cell>
          <cell r="F41">
            <v>7201</v>
          </cell>
          <cell r="G41">
            <v>10328</v>
          </cell>
        </row>
        <row r="43">
          <cell r="B43">
            <v>47227.63636363636</v>
          </cell>
          <cell r="C43">
            <v>43292</v>
          </cell>
          <cell r="D43">
            <v>58325</v>
          </cell>
          <cell r="E43">
            <v>29871</v>
          </cell>
          <cell r="F43">
            <v>76797</v>
          </cell>
          <cell r="G43">
            <v>141687</v>
          </cell>
        </row>
        <row r="44">
          <cell r="B44">
            <v>148361.45454545453</v>
          </cell>
          <cell r="C44">
            <v>62560</v>
          </cell>
          <cell r="D44">
            <v>84741</v>
          </cell>
          <cell r="E44">
            <v>69829</v>
          </cell>
          <cell r="F44">
            <v>72813</v>
          </cell>
          <cell r="G44">
            <v>121054</v>
          </cell>
        </row>
      </sheetData>
      <sheetData sheetId="1" refreshError="1"/>
      <sheetData sheetId="2" refreshError="1">
        <row r="11">
          <cell r="B11">
            <v>17750.181818181816</v>
          </cell>
          <cell r="C11">
            <v>15720</v>
          </cell>
          <cell r="D11">
            <v>31889</v>
          </cell>
          <cell r="E11">
            <v>13150</v>
          </cell>
          <cell r="F11">
            <v>25219</v>
          </cell>
        </row>
        <row r="12">
          <cell r="B12">
            <v>254043.27272727274</v>
          </cell>
          <cell r="C12">
            <v>180242</v>
          </cell>
          <cell r="D12">
            <v>106682</v>
          </cell>
          <cell r="E12">
            <v>17407</v>
          </cell>
          <cell r="F12">
            <v>10545</v>
          </cell>
          <cell r="G12">
            <v>17319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6C3EA-E6DC-4B3E-A75C-E2DFD1E48D94}">
  <dimension ref="A1:BH161"/>
  <sheetViews>
    <sheetView workbookViewId="0">
      <pane ySplit="3" topLeftCell="A22" activePane="bottomLeft" state="frozen"/>
      <selection pane="bottomLeft" activeCell="B32" sqref="B32"/>
    </sheetView>
  </sheetViews>
  <sheetFormatPr defaultColWidth="5.7109375" defaultRowHeight="15"/>
  <cols>
    <col min="1" max="1" width="66" customWidth="1"/>
    <col min="2" max="26" width="12.5703125" customWidth="1"/>
    <col min="27" max="27" width="12.5703125" hidden="1" customWidth="1"/>
    <col min="28" max="58" width="0" hidden="1" customWidth="1"/>
  </cols>
  <sheetData>
    <row r="1" spans="1:60" ht="60" customHeight="1">
      <c r="A1" s="1" t="s">
        <v>0</v>
      </c>
      <c r="B1" s="1"/>
    </row>
    <row r="2" spans="1:60" ht="35.1" customHeight="1">
      <c r="A2" s="2" t="s">
        <v>1</v>
      </c>
      <c r="V2" s="3"/>
      <c r="W2" s="4"/>
      <c r="X2" s="111" t="s">
        <v>2</v>
      </c>
      <c r="Y2" s="111" t="s">
        <v>3</v>
      </c>
      <c r="Z2" s="111" t="s">
        <v>4</v>
      </c>
    </row>
    <row r="3" spans="1:60" ht="17.45" customHeight="1">
      <c r="A3" s="6" t="s">
        <v>5</v>
      </c>
      <c r="B3" s="7">
        <v>1996</v>
      </c>
      <c r="C3" s="7">
        <f>B3+1</f>
        <v>1997</v>
      </c>
      <c r="D3" s="7">
        <f t="shared" ref="D3:X3" si="0">C3+1</f>
        <v>1998</v>
      </c>
      <c r="E3" s="7">
        <f t="shared" si="0"/>
        <v>1999</v>
      </c>
      <c r="F3" s="7">
        <f t="shared" si="0"/>
        <v>2000</v>
      </c>
      <c r="G3" s="7">
        <f t="shared" si="0"/>
        <v>2001</v>
      </c>
      <c r="H3" s="7">
        <f t="shared" si="0"/>
        <v>2002</v>
      </c>
      <c r="I3" s="7">
        <f t="shared" si="0"/>
        <v>2003</v>
      </c>
      <c r="J3" s="7">
        <f t="shared" si="0"/>
        <v>2004</v>
      </c>
      <c r="K3" s="7">
        <f t="shared" si="0"/>
        <v>2005</v>
      </c>
      <c r="L3" s="7">
        <f t="shared" si="0"/>
        <v>2006</v>
      </c>
      <c r="M3" s="7">
        <f t="shared" si="0"/>
        <v>2007</v>
      </c>
      <c r="N3" s="7">
        <f t="shared" si="0"/>
        <v>2008</v>
      </c>
      <c r="O3" s="7">
        <f t="shared" si="0"/>
        <v>2009</v>
      </c>
      <c r="P3" s="7">
        <f t="shared" si="0"/>
        <v>2010</v>
      </c>
      <c r="Q3" s="7">
        <f t="shared" si="0"/>
        <v>2011</v>
      </c>
      <c r="R3" s="7">
        <f t="shared" si="0"/>
        <v>2012</v>
      </c>
      <c r="S3" s="7">
        <f t="shared" si="0"/>
        <v>2013</v>
      </c>
      <c r="T3" s="7">
        <f t="shared" si="0"/>
        <v>2014</v>
      </c>
      <c r="U3" s="7">
        <f t="shared" si="0"/>
        <v>2015</v>
      </c>
      <c r="V3" s="7">
        <f t="shared" si="0"/>
        <v>2016</v>
      </c>
      <c r="W3" s="7">
        <f t="shared" si="0"/>
        <v>2017</v>
      </c>
      <c r="X3" s="7">
        <f t="shared" si="0"/>
        <v>2018</v>
      </c>
      <c r="Y3" s="113">
        <v>2019</v>
      </c>
      <c r="Z3" s="113">
        <v>2020</v>
      </c>
    </row>
    <row r="4" spans="1:60" ht="17.45" customHeight="1">
      <c r="A4" s="9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12" t="s">
        <v>7</v>
      </c>
      <c r="W4" s="10"/>
      <c r="X4" s="8"/>
      <c r="Y4" s="8"/>
      <c r="Z4" s="8"/>
    </row>
    <row r="5" spans="1:60" ht="17.45" customHeight="1">
      <c r="A5" s="11" t="str">
        <f>[1]Productivity!A5</f>
        <v xml:space="preserve">Beef Cows July 1 '000 head* </v>
      </c>
      <c r="B5" s="11">
        <f>[1]Productivity!Y5</f>
        <v>4718.2</v>
      </c>
      <c r="C5" s="11">
        <f>[1]Productivity!Z5</f>
        <v>4688.3999999999996</v>
      </c>
      <c r="D5" s="11">
        <f>[1]Productivity!AA5</f>
        <v>4601.1000000000004</v>
      </c>
      <c r="E5" s="11">
        <f>[1]Productivity!AB5</f>
        <v>4616.7</v>
      </c>
      <c r="F5" s="11">
        <f>[1]Productivity!AC5</f>
        <v>4710.6000000000004</v>
      </c>
      <c r="G5" s="11">
        <f>[1]Productivity!AD5</f>
        <v>4799.3</v>
      </c>
      <c r="H5" s="11">
        <f>[1]Productivity!AE5</f>
        <v>4821.6000000000004</v>
      </c>
      <c r="I5" s="11">
        <f>[1]Productivity!AF5</f>
        <v>4924.2</v>
      </c>
      <c r="J5" s="11">
        <f>[1]Productivity!AG5</f>
        <v>5334.7</v>
      </c>
      <c r="K5" s="11">
        <f>[1]Productivity!AH5</f>
        <v>5436.2</v>
      </c>
      <c r="L5" s="11">
        <f>[1]Productivity!AI5</f>
        <v>5164.6000000000004</v>
      </c>
      <c r="M5" s="11">
        <f>[1]Productivity!AJ5</f>
        <v>5030.2</v>
      </c>
      <c r="N5" s="11">
        <f>[1]Productivity!AK5</f>
        <v>4767.3999999999996</v>
      </c>
      <c r="O5" s="11">
        <f>[1]Productivity!AL5</f>
        <v>4374.8</v>
      </c>
      <c r="P5" s="11">
        <f>[1]Productivity!AM5</f>
        <v>4096</v>
      </c>
      <c r="Q5" s="11">
        <f>[1]Productivity!AN5</f>
        <v>3944.2</v>
      </c>
      <c r="R5" s="11">
        <f>[1]Productivity!AO5</f>
        <v>3931</v>
      </c>
      <c r="S5" s="11">
        <f>[1]Productivity!AP5</f>
        <v>3932</v>
      </c>
      <c r="T5" s="11">
        <f>[1]Productivity!AQ5</f>
        <v>3848</v>
      </c>
      <c r="U5" s="11">
        <f>[1]Productivity!AR5</f>
        <v>3737</v>
      </c>
      <c r="V5" s="12">
        <f>[1]Productivity!AS5</f>
        <v>3737</v>
      </c>
      <c r="W5" s="12">
        <v>3796.7</v>
      </c>
      <c r="X5" s="8">
        <v>3726</v>
      </c>
      <c r="Y5" s="8"/>
      <c r="Z5" s="8"/>
    </row>
    <row r="6" spans="1:60" ht="17.45" customHeight="1">
      <c r="A6">
        <f>[1]Productivity!A6</f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  <c r="W6" s="10"/>
      <c r="X6" s="8"/>
      <c r="Y6" s="8"/>
      <c r="Z6" s="8"/>
      <c r="AA6" t="s">
        <v>8</v>
      </c>
      <c r="AB6">
        <v>1</v>
      </c>
      <c r="AC6">
        <f>+AB6+1</f>
        <v>2</v>
      </c>
      <c r="AD6">
        <f t="shared" ref="AD6:BF6" si="1">+AC6+1</f>
        <v>3</v>
      </c>
      <c r="AE6">
        <f t="shared" si="1"/>
        <v>4</v>
      </c>
      <c r="AF6">
        <f t="shared" si="1"/>
        <v>5</v>
      </c>
      <c r="AG6">
        <f t="shared" si="1"/>
        <v>6</v>
      </c>
      <c r="AH6">
        <f t="shared" si="1"/>
        <v>7</v>
      </c>
      <c r="AI6">
        <f t="shared" si="1"/>
        <v>8</v>
      </c>
      <c r="AJ6">
        <f t="shared" si="1"/>
        <v>9</v>
      </c>
      <c r="AK6">
        <f t="shared" si="1"/>
        <v>10</v>
      </c>
      <c r="AL6">
        <f t="shared" si="1"/>
        <v>11</v>
      </c>
      <c r="AM6">
        <f t="shared" si="1"/>
        <v>12</v>
      </c>
      <c r="AN6">
        <f t="shared" si="1"/>
        <v>13</v>
      </c>
      <c r="AO6">
        <f t="shared" si="1"/>
        <v>14</v>
      </c>
      <c r="AP6">
        <f t="shared" si="1"/>
        <v>15</v>
      </c>
      <c r="AQ6">
        <f t="shared" si="1"/>
        <v>16</v>
      </c>
      <c r="AR6">
        <f t="shared" si="1"/>
        <v>17</v>
      </c>
      <c r="AS6">
        <f t="shared" si="1"/>
        <v>18</v>
      </c>
      <c r="AT6">
        <f>+AS6+1</f>
        <v>19</v>
      </c>
      <c r="AU6">
        <f t="shared" si="1"/>
        <v>20</v>
      </c>
      <c r="AV6">
        <f t="shared" si="1"/>
        <v>21</v>
      </c>
      <c r="AW6">
        <f t="shared" si="1"/>
        <v>22</v>
      </c>
      <c r="AX6">
        <f t="shared" si="1"/>
        <v>23</v>
      </c>
      <c r="AY6">
        <f t="shared" si="1"/>
        <v>24</v>
      </c>
      <c r="AZ6">
        <f t="shared" si="1"/>
        <v>25</v>
      </c>
      <c r="BA6">
        <f t="shared" si="1"/>
        <v>26</v>
      </c>
      <c r="BB6">
        <f t="shared" si="1"/>
        <v>27</v>
      </c>
      <c r="BC6">
        <f t="shared" si="1"/>
        <v>28</v>
      </c>
      <c r="BD6">
        <f>+BC6+1</f>
        <v>29</v>
      </c>
      <c r="BE6">
        <f t="shared" si="1"/>
        <v>30</v>
      </c>
      <c r="BF6">
        <f t="shared" si="1"/>
        <v>31</v>
      </c>
    </row>
    <row r="7" spans="1:60" ht="17.45" customHeight="1">
      <c r="A7" s="13" t="s">
        <v>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4"/>
      <c r="W7" s="10"/>
      <c r="X7" s="8"/>
      <c r="Y7" s="8"/>
      <c r="Z7" s="8"/>
      <c r="AA7" t="s">
        <v>10</v>
      </c>
      <c r="AB7">
        <v>32</v>
      </c>
      <c r="AC7">
        <f t="shared" ref="AC7:AR17" si="2">AB7+1</f>
        <v>33</v>
      </c>
      <c r="AD7">
        <f t="shared" si="2"/>
        <v>34</v>
      </c>
      <c r="AE7">
        <f t="shared" si="2"/>
        <v>35</v>
      </c>
      <c r="AF7">
        <f t="shared" si="2"/>
        <v>36</v>
      </c>
      <c r="AG7">
        <f t="shared" si="2"/>
        <v>37</v>
      </c>
      <c r="AH7">
        <f t="shared" si="2"/>
        <v>38</v>
      </c>
      <c r="AI7">
        <f t="shared" si="2"/>
        <v>39</v>
      </c>
      <c r="AJ7">
        <f t="shared" si="2"/>
        <v>40</v>
      </c>
      <c r="AK7">
        <f t="shared" si="2"/>
        <v>41</v>
      </c>
      <c r="AL7">
        <f t="shared" si="2"/>
        <v>42</v>
      </c>
      <c r="AM7">
        <f t="shared" si="2"/>
        <v>43</v>
      </c>
      <c r="AN7">
        <f t="shared" si="2"/>
        <v>44</v>
      </c>
      <c r="AO7">
        <f t="shared" si="2"/>
        <v>45</v>
      </c>
      <c r="AP7">
        <f t="shared" si="2"/>
        <v>46</v>
      </c>
      <c r="AQ7">
        <f t="shared" si="2"/>
        <v>47</v>
      </c>
      <c r="AR7">
        <f t="shared" si="2"/>
        <v>48</v>
      </c>
      <c r="AS7">
        <f t="shared" ref="AS7:BF17" si="3">AR7+1</f>
        <v>49</v>
      </c>
      <c r="AT7">
        <f t="shared" si="3"/>
        <v>50</v>
      </c>
      <c r="AU7">
        <f t="shared" si="3"/>
        <v>51</v>
      </c>
      <c r="AV7">
        <f t="shared" si="3"/>
        <v>52</v>
      </c>
      <c r="AW7">
        <f t="shared" si="3"/>
        <v>53</v>
      </c>
      <c r="AX7">
        <f t="shared" si="3"/>
        <v>54</v>
      </c>
      <c r="AY7">
        <f t="shared" si="3"/>
        <v>55</v>
      </c>
      <c r="AZ7">
        <f t="shared" si="3"/>
        <v>56</v>
      </c>
      <c r="BA7">
        <f t="shared" si="3"/>
        <v>57</v>
      </c>
      <c r="BB7">
        <f t="shared" si="3"/>
        <v>58</v>
      </c>
      <c r="BC7">
        <f t="shared" si="3"/>
        <v>59</v>
      </c>
    </row>
    <row r="8" spans="1:60" ht="17.45" customHeight="1">
      <c r="A8" s="15" t="s">
        <v>95</v>
      </c>
      <c r="B8" s="68">
        <f>[1]Productivity!Y8</f>
        <v>3143</v>
      </c>
      <c r="C8" s="68">
        <f>[1]Productivity!Z8</f>
        <v>3257700</v>
      </c>
      <c r="D8" s="68">
        <f>[1]Productivity!AA8</f>
        <v>3405500</v>
      </c>
      <c r="E8" s="68">
        <f>[1]Productivity!AB8</f>
        <v>3587900</v>
      </c>
      <c r="F8" s="68">
        <f>[1]Productivity!AC8</f>
        <v>3496800</v>
      </c>
      <c r="G8" s="68">
        <f>[1]Productivity!AD8</f>
        <v>3461200</v>
      </c>
      <c r="H8" s="68">
        <f>[1]Productivity!AE8</f>
        <v>3529900</v>
      </c>
      <c r="I8" s="68">
        <f>[1]Productivity!AF8</f>
        <v>3224900</v>
      </c>
      <c r="J8" s="68">
        <f>[1]Productivity!AG8</f>
        <v>4072500</v>
      </c>
      <c r="K8" s="68">
        <f>[1]Productivity!AH8</f>
        <v>3657735</v>
      </c>
      <c r="L8" s="68">
        <f>[1]Productivity!AI8</f>
        <v>3643200</v>
      </c>
      <c r="M8" s="68">
        <f>[1]Productivity!AJ8</f>
        <v>3490200</v>
      </c>
      <c r="N8" s="68">
        <f>[1]Productivity!AK8</f>
        <v>3527100</v>
      </c>
      <c r="O8" s="68">
        <f>[1]Productivity!AL8</f>
        <v>3406200</v>
      </c>
      <c r="P8" s="68">
        <f>[1]Productivity!AM8</f>
        <v>3441400</v>
      </c>
      <c r="Q8" s="68">
        <f>[1]Productivity!AN8</f>
        <v>3101500</v>
      </c>
      <c r="R8" s="68">
        <f>[1]Productivity!AO8</f>
        <v>2827300</v>
      </c>
      <c r="S8" s="68">
        <f>[1]Productivity!AP8</f>
        <v>2797700</v>
      </c>
      <c r="T8" s="68">
        <f>[1]Productivity!AQ8</f>
        <v>2903900</v>
      </c>
      <c r="U8" s="68">
        <f>[1]Productivity!AR8</f>
        <v>2517514</v>
      </c>
      <c r="V8" s="68">
        <f>[1]Productivity!AS8</f>
        <v>2649021</v>
      </c>
      <c r="W8" s="68">
        <v>2856736</v>
      </c>
      <c r="X8" s="69" t="s">
        <v>11</v>
      </c>
      <c r="Y8" s="68"/>
      <c r="Z8" s="68"/>
      <c r="AA8" t="s">
        <v>12</v>
      </c>
      <c r="AB8">
        <v>60</v>
      </c>
      <c r="AC8">
        <f t="shared" si="2"/>
        <v>61</v>
      </c>
      <c r="AD8">
        <f t="shared" si="2"/>
        <v>62</v>
      </c>
      <c r="AE8">
        <f t="shared" si="2"/>
        <v>63</v>
      </c>
      <c r="AF8">
        <f t="shared" si="2"/>
        <v>64</v>
      </c>
      <c r="AG8">
        <f t="shared" si="2"/>
        <v>65</v>
      </c>
      <c r="AH8">
        <f t="shared" si="2"/>
        <v>66</v>
      </c>
      <c r="AI8">
        <f t="shared" si="2"/>
        <v>67</v>
      </c>
      <c r="AJ8">
        <f t="shared" si="2"/>
        <v>68</v>
      </c>
      <c r="AK8">
        <f t="shared" si="2"/>
        <v>69</v>
      </c>
      <c r="AL8">
        <f t="shared" si="2"/>
        <v>70</v>
      </c>
      <c r="AM8">
        <f t="shared" si="2"/>
        <v>71</v>
      </c>
      <c r="AN8">
        <f t="shared" si="2"/>
        <v>72</v>
      </c>
      <c r="AO8">
        <f t="shared" si="2"/>
        <v>73</v>
      </c>
      <c r="AP8">
        <f t="shared" si="2"/>
        <v>74</v>
      </c>
      <c r="AQ8">
        <f t="shared" si="2"/>
        <v>75</v>
      </c>
      <c r="AR8">
        <f t="shared" si="2"/>
        <v>76</v>
      </c>
      <c r="AS8">
        <f t="shared" si="3"/>
        <v>77</v>
      </c>
      <c r="AT8">
        <f t="shared" si="3"/>
        <v>78</v>
      </c>
      <c r="AU8">
        <f t="shared" si="3"/>
        <v>79</v>
      </c>
      <c r="AV8">
        <f t="shared" si="3"/>
        <v>80</v>
      </c>
      <c r="AW8">
        <f t="shared" si="3"/>
        <v>81</v>
      </c>
      <c r="AX8">
        <f t="shared" si="3"/>
        <v>82</v>
      </c>
      <c r="AY8">
        <f t="shared" si="3"/>
        <v>83</v>
      </c>
      <c r="AZ8">
        <f t="shared" si="3"/>
        <v>84</v>
      </c>
      <c r="BA8">
        <f t="shared" si="3"/>
        <v>85</v>
      </c>
      <c r="BB8">
        <f t="shared" si="3"/>
        <v>86</v>
      </c>
      <c r="BC8">
        <f t="shared" si="3"/>
        <v>87</v>
      </c>
      <c r="BD8">
        <f t="shared" si="3"/>
        <v>88</v>
      </c>
      <c r="BE8">
        <f t="shared" si="3"/>
        <v>89</v>
      </c>
      <c r="BF8">
        <f t="shared" si="3"/>
        <v>90</v>
      </c>
    </row>
    <row r="9" spans="1:60" ht="17.45" customHeight="1">
      <c r="A9" s="16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Y9" s="68"/>
      <c r="Z9" s="68"/>
      <c r="AA9" t="s">
        <v>13</v>
      </c>
      <c r="AB9">
        <v>91</v>
      </c>
      <c r="AC9">
        <f t="shared" si="2"/>
        <v>92</v>
      </c>
      <c r="AD9">
        <f t="shared" si="2"/>
        <v>93</v>
      </c>
      <c r="AE9">
        <f t="shared" si="2"/>
        <v>94</v>
      </c>
      <c r="AF9">
        <f t="shared" si="2"/>
        <v>95</v>
      </c>
      <c r="AG9">
        <f t="shared" si="2"/>
        <v>96</v>
      </c>
      <c r="AH9">
        <f t="shared" si="2"/>
        <v>97</v>
      </c>
      <c r="AI9">
        <f t="shared" si="2"/>
        <v>98</v>
      </c>
      <c r="AJ9">
        <f t="shared" si="2"/>
        <v>99</v>
      </c>
      <c r="AK9">
        <f t="shared" si="2"/>
        <v>100</v>
      </c>
      <c r="AL9">
        <f t="shared" si="2"/>
        <v>101</v>
      </c>
      <c r="AM9">
        <f t="shared" si="2"/>
        <v>102</v>
      </c>
      <c r="AN9">
        <f t="shared" si="2"/>
        <v>103</v>
      </c>
      <c r="AO9">
        <f t="shared" si="2"/>
        <v>104</v>
      </c>
      <c r="AP9">
        <f t="shared" si="2"/>
        <v>105</v>
      </c>
      <c r="AQ9">
        <f t="shared" si="2"/>
        <v>106</v>
      </c>
      <c r="AR9">
        <f t="shared" si="2"/>
        <v>107</v>
      </c>
      <c r="AS9">
        <f t="shared" si="3"/>
        <v>108</v>
      </c>
      <c r="AT9">
        <f t="shared" si="3"/>
        <v>109</v>
      </c>
      <c r="AU9">
        <f t="shared" si="3"/>
        <v>110</v>
      </c>
      <c r="AV9">
        <f t="shared" si="3"/>
        <v>111</v>
      </c>
      <c r="AW9">
        <f t="shared" si="3"/>
        <v>112</v>
      </c>
      <c r="AX9">
        <f t="shared" si="3"/>
        <v>113</v>
      </c>
      <c r="AY9">
        <f t="shared" si="3"/>
        <v>114</v>
      </c>
      <c r="AZ9">
        <f t="shared" si="3"/>
        <v>115</v>
      </c>
      <c r="BA9">
        <f t="shared" si="3"/>
        <v>116</v>
      </c>
      <c r="BB9">
        <f t="shared" si="3"/>
        <v>117</v>
      </c>
      <c r="BC9">
        <f t="shared" si="3"/>
        <v>118</v>
      </c>
      <c r="BD9">
        <f t="shared" si="3"/>
        <v>119</v>
      </c>
      <c r="BE9">
        <f t="shared" si="3"/>
        <v>120</v>
      </c>
    </row>
    <row r="10" spans="1:60" ht="17.45" customHeight="1">
      <c r="A10" t="str">
        <f>[1]Productivity!A10</f>
        <v>Steers Number</v>
      </c>
      <c r="B10" s="68">
        <f>[1]Productivity!Y10</f>
        <v>1502733.1584787467</v>
      </c>
      <c r="C10" s="68">
        <f>[1]Productivity!Z10</f>
        <v>1461627</v>
      </c>
      <c r="D10" s="68">
        <f>[1]Productivity!AA10</f>
        <v>1499626</v>
      </c>
      <c r="E10" s="68">
        <f>[1]Productivity!AB10</f>
        <v>1644543</v>
      </c>
      <c r="F10" s="68">
        <f>[1]Productivity!AC10</f>
        <v>1667040</v>
      </c>
      <c r="G10" s="68">
        <f>[1]Productivity!AD10</f>
        <v>1624871</v>
      </c>
      <c r="H10" s="68">
        <f>[1]Productivity!AE10</f>
        <v>1674532</v>
      </c>
      <c r="I10" s="68">
        <f>[1]Productivity!AF10</f>
        <v>1592351</v>
      </c>
      <c r="J10" s="68">
        <f>[1]Productivity!AG10</f>
        <v>1899606</v>
      </c>
      <c r="K10" s="68">
        <f>[1]Productivity!AH10</f>
        <v>1812713</v>
      </c>
      <c r="L10" s="68">
        <f>[1]Productivity!AI10</f>
        <v>1531480</v>
      </c>
      <c r="M10" s="68">
        <f>[1]Productivity!AJ10</f>
        <v>1459428</v>
      </c>
      <c r="N10" s="68">
        <f>[1]Productivity!AK10</f>
        <v>1488588</v>
      </c>
      <c r="O10" s="68">
        <f>[1]Productivity!AL10</f>
        <v>1520831</v>
      </c>
      <c r="P10" s="68">
        <f>[1]Productivity!AM10</f>
        <v>1545105</v>
      </c>
      <c r="Q10" s="68">
        <f>[1]Productivity!AN10</f>
        <v>1443183</v>
      </c>
      <c r="R10" s="68">
        <f>[1]Productivity!AO10</f>
        <v>1354578</v>
      </c>
      <c r="S10" s="68">
        <f>[1]Productivity!AP10</f>
        <v>1344108</v>
      </c>
      <c r="T10" s="68">
        <f>[1]Productivity!AQ10</f>
        <v>1413141</v>
      </c>
      <c r="U10" s="68">
        <f>[1]Productivity!AR10</f>
        <v>1408535</v>
      </c>
      <c r="V10" s="68">
        <f>[1]Productivity!AS10</f>
        <v>1465996</v>
      </c>
      <c r="W10" s="68">
        <f>[1]Productivity!AT10</f>
        <v>1499887</v>
      </c>
      <c r="X10" s="68">
        <f>[1]Productivity!AU10</f>
        <v>1598958</v>
      </c>
      <c r="Y10" s="68">
        <f>[1]Productivity!AV10</f>
        <v>1712761</v>
      </c>
      <c r="Z10" s="68">
        <f>(202622/1.5)*12</f>
        <v>1620976</v>
      </c>
      <c r="AA10" t="s">
        <v>14</v>
      </c>
      <c r="AB10">
        <v>121</v>
      </c>
      <c r="AC10">
        <f t="shared" si="2"/>
        <v>122</v>
      </c>
      <c r="AD10">
        <f t="shared" si="2"/>
        <v>123</v>
      </c>
      <c r="AE10">
        <f t="shared" si="2"/>
        <v>124</v>
      </c>
      <c r="AF10">
        <f t="shared" si="2"/>
        <v>125</v>
      </c>
      <c r="AG10">
        <f t="shared" si="2"/>
        <v>126</v>
      </c>
      <c r="AH10">
        <f t="shared" si="2"/>
        <v>127</v>
      </c>
      <c r="AI10">
        <f t="shared" si="2"/>
        <v>128</v>
      </c>
      <c r="AJ10">
        <f t="shared" si="2"/>
        <v>129</v>
      </c>
      <c r="AK10">
        <f t="shared" si="2"/>
        <v>130</v>
      </c>
      <c r="AL10">
        <f t="shared" si="2"/>
        <v>131</v>
      </c>
      <c r="AM10">
        <f t="shared" si="2"/>
        <v>132</v>
      </c>
      <c r="AN10">
        <f t="shared" si="2"/>
        <v>133</v>
      </c>
      <c r="AO10">
        <f t="shared" si="2"/>
        <v>134</v>
      </c>
      <c r="AP10">
        <f t="shared" si="2"/>
        <v>135</v>
      </c>
      <c r="AQ10">
        <f t="shared" si="2"/>
        <v>136</v>
      </c>
      <c r="AR10">
        <f t="shared" si="2"/>
        <v>137</v>
      </c>
      <c r="AS10">
        <f t="shared" si="3"/>
        <v>138</v>
      </c>
      <c r="AT10">
        <f t="shared" si="3"/>
        <v>139</v>
      </c>
      <c r="AU10">
        <f t="shared" si="3"/>
        <v>140</v>
      </c>
      <c r="AV10">
        <f t="shared" si="3"/>
        <v>141</v>
      </c>
      <c r="AW10">
        <f t="shared" si="3"/>
        <v>142</v>
      </c>
      <c r="AX10">
        <f t="shared" si="3"/>
        <v>143</v>
      </c>
      <c r="AY10">
        <f t="shared" si="3"/>
        <v>144</v>
      </c>
      <c r="AZ10">
        <f t="shared" si="3"/>
        <v>145</v>
      </c>
      <c r="BA10">
        <f t="shared" si="3"/>
        <v>146</v>
      </c>
      <c r="BB10">
        <f t="shared" si="3"/>
        <v>147</v>
      </c>
      <c r="BC10">
        <f t="shared" si="3"/>
        <v>148</v>
      </c>
      <c r="BD10">
        <f t="shared" si="3"/>
        <v>149</v>
      </c>
      <c r="BE10">
        <f t="shared" si="3"/>
        <v>150</v>
      </c>
      <c r="BF10">
        <f t="shared" si="3"/>
        <v>151</v>
      </c>
    </row>
    <row r="11" spans="1:60" ht="17.45" customHeight="1">
      <c r="A11" t="str">
        <f>[1]Productivity!A11</f>
        <v>Heifers</v>
      </c>
      <c r="B11" s="68">
        <f>[1]Productivity!Y11</f>
        <v>730926.71000871493</v>
      </c>
      <c r="C11" s="68">
        <f>[1]Productivity!Z11</f>
        <v>918097</v>
      </c>
      <c r="D11" s="68">
        <f>[1]Productivity!AA11</f>
        <v>1004415</v>
      </c>
      <c r="E11" s="68">
        <f>[1]Productivity!AB11</f>
        <v>1159994</v>
      </c>
      <c r="F11" s="68">
        <f>[1]Productivity!AC11</f>
        <v>1113925</v>
      </c>
      <c r="G11" s="68">
        <f>[1]Productivity!AD11</f>
        <v>1097565</v>
      </c>
      <c r="H11" s="68">
        <f>[1]Productivity!AE11</f>
        <v>1116291</v>
      </c>
      <c r="I11" s="68">
        <f>[1]Productivity!AF11</f>
        <v>986120</v>
      </c>
      <c r="J11" s="68">
        <f>[1]Productivity!AG11</f>
        <v>1324089</v>
      </c>
      <c r="K11" s="68">
        <f>[1]Productivity!AH11</f>
        <v>1255235</v>
      </c>
      <c r="L11" s="68">
        <f>[1]Productivity!AI11</f>
        <v>1064577</v>
      </c>
      <c r="M11" s="68">
        <f>[1]Productivity!AJ11</f>
        <v>1009653</v>
      </c>
      <c r="N11" s="68">
        <f>[1]Productivity!AK11</f>
        <v>994068</v>
      </c>
      <c r="O11" s="68">
        <f>[1]Productivity!AL11</f>
        <v>999361</v>
      </c>
      <c r="P11" s="68">
        <f>[1]Productivity!AM11</f>
        <v>1062659</v>
      </c>
      <c r="Q11" s="68">
        <f>[1]Productivity!AN11</f>
        <v>919997</v>
      </c>
      <c r="R11" s="68">
        <f>[1]Productivity!AO11</f>
        <v>830364</v>
      </c>
      <c r="S11" s="68">
        <f>[1]Productivity!AP11</f>
        <v>780515</v>
      </c>
      <c r="T11" s="68">
        <f>[1]Productivity!AQ11</f>
        <v>843330</v>
      </c>
      <c r="U11" s="68">
        <f>[1]Productivity!AR11</f>
        <v>746106</v>
      </c>
      <c r="V11" s="68">
        <f>[1]Productivity!AS11</f>
        <v>777629</v>
      </c>
      <c r="W11" s="68">
        <f>[1]Productivity!AT11</f>
        <v>866047</v>
      </c>
      <c r="X11" s="68">
        <f>[1]Productivity!AU11</f>
        <v>889953</v>
      </c>
      <c r="Y11" s="68">
        <f>[1]Productivity!AV11</f>
        <v>913450</v>
      </c>
      <c r="Z11" s="68">
        <f>(116277/1.5)*12</f>
        <v>930216</v>
      </c>
      <c r="AA11" t="s">
        <v>15</v>
      </c>
      <c r="AB11">
        <v>152</v>
      </c>
      <c r="AC11">
        <f t="shared" si="2"/>
        <v>153</v>
      </c>
      <c r="AD11">
        <f t="shared" si="2"/>
        <v>154</v>
      </c>
      <c r="AE11">
        <f t="shared" si="2"/>
        <v>155</v>
      </c>
      <c r="AF11">
        <f t="shared" si="2"/>
        <v>156</v>
      </c>
      <c r="AG11">
        <f t="shared" si="2"/>
        <v>157</v>
      </c>
      <c r="AH11">
        <f t="shared" si="2"/>
        <v>158</v>
      </c>
      <c r="AI11">
        <f t="shared" si="2"/>
        <v>159</v>
      </c>
      <c r="AJ11">
        <f t="shared" si="2"/>
        <v>160</v>
      </c>
      <c r="AK11">
        <f t="shared" si="2"/>
        <v>161</v>
      </c>
      <c r="AL11">
        <f t="shared" si="2"/>
        <v>162</v>
      </c>
      <c r="AM11">
        <f t="shared" si="2"/>
        <v>163</v>
      </c>
      <c r="AN11">
        <f t="shared" si="2"/>
        <v>164</v>
      </c>
      <c r="AO11">
        <f t="shared" si="2"/>
        <v>165</v>
      </c>
      <c r="AP11">
        <f t="shared" si="2"/>
        <v>166</v>
      </c>
      <c r="AQ11">
        <f t="shared" si="2"/>
        <v>167</v>
      </c>
      <c r="AR11">
        <f t="shared" si="2"/>
        <v>168</v>
      </c>
      <c r="AS11">
        <f t="shared" si="3"/>
        <v>169</v>
      </c>
      <c r="AT11">
        <f t="shared" si="3"/>
        <v>170</v>
      </c>
      <c r="AU11">
        <f t="shared" si="3"/>
        <v>171</v>
      </c>
      <c r="AV11">
        <f t="shared" si="3"/>
        <v>172</v>
      </c>
      <c r="AW11">
        <f t="shared" si="3"/>
        <v>173</v>
      </c>
      <c r="AX11">
        <f t="shared" si="3"/>
        <v>174</v>
      </c>
      <c r="AY11">
        <f t="shared" si="3"/>
        <v>175</v>
      </c>
      <c r="AZ11">
        <f t="shared" si="3"/>
        <v>176</v>
      </c>
      <c r="BA11">
        <f t="shared" si="3"/>
        <v>177</v>
      </c>
      <c r="BB11">
        <f t="shared" si="3"/>
        <v>178</v>
      </c>
      <c r="BC11">
        <f t="shared" si="3"/>
        <v>179</v>
      </c>
      <c r="BD11">
        <f t="shared" si="3"/>
        <v>180</v>
      </c>
      <c r="BE11">
        <f t="shared" si="3"/>
        <v>181</v>
      </c>
    </row>
    <row r="12" spans="1:60" ht="17.45" customHeight="1">
      <c r="A12" t="str">
        <f>[1]Productivity!A12</f>
        <v>Cows</v>
      </c>
      <c r="B12" s="68">
        <f>[1]Productivity!Y12</f>
        <v>516303.18069700018</v>
      </c>
      <c r="C12" s="68">
        <f>[1]Productivity!Z12</f>
        <v>588446</v>
      </c>
      <c r="D12" s="68">
        <f>[1]Productivity!AA12</f>
        <v>523466</v>
      </c>
      <c r="E12" s="68">
        <f>[1]Productivity!AB12</f>
        <v>507316</v>
      </c>
      <c r="F12" s="68">
        <f>[1]Productivity!AC12</f>
        <v>459969</v>
      </c>
      <c r="G12" s="68">
        <f>[1]Productivity!AD12</f>
        <v>475723</v>
      </c>
      <c r="H12" s="68">
        <f>[1]Productivity!AE12</f>
        <v>497002</v>
      </c>
      <c r="I12" s="68">
        <f>[1]Productivity!AF12</f>
        <v>330525</v>
      </c>
      <c r="J12" s="68">
        <f>[1]Productivity!AG12</f>
        <v>406798</v>
      </c>
      <c r="K12" s="68">
        <f>[1]Productivity!AH12</f>
        <v>545211</v>
      </c>
      <c r="L12" s="68">
        <f>[1]Productivity!AI12</f>
        <v>676259</v>
      </c>
      <c r="M12" s="68">
        <f>[1]Productivity!AJ12</f>
        <v>684442</v>
      </c>
      <c r="N12" s="68">
        <f>[1]Productivity!AK12</f>
        <v>750838</v>
      </c>
      <c r="O12" s="68">
        <f>[1]Productivity!AL12</f>
        <v>602855</v>
      </c>
      <c r="P12" s="68">
        <f>[1]Productivity!AM12</f>
        <v>573247</v>
      </c>
      <c r="Q12" s="68">
        <f>[1]Productivity!AN12</f>
        <v>501212</v>
      </c>
      <c r="R12" s="68">
        <f>[1]Productivity!AO12</f>
        <v>412390</v>
      </c>
      <c r="S12" s="68">
        <f>[1]Productivity!AP12</f>
        <v>456177</v>
      </c>
      <c r="T12" s="68">
        <f>[1]Productivity!AQ12</f>
        <v>409933</v>
      </c>
      <c r="U12" s="68">
        <f>[1]Productivity!AR12</f>
        <v>352508</v>
      </c>
      <c r="V12" s="68">
        <f>[1]Productivity!AS12</f>
        <v>391840</v>
      </c>
      <c r="W12" s="68">
        <f>[1]Productivity!AT12</f>
        <v>444862</v>
      </c>
      <c r="X12" s="68">
        <f>[1]Productivity!AU12</f>
        <v>505159</v>
      </c>
      <c r="Y12" s="68">
        <f>[1]Productivity!AV12</f>
        <v>507299</v>
      </c>
      <c r="Z12" s="68">
        <f>(74453/1.5)*12</f>
        <v>595624</v>
      </c>
      <c r="AA12" t="s">
        <v>16</v>
      </c>
      <c r="AB12">
        <v>182</v>
      </c>
      <c r="AC12">
        <f t="shared" si="2"/>
        <v>183</v>
      </c>
      <c r="AD12">
        <f t="shared" si="2"/>
        <v>184</v>
      </c>
      <c r="AE12">
        <f t="shared" si="2"/>
        <v>185</v>
      </c>
      <c r="AF12">
        <f t="shared" si="2"/>
        <v>186</v>
      </c>
      <c r="AG12">
        <f t="shared" si="2"/>
        <v>187</v>
      </c>
      <c r="AH12">
        <f t="shared" si="2"/>
        <v>188</v>
      </c>
      <c r="AI12">
        <f t="shared" si="2"/>
        <v>189</v>
      </c>
      <c r="AJ12">
        <f t="shared" si="2"/>
        <v>190</v>
      </c>
      <c r="AK12">
        <f t="shared" si="2"/>
        <v>191</v>
      </c>
      <c r="AL12">
        <f t="shared" si="2"/>
        <v>192</v>
      </c>
      <c r="AM12">
        <f t="shared" si="2"/>
        <v>193</v>
      </c>
      <c r="AN12">
        <f t="shared" si="2"/>
        <v>194</v>
      </c>
      <c r="AO12">
        <f t="shared" si="2"/>
        <v>195</v>
      </c>
      <c r="AP12">
        <f t="shared" si="2"/>
        <v>196</v>
      </c>
      <c r="AQ12">
        <f t="shared" si="2"/>
        <v>197</v>
      </c>
      <c r="AR12">
        <f t="shared" si="2"/>
        <v>198</v>
      </c>
      <c r="AS12">
        <f t="shared" si="3"/>
        <v>199</v>
      </c>
      <c r="AT12">
        <f t="shared" si="3"/>
        <v>200</v>
      </c>
      <c r="AU12">
        <f t="shared" si="3"/>
        <v>201</v>
      </c>
      <c r="AV12">
        <f t="shared" si="3"/>
        <v>202</v>
      </c>
      <c r="AW12">
        <f t="shared" si="3"/>
        <v>203</v>
      </c>
      <c r="AX12">
        <f t="shared" si="3"/>
        <v>204</v>
      </c>
      <c r="AY12">
        <f t="shared" si="3"/>
        <v>205</v>
      </c>
      <c r="AZ12">
        <f t="shared" si="3"/>
        <v>206</v>
      </c>
      <c r="BA12">
        <f t="shared" si="3"/>
        <v>207</v>
      </c>
      <c r="BB12">
        <f t="shared" si="3"/>
        <v>208</v>
      </c>
      <c r="BC12">
        <f t="shared" si="3"/>
        <v>209</v>
      </c>
      <c r="BD12">
        <f t="shared" si="3"/>
        <v>210</v>
      </c>
      <c r="BE12">
        <f t="shared" si="3"/>
        <v>211</v>
      </c>
      <c r="BF12">
        <f t="shared" si="3"/>
        <v>212</v>
      </c>
    </row>
    <row r="13" spans="1:60" ht="17.45" customHeight="1">
      <c r="A13" t="str">
        <f>[1]Productivity!A13</f>
        <v>Bulls</v>
      </c>
      <c r="B13" s="68">
        <f>[1]Productivity!Y13</f>
        <v>41336.950815538206</v>
      </c>
      <c r="C13" s="68">
        <f>[1]Productivity!Z13</f>
        <v>24801</v>
      </c>
      <c r="D13" s="68">
        <f>[1]Productivity!AA13</f>
        <v>23277</v>
      </c>
      <c r="E13" s="68">
        <f>[1]Productivity!AB13</f>
        <v>28131</v>
      </c>
      <c r="F13" s="68">
        <f>[1]Productivity!AC13</f>
        <v>18120</v>
      </c>
      <c r="G13" s="68">
        <f>[1]Productivity!AD13</f>
        <v>12040</v>
      </c>
      <c r="H13" s="68">
        <f>[1]Productivity!AE13</f>
        <v>9843</v>
      </c>
      <c r="I13" s="68">
        <f>[1]Productivity!AF13</f>
        <v>14631</v>
      </c>
      <c r="J13" s="68">
        <f>[1]Productivity!AG13</f>
        <v>32983</v>
      </c>
      <c r="K13" s="68">
        <f>[1]Productivity!AH13</f>
        <v>46995</v>
      </c>
      <c r="L13" s="68">
        <f>[1]Productivity!AI13</f>
        <v>44415</v>
      </c>
      <c r="M13" s="68">
        <f>[1]Productivity!AJ13</f>
        <v>45591</v>
      </c>
      <c r="N13" s="68">
        <f>[1]Productivity!AK13</f>
        <v>20390</v>
      </c>
      <c r="O13" s="68">
        <f>[1]Productivity!AL13</f>
        <v>15992</v>
      </c>
      <c r="P13" s="68">
        <f>[1]Productivity!AM13</f>
        <v>29294</v>
      </c>
      <c r="Q13" s="68">
        <f>[1]Productivity!AN13</f>
        <v>25235</v>
      </c>
      <c r="R13" s="68">
        <f>[1]Productivity!AO13</f>
        <v>13821</v>
      </c>
      <c r="S13" s="68">
        <f>[1]Productivity!AP13</f>
        <v>4890</v>
      </c>
      <c r="T13" s="68">
        <f>[1]Productivity!AQ13</f>
        <v>6358</v>
      </c>
      <c r="U13" s="68">
        <f>[1]Productivity!AR13</f>
        <v>10364</v>
      </c>
      <c r="V13" s="68">
        <f>[1]Productivity!AS13</f>
        <v>13556</v>
      </c>
      <c r="W13" s="68">
        <f>[1]Productivity!AT13</f>
        <v>18230</v>
      </c>
      <c r="X13" s="68">
        <f>[1]Productivity!AU13</f>
        <v>17397</v>
      </c>
      <c r="Y13" s="68">
        <f>[1]Productivity!AV13</f>
        <v>15993</v>
      </c>
      <c r="Z13" s="68">
        <f>(1650/1.5)*12</f>
        <v>13200</v>
      </c>
      <c r="AA13" t="s">
        <v>17</v>
      </c>
      <c r="AB13">
        <v>213</v>
      </c>
      <c r="AC13">
        <f t="shared" si="2"/>
        <v>214</v>
      </c>
      <c r="AD13">
        <f t="shared" si="2"/>
        <v>215</v>
      </c>
      <c r="AE13">
        <f t="shared" si="2"/>
        <v>216</v>
      </c>
      <c r="AF13">
        <f t="shared" si="2"/>
        <v>217</v>
      </c>
      <c r="AG13">
        <f t="shared" si="2"/>
        <v>218</v>
      </c>
      <c r="AH13">
        <f t="shared" si="2"/>
        <v>219</v>
      </c>
      <c r="AI13">
        <f t="shared" si="2"/>
        <v>220</v>
      </c>
      <c r="AJ13">
        <f t="shared" si="2"/>
        <v>221</v>
      </c>
      <c r="AK13">
        <f t="shared" si="2"/>
        <v>222</v>
      </c>
      <c r="AL13">
        <f t="shared" si="2"/>
        <v>223</v>
      </c>
      <c r="AM13">
        <f t="shared" si="2"/>
        <v>224</v>
      </c>
      <c r="AN13">
        <f t="shared" si="2"/>
        <v>225</v>
      </c>
      <c r="AO13">
        <f t="shared" si="2"/>
        <v>226</v>
      </c>
      <c r="AP13">
        <f t="shared" si="2"/>
        <v>227</v>
      </c>
      <c r="AQ13">
        <f t="shared" si="2"/>
        <v>228</v>
      </c>
      <c r="AR13">
        <f t="shared" si="2"/>
        <v>229</v>
      </c>
      <c r="AS13">
        <f t="shared" si="3"/>
        <v>230</v>
      </c>
      <c r="AT13">
        <f t="shared" si="3"/>
        <v>231</v>
      </c>
      <c r="AU13">
        <f t="shared" si="3"/>
        <v>232</v>
      </c>
      <c r="AV13">
        <f t="shared" si="3"/>
        <v>233</v>
      </c>
      <c r="AW13">
        <f t="shared" si="3"/>
        <v>234</v>
      </c>
      <c r="AX13">
        <f t="shared" si="3"/>
        <v>235</v>
      </c>
      <c r="AY13">
        <f t="shared" si="3"/>
        <v>236</v>
      </c>
      <c r="AZ13">
        <f t="shared" si="3"/>
        <v>237</v>
      </c>
      <c r="BA13">
        <f t="shared" si="3"/>
        <v>238</v>
      </c>
      <c r="BB13">
        <f t="shared" si="3"/>
        <v>239</v>
      </c>
      <c r="BC13">
        <f t="shared" si="3"/>
        <v>240</v>
      </c>
      <c r="BD13">
        <f t="shared" si="3"/>
        <v>241</v>
      </c>
      <c r="BE13">
        <f t="shared" si="3"/>
        <v>242</v>
      </c>
      <c r="BF13">
        <f t="shared" si="3"/>
        <v>243</v>
      </c>
    </row>
    <row r="14" spans="1:60" ht="17.45" customHeight="1">
      <c r="A14" s="18" t="s">
        <v>18</v>
      </c>
      <c r="B14" s="114">
        <f>SUM(B10:B13)</f>
        <v>2791300</v>
      </c>
      <c r="C14" s="114">
        <f t="shared" ref="C14:Z14" si="4">SUM(C10:C13)</f>
        <v>2992971</v>
      </c>
      <c r="D14" s="114">
        <f t="shared" si="4"/>
        <v>3050784</v>
      </c>
      <c r="E14" s="114">
        <f t="shared" si="4"/>
        <v>3339984</v>
      </c>
      <c r="F14" s="114">
        <f t="shared" si="4"/>
        <v>3259054</v>
      </c>
      <c r="G14" s="114">
        <f t="shared" si="4"/>
        <v>3210199</v>
      </c>
      <c r="H14" s="114">
        <f t="shared" si="4"/>
        <v>3297668</v>
      </c>
      <c r="I14" s="114">
        <f t="shared" si="4"/>
        <v>2923627</v>
      </c>
      <c r="J14" s="114">
        <f t="shared" si="4"/>
        <v>3663476</v>
      </c>
      <c r="K14" s="114">
        <f t="shared" si="4"/>
        <v>3660154</v>
      </c>
      <c r="L14" s="114">
        <f t="shared" si="4"/>
        <v>3316731</v>
      </c>
      <c r="M14" s="114">
        <f t="shared" si="4"/>
        <v>3199114</v>
      </c>
      <c r="N14" s="114">
        <f t="shared" si="4"/>
        <v>3253884</v>
      </c>
      <c r="O14" s="114">
        <f t="shared" si="4"/>
        <v>3139039</v>
      </c>
      <c r="P14" s="114">
        <f t="shared" si="4"/>
        <v>3210305</v>
      </c>
      <c r="Q14" s="114">
        <f t="shared" si="4"/>
        <v>2889627</v>
      </c>
      <c r="R14" s="114">
        <f t="shared" si="4"/>
        <v>2611153</v>
      </c>
      <c r="S14" s="114">
        <f t="shared" si="4"/>
        <v>2585690</v>
      </c>
      <c r="T14" s="114">
        <f t="shared" si="4"/>
        <v>2672762</v>
      </c>
      <c r="U14" s="114">
        <f t="shared" si="4"/>
        <v>2517513</v>
      </c>
      <c r="V14" s="114">
        <f t="shared" si="4"/>
        <v>2649021</v>
      </c>
      <c r="W14" s="114">
        <f t="shared" si="4"/>
        <v>2829026</v>
      </c>
      <c r="X14" s="114">
        <f t="shared" si="4"/>
        <v>3011467</v>
      </c>
      <c r="Y14" s="114">
        <f t="shared" si="4"/>
        <v>3149503</v>
      </c>
      <c r="Z14" s="114">
        <f t="shared" si="4"/>
        <v>3160016</v>
      </c>
      <c r="AA14" t="s">
        <v>19</v>
      </c>
      <c r="AB14">
        <v>244</v>
      </c>
      <c r="AC14">
        <f t="shared" si="2"/>
        <v>245</v>
      </c>
      <c r="AD14">
        <f t="shared" si="2"/>
        <v>246</v>
      </c>
      <c r="AE14">
        <f t="shared" si="2"/>
        <v>247</v>
      </c>
      <c r="AF14">
        <f t="shared" si="2"/>
        <v>248</v>
      </c>
      <c r="AG14">
        <f t="shared" si="2"/>
        <v>249</v>
      </c>
      <c r="AH14">
        <f t="shared" si="2"/>
        <v>250</v>
      </c>
      <c r="AI14">
        <f t="shared" si="2"/>
        <v>251</v>
      </c>
      <c r="AJ14">
        <f t="shared" si="2"/>
        <v>252</v>
      </c>
      <c r="AK14">
        <f t="shared" si="2"/>
        <v>253</v>
      </c>
      <c r="AL14">
        <f t="shared" si="2"/>
        <v>254</v>
      </c>
      <c r="AM14">
        <f t="shared" si="2"/>
        <v>255</v>
      </c>
      <c r="AN14">
        <f t="shared" si="2"/>
        <v>256</v>
      </c>
      <c r="AO14">
        <f t="shared" si="2"/>
        <v>257</v>
      </c>
      <c r="AP14">
        <f t="shared" si="2"/>
        <v>258</v>
      </c>
      <c r="AQ14">
        <f t="shared" si="2"/>
        <v>259</v>
      </c>
      <c r="AR14">
        <f t="shared" si="2"/>
        <v>260</v>
      </c>
      <c r="AS14">
        <f t="shared" si="3"/>
        <v>261</v>
      </c>
      <c r="AT14">
        <f t="shared" si="3"/>
        <v>262</v>
      </c>
      <c r="AU14">
        <f t="shared" si="3"/>
        <v>263</v>
      </c>
      <c r="AV14">
        <f t="shared" si="3"/>
        <v>264</v>
      </c>
      <c r="AW14">
        <f t="shared" si="3"/>
        <v>265</v>
      </c>
      <c r="AX14">
        <f t="shared" si="3"/>
        <v>266</v>
      </c>
      <c r="AY14">
        <f t="shared" si="3"/>
        <v>267</v>
      </c>
      <c r="AZ14">
        <f t="shared" si="3"/>
        <v>268</v>
      </c>
      <c r="BA14">
        <f t="shared" si="3"/>
        <v>269</v>
      </c>
      <c r="BB14">
        <f t="shared" si="3"/>
        <v>270</v>
      </c>
      <c r="BC14">
        <f t="shared" si="3"/>
        <v>271</v>
      </c>
      <c r="BD14">
        <f t="shared" si="3"/>
        <v>272</v>
      </c>
      <c r="BE14">
        <f t="shared" si="3"/>
        <v>273</v>
      </c>
    </row>
    <row r="15" spans="1:60" ht="17.45" customHeight="1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68"/>
      <c r="Z15" s="68"/>
      <c r="AA15" t="s">
        <v>20</v>
      </c>
      <c r="AB15">
        <v>274</v>
      </c>
      <c r="AC15">
        <f t="shared" si="2"/>
        <v>275</v>
      </c>
      <c r="AD15">
        <f t="shared" si="2"/>
        <v>276</v>
      </c>
      <c r="AE15">
        <f t="shared" si="2"/>
        <v>277</v>
      </c>
      <c r="AF15">
        <f t="shared" si="2"/>
        <v>278</v>
      </c>
      <c r="AG15">
        <f t="shared" si="2"/>
        <v>279</v>
      </c>
      <c r="AH15">
        <f t="shared" si="2"/>
        <v>280</v>
      </c>
      <c r="AI15">
        <f t="shared" si="2"/>
        <v>281</v>
      </c>
      <c r="AJ15">
        <f t="shared" si="2"/>
        <v>282</v>
      </c>
      <c r="AK15">
        <f t="shared" si="2"/>
        <v>283</v>
      </c>
      <c r="AL15">
        <f t="shared" si="2"/>
        <v>284</v>
      </c>
      <c r="AM15">
        <f t="shared" si="2"/>
        <v>285</v>
      </c>
      <c r="AN15">
        <f t="shared" si="2"/>
        <v>286</v>
      </c>
      <c r="AO15">
        <f t="shared" si="2"/>
        <v>287</v>
      </c>
      <c r="AP15">
        <f t="shared" si="2"/>
        <v>288</v>
      </c>
      <c r="AQ15">
        <f t="shared" si="2"/>
        <v>289</v>
      </c>
      <c r="AR15">
        <f t="shared" si="2"/>
        <v>290</v>
      </c>
      <c r="AS15">
        <f t="shared" si="3"/>
        <v>291</v>
      </c>
      <c r="AT15">
        <f t="shared" si="3"/>
        <v>292</v>
      </c>
      <c r="AU15">
        <f t="shared" si="3"/>
        <v>293</v>
      </c>
      <c r="AV15">
        <f t="shared" si="3"/>
        <v>294</v>
      </c>
      <c r="AW15">
        <f t="shared" si="3"/>
        <v>295</v>
      </c>
      <c r="AX15">
        <f t="shared" si="3"/>
        <v>296</v>
      </c>
      <c r="AY15">
        <f t="shared" si="3"/>
        <v>297</v>
      </c>
      <c r="AZ15">
        <f t="shared" si="3"/>
        <v>298</v>
      </c>
      <c r="BA15">
        <f t="shared" si="3"/>
        <v>299</v>
      </c>
      <c r="BB15">
        <f t="shared" si="3"/>
        <v>300</v>
      </c>
      <c r="BC15">
        <f t="shared" si="3"/>
        <v>301</v>
      </c>
      <c r="BD15">
        <f t="shared" si="3"/>
        <v>302</v>
      </c>
      <c r="BE15">
        <f t="shared" si="3"/>
        <v>303</v>
      </c>
      <c r="BF15">
        <f t="shared" si="3"/>
        <v>304</v>
      </c>
      <c r="BH15">
        <f t="shared" ref="BH15" si="5">BG15+1</f>
        <v>1</v>
      </c>
    </row>
    <row r="16" spans="1:60" ht="17.45" customHeight="1">
      <c r="A16" s="15" t="s">
        <v>21</v>
      </c>
      <c r="B16" s="68" t="str">
        <f>[1]Productivity!Y16</f>
        <v>incl</v>
      </c>
      <c r="C16" s="68">
        <f>[1]Productivity!Z16</f>
        <v>184927</v>
      </c>
      <c r="D16" s="68">
        <f>[1]Productivity!AA16</f>
        <v>159798</v>
      </c>
      <c r="E16" s="68">
        <f>[1]Productivity!AB16</f>
        <v>162260</v>
      </c>
      <c r="F16" s="68">
        <f>[1]Productivity!AC16</f>
        <v>158557</v>
      </c>
      <c r="G16" s="68">
        <f>[1]Productivity!AD16</f>
        <v>165407</v>
      </c>
      <c r="H16" s="68">
        <f>[1]Productivity!AE16</f>
        <v>174400</v>
      </c>
      <c r="I16" s="68">
        <f>[1]Productivity!AF16</f>
        <v>185079</v>
      </c>
      <c r="J16" s="68">
        <f>[1]Productivity!AG16</f>
        <v>248017</v>
      </c>
      <c r="K16" s="68">
        <f>[1]Productivity!AH16</f>
        <v>273825</v>
      </c>
      <c r="L16" s="68">
        <f>[1]Productivity!AI16</f>
        <v>232181</v>
      </c>
      <c r="M16" s="68">
        <f>[1]Productivity!AJ16</f>
        <v>222581</v>
      </c>
      <c r="N16" s="68">
        <f>[1]Productivity!AK16</f>
        <v>222627</v>
      </c>
      <c r="O16" s="68">
        <f>[1]Productivity!AL16</f>
        <v>215998</v>
      </c>
      <c r="P16" s="68">
        <f>[1]Productivity!AM16</f>
        <v>194535</v>
      </c>
      <c r="Q16" s="68">
        <f>[1]Productivity!AN16</f>
        <v>168023</v>
      </c>
      <c r="R16" s="68">
        <f>[1]Productivity!AO16</f>
        <v>170885</v>
      </c>
      <c r="S16" s="68">
        <v>163547</v>
      </c>
      <c r="T16" s="68">
        <f>[1]Productivity!AQ16</f>
        <v>160220</v>
      </c>
      <c r="U16" s="68">
        <f>[1]Productivity!AR16</f>
        <v>155292</v>
      </c>
      <c r="V16" s="68">
        <f>[1]Productivity!AS16</f>
        <v>148885</v>
      </c>
      <c r="W16" s="68">
        <f>[1]Productivity!AT16</f>
        <v>178228.63800000001</v>
      </c>
      <c r="X16" s="68">
        <f>[1]Productivity!AU16</f>
        <v>189722.421</v>
      </c>
      <c r="Y16" s="68">
        <f>[1]Productivity!AV16</f>
        <v>198418.68900000001</v>
      </c>
      <c r="Z16" s="68"/>
      <c r="AA16" t="s">
        <v>22</v>
      </c>
      <c r="AB16">
        <v>305</v>
      </c>
      <c r="AC16">
        <f t="shared" si="2"/>
        <v>306</v>
      </c>
      <c r="AD16">
        <f t="shared" si="2"/>
        <v>307</v>
      </c>
      <c r="AE16">
        <f t="shared" si="2"/>
        <v>308</v>
      </c>
      <c r="AF16">
        <f t="shared" si="2"/>
        <v>309</v>
      </c>
      <c r="AG16">
        <f t="shared" si="2"/>
        <v>310</v>
      </c>
      <c r="AH16">
        <f t="shared" si="2"/>
        <v>311</v>
      </c>
      <c r="AI16">
        <f t="shared" si="2"/>
        <v>312</v>
      </c>
      <c r="AJ16">
        <f t="shared" si="2"/>
        <v>313</v>
      </c>
      <c r="AK16">
        <f t="shared" si="2"/>
        <v>314</v>
      </c>
      <c r="AL16">
        <f t="shared" si="2"/>
        <v>315</v>
      </c>
      <c r="AM16">
        <f t="shared" si="2"/>
        <v>316</v>
      </c>
      <c r="AN16">
        <f t="shared" si="2"/>
        <v>317</v>
      </c>
      <c r="AO16">
        <f t="shared" si="2"/>
        <v>318</v>
      </c>
      <c r="AP16">
        <f t="shared" si="2"/>
        <v>319</v>
      </c>
      <c r="AQ16">
        <f t="shared" si="2"/>
        <v>320</v>
      </c>
      <c r="AR16">
        <f t="shared" si="2"/>
        <v>321</v>
      </c>
      <c r="AS16">
        <f t="shared" si="3"/>
        <v>322</v>
      </c>
      <c r="AT16">
        <f t="shared" si="3"/>
        <v>323</v>
      </c>
      <c r="AU16">
        <f t="shared" si="3"/>
        <v>324</v>
      </c>
      <c r="AV16">
        <f t="shared" si="3"/>
        <v>325</v>
      </c>
      <c r="AW16">
        <f t="shared" si="3"/>
        <v>326</v>
      </c>
      <c r="AX16">
        <f t="shared" si="3"/>
        <v>327</v>
      </c>
      <c r="AY16">
        <f t="shared" si="3"/>
        <v>328</v>
      </c>
      <c r="AZ16">
        <f t="shared" si="3"/>
        <v>329</v>
      </c>
      <c r="BA16">
        <f t="shared" si="3"/>
        <v>330</v>
      </c>
      <c r="BB16">
        <f t="shared" si="3"/>
        <v>331</v>
      </c>
      <c r="BC16">
        <f t="shared" si="3"/>
        <v>332</v>
      </c>
      <c r="BD16">
        <f t="shared" si="3"/>
        <v>333</v>
      </c>
      <c r="BE16">
        <f t="shared" si="3"/>
        <v>334</v>
      </c>
    </row>
    <row r="17" spans="1:58" ht="17.45" customHeight="1">
      <c r="A17" t="s">
        <v>23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t="s">
        <v>24</v>
      </c>
      <c r="AB17">
        <v>335</v>
      </c>
      <c r="AC17">
        <f t="shared" si="2"/>
        <v>336</v>
      </c>
      <c r="AD17">
        <f t="shared" si="2"/>
        <v>337</v>
      </c>
      <c r="AE17">
        <f t="shared" si="2"/>
        <v>338</v>
      </c>
      <c r="AF17">
        <f t="shared" si="2"/>
        <v>339</v>
      </c>
      <c r="AG17">
        <f t="shared" si="2"/>
        <v>340</v>
      </c>
      <c r="AH17">
        <f t="shared" si="2"/>
        <v>341</v>
      </c>
      <c r="AI17">
        <f t="shared" si="2"/>
        <v>342</v>
      </c>
      <c r="AJ17">
        <f t="shared" si="2"/>
        <v>343</v>
      </c>
      <c r="AK17">
        <f t="shared" si="2"/>
        <v>344</v>
      </c>
      <c r="AL17">
        <f t="shared" si="2"/>
        <v>345</v>
      </c>
      <c r="AM17">
        <f t="shared" si="2"/>
        <v>346</v>
      </c>
      <c r="AN17">
        <f t="shared" si="2"/>
        <v>347</v>
      </c>
      <c r="AO17">
        <f t="shared" si="2"/>
        <v>348</v>
      </c>
      <c r="AP17">
        <f t="shared" si="2"/>
        <v>349</v>
      </c>
      <c r="AQ17">
        <f t="shared" si="2"/>
        <v>350</v>
      </c>
      <c r="AR17">
        <f t="shared" si="2"/>
        <v>351</v>
      </c>
      <c r="AS17">
        <f t="shared" si="3"/>
        <v>352</v>
      </c>
      <c r="AT17">
        <f t="shared" si="3"/>
        <v>353</v>
      </c>
      <c r="AU17">
        <f t="shared" si="3"/>
        <v>354</v>
      </c>
      <c r="AV17">
        <f t="shared" si="3"/>
        <v>355</v>
      </c>
      <c r="AW17">
        <f t="shared" si="3"/>
        <v>356</v>
      </c>
      <c r="AX17">
        <f t="shared" si="3"/>
        <v>357</v>
      </c>
      <c r="AY17">
        <f t="shared" si="3"/>
        <v>358</v>
      </c>
      <c r="AZ17">
        <f t="shared" si="3"/>
        <v>359</v>
      </c>
      <c r="BA17">
        <f t="shared" si="3"/>
        <v>360</v>
      </c>
      <c r="BB17">
        <f t="shared" si="3"/>
        <v>361</v>
      </c>
      <c r="BC17">
        <f t="shared" si="3"/>
        <v>362</v>
      </c>
      <c r="BD17">
        <f t="shared" si="3"/>
        <v>363</v>
      </c>
      <c r="BE17">
        <f t="shared" si="3"/>
        <v>364</v>
      </c>
      <c r="BF17">
        <f t="shared" si="3"/>
        <v>365</v>
      </c>
    </row>
    <row r="18" spans="1:58" ht="17.45" customHeight="1">
      <c r="A18" s="18" t="s">
        <v>25</v>
      </c>
      <c r="B18" s="68" t="str">
        <f>[1]Productivity!Y18</f>
        <v>incl</v>
      </c>
      <c r="C18" s="68">
        <f>[1]Productivity!Z18</f>
        <v>3177898</v>
      </c>
      <c r="D18" s="68">
        <f>[1]Productivity!AA18</f>
        <v>3210582</v>
      </c>
      <c r="E18" s="68">
        <f>[1]Productivity!AB18</f>
        <v>3502244</v>
      </c>
      <c r="F18" s="68">
        <f>[1]Productivity!AC18</f>
        <v>3417611</v>
      </c>
      <c r="G18" s="68">
        <f>[1]Productivity!AD18</f>
        <v>3375606</v>
      </c>
      <c r="H18" s="68">
        <f>[1]Productivity!AE18</f>
        <v>3472068</v>
      </c>
      <c r="I18" s="68">
        <f>[1]Productivity!AF18</f>
        <v>3108706</v>
      </c>
      <c r="J18" s="68">
        <f>[1]Productivity!AG18</f>
        <v>3911493</v>
      </c>
      <c r="K18" s="68">
        <f>[1]Productivity!AH18</f>
        <v>3933979</v>
      </c>
      <c r="L18" s="68">
        <f>[1]Productivity!AI18</f>
        <v>3548912</v>
      </c>
      <c r="M18" s="70">
        <f>[1]Productivity!AJ18</f>
        <v>3421695</v>
      </c>
      <c r="N18" s="70">
        <f>[1]Productivity!AK18</f>
        <v>3476511</v>
      </c>
      <c r="O18" s="70">
        <f>[1]Productivity!AL18</f>
        <v>3355037</v>
      </c>
      <c r="P18" s="70">
        <f>[1]Productivity!AM18</f>
        <v>3404840</v>
      </c>
      <c r="Q18" s="70">
        <f>[1]Productivity!AN18</f>
        <v>3057650</v>
      </c>
      <c r="R18" s="70">
        <f>[1]Productivity!AO18</f>
        <v>2782038</v>
      </c>
      <c r="S18" s="70">
        <f>[1]Productivity!AP18</f>
        <v>2749237</v>
      </c>
      <c r="T18" s="70">
        <f>[1]Productivity!AQ18</f>
        <v>2832982</v>
      </c>
      <c r="U18" s="70">
        <f>[1]Productivity!AR18</f>
        <v>2672805</v>
      </c>
      <c r="V18" s="70">
        <f>[1]Productivity!AS18</f>
        <v>2797906</v>
      </c>
      <c r="W18" s="70">
        <f>[1]Productivity!AT18</f>
        <v>3007254.6379999998</v>
      </c>
      <c r="X18" s="70">
        <f>[1]Productivity!AU18</f>
        <v>3201189.4210000001</v>
      </c>
      <c r="Y18" s="70">
        <f>[1]Productivity!AV18</f>
        <v>3347921.6890000002</v>
      </c>
      <c r="Z18" s="68"/>
    </row>
    <row r="19" spans="1:58" ht="17.45" customHeight="1">
      <c r="A19">
        <f>[1]Productivity!A19</f>
        <v>0</v>
      </c>
      <c r="B19" s="71"/>
      <c r="C19" s="71">
        <f t="shared" ref="C19:Y19" si="6">C16/C18</f>
        <v>5.8191609674067578E-2</v>
      </c>
      <c r="D19" s="71">
        <f t="shared" si="6"/>
        <v>4.9772284277430072E-2</v>
      </c>
      <c r="E19" s="71">
        <f t="shared" si="6"/>
        <v>4.6330295661867076E-2</v>
      </c>
      <c r="F19" s="71">
        <f t="shared" si="6"/>
        <v>4.6394103951561488E-2</v>
      </c>
      <c r="G19" s="71">
        <f t="shared" si="6"/>
        <v>4.9000683136598285E-2</v>
      </c>
      <c r="H19" s="71">
        <f t="shared" si="6"/>
        <v>5.0229430990406873E-2</v>
      </c>
      <c r="I19" s="71">
        <f t="shared" si="6"/>
        <v>5.9535703923111416E-2</v>
      </c>
      <c r="J19" s="71">
        <f t="shared" si="6"/>
        <v>6.3407246286775923E-2</v>
      </c>
      <c r="K19" s="71">
        <f t="shared" si="6"/>
        <v>6.9605099569672341E-2</v>
      </c>
      <c r="L19" s="71">
        <f t="shared" si="6"/>
        <v>6.5423149404662609E-2</v>
      </c>
      <c r="M19" s="71">
        <f t="shared" si="6"/>
        <v>6.5049924087330985E-2</v>
      </c>
      <c r="N19" s="71">
        <f t="shared" si="6"/>
        <v>6.4037478955193877E-2</v>
      </c>
      <c r="O19" s="71">
        <f t="shared" si="6"/>
        <v>6.4380213988698184E-2</v>
      </c>
      <c r="P19" s="71">
        <f t="shared" si="6"/>
        <v>5.7134843340656244E-2</v>
      </c>
      <c r="Q19" s="71">
        <f t="shared" si="6"/>
        <v>5.4951678576684711E-2</v>
      </c>
      <c r="R19" s="71">
        <f t="shared" si="6"/>
        <v>6.1424394634437059E-2</v>
      </c>
      <c r="S19" s="71">
        <f t="shared" si="6"/>
        <v>5.948814161892918E-2</v>
      </c>
      <c r="T19" s="71">
        <f t="shared" si="6"/>
        <v>5.6555248144887611E-2</v>
      </c>
      <c r="U19" s="71">
        <f t="shared" si="6"/>
        <v>5.8100759314652584E-2</v>
      </c>
      <c r="V19" s="71">
        <f t="shared" si="6"/>
        <v>5.3213010015347194E-2</v>
      </c>
      <c r="W19" s="71">
        <f t="shared" si="6"/>
        <v>5.9266227657572911E-2</v>
      </c>
      <c r="X19" s="71">
        <f t="shared" si="6"/>
        <v>5.9266227657572904E-2</v>
      </c>
      <c r="Y19" s="71">
        <f t="shared" si="6"/>
        <v>5.9266227657572904E-2</v>
      </c>
      <c r="Z19" s="68"/>
    </row>
    <row r="20" spans="1:58" ht="17.45" customHeight="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58" ht="17.45" customHeight="1">
      <c r="A21" s="19" t="s">
        <v>26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58" ht="17.45" customHeight="1">
      <c r="A22" t="str">
        <f>[1]Productivity!A22</f>
        <v>Steers Number</v>
      </c>
      <c r="B22" s="68">
        <f>[1]Productivity!Y22</f>
        <v>1502733.1584787467</v>
      </c>
      <c r="C22" s="68">
        <f>[1]Productivity!Z22</f>
        <v>1551936.6943568781</v>
      </c>
      <c r="D22" s="68">
        <f>[1]Productivity!AA22</f>
        <v>1578175.3943681363</v>
      </c>
      <c r="E22" s="68">
        <f>[1]Productivity!AB22</f>
        <v>1724436.6603229237</v>
      </c>
      <c r="F22" s="68">
        <f>[1]Productivity!AC22</f>
        <v>1748143.5537551695</v>
      </c>
      <c r="G22" s="68">
        <f>[1]Productivity!AD22</f>
        <v>1708593.2357545434</v>
      </c>
      <c r="H22" s="68">
        <f>[1]Productivity!AE22</f>
        <v>1763091.0607665782</v>
      </c>
      <c r="I22" s="68">
        <f>[1]Productivity!AF22</f>
        <v>1693154.1225354671</v>
      </c>
      <c r="J22" s="68">
        <f>[1]Productivity!AG22</f>
        <v>2028209.157575483</v>
      </c>
      <c r="K22" s="68">
        <f>[1]Productivity!AH22</f>
        <v>1948326.457036234</v>
      </c>
      <c r="L22" s="68">
        <f>[1]Productivity!AI22</f>
        <v>1638688.1389416265</v>
      </c>
      <c r="M22" s="68">
        <f>[1]Productivity!AJ22</f>
        <v>1560968.9090354391</v>
      </c>
      <c r="N22" s="68">
        <f>[1]Productivity!AK22</f>
        <v>1590435.4784829454</v>
      </c>
      <c r="O22" s="68">
        <f>[1]Productivity!AL22</f>
        <v>1625479.7330479168</v>
      </c>
      <c r="P22" s="68">
        <f>[1]Productivity!AM22</f>
        <v>1638733.7988758078</v>
      </c>
      <c r="Q22" s="68">
        <f>[1]Productivity!AN22</f>
        <v>1527099.6913961559</v>
      </c>
      <c r="R22" s="68">
        <f>[1]Productivity!AO22</f>
        <v>1443227.3673599365</v>
      </c>
      <c r="S22" s="68">
        <f>[1]Productivity!AP22</f>
        <v>1429123.9265325696</v>
      </c>
      <c r="T22" s="68">
        <f>[1]Productivity!AQ22</f>
        <v>1497852.4150156281</v>
      </c>
      <c r="U22" s="68">
        <f>[1]Productivity!AR22</f>
        <v>1495420.0398071429</v>
      </c>
      <c r="V22" s="68">
        <f>[1]Productivity!AS22</f>
        <v>1548390.5202623913</v>
      </c>
      <c r="W22" s="68">
        <f>[1]Productivity!AT22</f>
        <v>1594379.8810000001</v>
      </c>
      <c r="X22" s="68">
        <f>[1]Productivity!AU22</f>
        <v>1699692.3540000001</v>
      </c>
      <c r="Y22" s="68">
        <f>[1]Productivity!AV22</f>
        <v>1820664.943</v>
      </c>
      <c r="Z22" s="68"/>
    </row>
    <row r="23" spans="1:58" ht="17.45" customHeight="1">
      <c r="A23" t="str">
        <f>[1]Productivity!A23</f>
        <v>Heifers</v>
      </c>
      <c r="B23" s="68">
        <f>[1]Productivity!Y23</f>
        <v>730926.71000871493</v>
      </c>
      <c r="C23" s="68">
        <f>[1]Productivity!Z23</f>
        <v>974823.55161677138</v>
      </c>
      <c r="D23" s="68">
        <f>[1]Productivity!AA23</f>
        <v>1057025.5775335126</v>
      </c>
      <c r="E23" s="68">
        <f>[1]Productivity!AB23</f>
        <v>1216347.7509281482</v>
      </c>
      <c r="F23" s="68">
        <f>[1]Productivity!AC23</f>
        <v>1168118.8262529557</v>
      </c>
      <c r="G23" s="68">
        <f>[1]Productivity!AD23</f>
        <v>1154117.5482859474</v>
      </c>
      <c r="H23" s="68">
        <f>[1]Productivity!AE23</f>
        <v>1175327.0067781233</v>
      </c>
      <c r="I23" s="68">
        <f>[1]Productivity!AF23</f>
        <v>1048545.9194076399</v>
      </c>
      <c r="J23" s="68">
        <f>[1]Productivity!AG23</f>
        <v>1413729.7077630644</v>
      </c>
      <c r="K23" s="68">
        <f>[1]Productivity!AH23</f>
        <v>1349142.1754562785</v>
      </c>
      <c r="L23" s="68">
        <f>[1]Productivity!AI23</f>
        <v>1139100.5451524407</v>
      </c>
      <c r="M23" s="68">
        <f>[1]Productivity!AJ23</f>
        <v>1079900.4417582494</v>
      </c>
      <c r="N23" s="68">
        <f>[1]Productivity!AK23</f>
        <v>1062080.9889805538</v>
      </c>
      <c r="O23" s="68">
        <f>[1]Productivity!AL23</f>
        <v>1068127.2616737161</v>
      </c>
      <c r="P23" s="68">
        <f>[1]Productivity!AM23</f>
        <v>1127052.9963850786</v>
      </c>
      <c r="Q23" s="68">
        <f>[1]Productivity!AN23</f>
        <v>973492.02061373321</v>
      </c>
      <c r="R23" s="68">
        <f>[1]Productivity!AO23</f>
        <v>884706.56519629457</v>
      </c>
      <c r="S23" s="68">
        <f>[1]Productivity!AP23</f>
        <v>829883.20991882239</v>
      </c>
      <c r="T23" s="68">
        <f>[1]Productivity!AQ23</f>
        <v>893883.8213278997</v>
      </c>
      <c r="U23" s="68">
        <f>[1]Productivity!AR23</f>
        <v>792129.31465696509</v>
      </c>
      <c r="V23" s="68">
        <f>[1]Productivity!AS23</f>
        <v>821334.69114589877</v>
      </c>
      <c r="W23" s="68">
        <f>[1]Productivity!AT23</f>
        <v>920607.96100000001</v>
      </c>
      <c r="X23" s="68">
        <f>[1]Productivity!AU23</f>
        <v>946020.03899999999</v>
      </c>
      <c r="Y23" s="68">
        <f>[1]Productivity!AV23</f>
        <v>970997.35</v>
      </c>
      <c r="Z23" s="68"/>
    </row>
    <row r="24" spans="1:58" ht="17.45" customHeight="1">
      <c r="A24" t="str">
        <f>[1]Productivity!A24</f>
        <v>Cows</v>
      </c>
      <c r="B24" s="68">
        <f>[1]Productivity!Y24</f>
        <v>516303.18069700018</v>
      </c>
      <c r="C24" s="68">
        <f>[1]Productivity!Z24</f>
        <v>624804.37214660621</v>
      </c>
      <c r="D24" s="68">
        <f>[1]Productivity!AA24</f>
        <v>550884.79460099433</v>
      </c>
      <c r="E24" s="68">
        <f>[1]Productivity!AB24</f>
        <v>531961.95463930361</v>
      </c>
      <c r="F24" s="68">
        <f>[1]Productivity!AC24</f>
        <v>482347.05962497095</v>
      </c>
      <c r="G24" s="68">
        <f>[1]Productivity!AD24</f>
        <v>500234.84934672277</v>
      </c>
      <c r="H24" s="68">
        <f>[1]Productivity!AE24</f>
        <v>523286.37695971818</v>
      </c>
      <c r="I24" s="68">
        <f>[1]Productivity!AF24</f>
        <v>351448.7486433803</v>
      </c>
      <c r="J24" s="68">
        <f>[1]Productivity!AG24</f>
        <v>434338.18848929269</v>
      </c>
      <c r="K24" s="68">
        <f>[1]Productivity!AH24</f>
        <v>585999.55755113042</v>
      </c>
      <c r="L24" s="68">
        <f>[1]Productivity!AI24</f>
        <v>723599.13427046093</v>
      </c>
      <c r="M24" s="68">
        <f>[1]Productivity!AJ24</f>
        <v>732062.61770915322</v>
      </c>
      <c r="N24" s="68">
        <f>[1]Productivity!AK24</f>
        <v>802209.47219323122</v>
      </c>
      <c r="O24" s="68">
        <f>[1]Productivity!AL24</f>
        <v>644337.59205763298</v>
      </c>
      <c r="P24" s="68">
        <f>[1]Productivity!AM24</f>
        <v>607984.07487139071</v>
      </c>
      <c r="Q24" s="68">
        <f>[1]Productivity!AN24</f>
        <v>530355.94967793417</v>
      </c>
      <c r="R24" s="68">
        <f>[1]Productivity!AO24</f>
        <v>439378.56219838513</v>
      </c>
      <c r="S24" s="68">
        <f>[1]Productivity!AP24</f>
        <v>485030.56706295034</v>
      </c>
      <c r="T24" s="68">
        <f>[1]Productivity!AQ24</f>
        <v>434506.63029704854</v>
      </c>
      <c r="U24" s="68">
        <f>[1]Productivity!AR24</f>
        <v>374252.34544568392</v>
      </c>
      <c r="V24" s="68">
        <f>[1]Productivity!AS24</f>
        <v>413862.89011676388</v>
      </c>
      <c r="W24" s="68">
        <f>[1]Productivity!AT24</f>
        <v>472888.30599999998</v>
      </c>
      <c r="X24" s="68">
        <f>[1]Productivity!AU24</f>
        <v>536984.01699999999</v>
      </c>
      <c r="Y24" s="68">
        <f>[1]Productivity!AV24</f>
        <v>539258.83700000006</v>
      </c>
      <c r="Z24" s="68"/>
    </row>
    <row r="25" spans="1:58" ht="17.45" customHeight="1">
      <c r="A25" t="str">
        <f>[1]Productivity!A25</f>
        <v>Bulls</v>
      </c>
      <c r="B25" s="68">
        <f>[1]Productivity!Y25</f>
        <v>41336.950815538206</v>
      </c>
      <c r="C25" s="68">
        <f>[1]Productivity!Z25</f>
        <v>26333.38187974424</v>
      </c>
      <c r="D25" s="68">
        <f>[1]Productivity!AA25</f>
        <v>24496.233497356745</v>
      </c>
      <c r="E25" s="68">
        <f>[1]Productivity!AB25</f>
        <v>29497.634109624476</v>
      </c>
      <c r="F25" s="68">
        <f>[1]Productivity!AC25</f>
        <v>19001.560366904014</v>
      </c>
      <c r="G25" s="68">
        <f>[1]Productivity!AD25</f>
        <v>12660.366612786311</v>
      </c>
      <c r="H25" s="68">
        <f>[1]Productivity!AE25</f>
        <v>10363.555495580513</v>
      </c>
      <c r="I25" s="68">
        <f>[1]Productivity!AF25</f>
        <v>15557.209413512735</v>
      </c>
      <c r="J25" s="68">
        <f>[1]Productivity!AG25</f>
        <v>35215.946172159995</v>
      </c>
      <c r="K25" s="68">
        <f>[1]Productivity!AH25</f>
        <v>50510.809956357029</v>
      </c>
      <c r="L25" s="68">
        <f>[1]Productivity!AI25</f>
        <v>47524.181635471796</v>
      </c>
      <c r="M25" s="68">
        <f>[1]Productivity!AJ25</f>
        <v>48763.031497158277</v>
      </c>
      <c r="N25" s="68">
        <f>[1]Productivity!AK25</f>
        <v>21785.060343269768</v>
      </c>
      <c r="O25" s="68">
        <f>[1]Productivity!AL25</f>
        <v>17092.413220734117</v>
      </c>
      <c r="P25" s="68">
        <f>[1]Productivity!AM25</f>
        <v>31069.129867722848</v>
      </c>
      <c r="Q25" s="68">
        <f>[1]Productivity!AN25</f>
        <v>26702.338312176624</v>
      </c>
      <c r="R25" s="68">
        <f>[1]Productivity!AO25</f>
        <v>14725.505245383936</v>
      </c>
      <c r="S25" s="68">
        <f>[1]Productivity!AP25</f>
        <v>5199.2964856576</v>
      </c>
      <c r="T25" s="68">
        <f>[1]Productivity!AQ25</f>
        <v>6739.1333594236976</v>
      </c>
      <c r="U25" s="68">
        <f>[1]Productivity!AR25</f>
        <v>11003.300090208075</v>
      </c>
      <c r="V25" s="68">
        <f>[1]Productivity!AS25</f>
        <v>14317.898474946027</v>
      </c>
      <c r="W25" s="68">
        <f>[1]Productivity!AT25</f>
        <v>19378.490000000002</v>
      </c>
      <c r="X25" s="68">
        <f>[1]Productivity!AU25</f>
        <v>18493.010999999999</v>
      </c>
      <c r="Y25" s="68">
        <f>[1]Productivity!AV25</f>
        <v>17000.559000000001</v>
      </c>
      <c r="Z25" s="68"/>
    </row>
    <row r="26" spans="1:58" ht="17.45" customHeight="1">
      <c r="A26" s="18" t="str">
        <f>[1]Productivity!A26</f>
        <v>TOTAL SLAUGHTER (CHECK)</v>
      </c>
      <c r="B26" s="70">
        <f>SUM(B22:B25)</f>
        <v>2791300</v>
      </c>
      <c r="C26" s="70">
        <f t="shared" ref="C26:Y26" si="7">SUM(C22:C25)</f>
        <v>3177898</v>
      </c>
      <c r="D26" s="70">
        <f t="shared" si="7"/>
        <v>3210581.9999999995</v>
      </c>
      <c r="E26" s="70">
        <f t="shared" si="7"/>
        <v>3502244</v>
      </c>
      <c r="F26" s="70">
        <f t="shared" si="7"/>
        <v>3417611</v>
      </c>
      <c r="G26" s="70">
        <f t="shared" si="7"/>
        <v>3375606.0000000005</v>
      </c>
      <c r="H26" s="70">
        <f t="shared" si="7"/>
        <v>3472068.0000000005</v>
      </c>
      <c r="I26" s="70">
        <f t="shared" si="7"/>
        <v>3108705.9999999995</v>
      </c>
      <c r="J26" s="70">
        <f t="shared" si="7"/>
        <v>3911493</v>
      </c>
      <c r="K26" s="70">
        <f t="shared" si="7"/>
        <v>3933979</v>
      </c>
      <c r="L26" s="70">
        <f t="shared" si="7"/>
        <v>3548912</v>
      </c>
      <c r="M26" s="70">
        <f t="shared" si="7"/>
        <v>3421695</v>
      </c>
      <c r="N26" s="70">
        <f t="shared" si="7"/>
        <v>3476511</v>
      </c>
      <c r="O26" s="70">
        <f t="shared" si="7"/>
        <v>3355037</v>
      </c>
      <c r="P26" s="70">
        <f t="shared" si="7"/>
        <v>3404840</v>
      </c>
      <c r="Q26" s="70">
        <f t="shared" si="7"/>
        <v>3057649.9999999995</v>
      </c>
      <c r="R26" s="70">
        <f t="shared" si="7"/>
        <v>2782038</v>
      </c>
      <c r="S26" s="70">
        <f t="shared" si="7"/>
        <v>2749237</v>
      </c>
      <c r="T26" s="70">
        <f t="shared" si="7"/>
        <v>2832982</v>
      </c>
      <c r="U26" s="70">
        <f t="shared" si="7"/>
        <v>2672805.0000000005</v>
      </c>
      <c r="V26" s="70">
        <f t="shared" si="7"/>
        <v>2797906</v>
      </c>
      <c r="W26" s="70">
        <f t="shared" si="7"/>
        <v>3007254.6380000003</v>
      </c>
      <c r="X26" s="70">
        <f t="shared" si="7"/>
        <v>3201189.4210000001</v>
      </c>
      <c r="Y26" s="70">
        <f t="shared" si="7"/>
        <v>3347921.6889999998</v>
      </c>
      <c r="Z26" s="68"/>
    </row>
    <row r="27" spans="1:58" ht="17.45" customHeight="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58" ht="17.45" customHeight="1">
      <c r="A28" s="19" t="s">
        <v>27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58" ht="17.45" customHeight="1">
      <c r="A29" t="s">
        <v>28</v>
      </c>
      <c r="B29" s="73">
        <f>[1]Productivity!Y29*0.73</f>
        <v>250.33112582781453</v>
      </c>
      <c r="C29" s="73">
        <f>[1]Productivity!Z29*0.73</f>
        <v>253.31125827814566</v>
      </c>
      <c r="D29" s="73">
        <f>[1]Productivity!AA29*0.73</f>
        <v>261.92052980132451</v>
      </c>
      <c r="E29" s="73">
        <f>[1]Productivity!AB29*0.73</f>
        <v>263.57615894039731</v>
      </c>
      <c r="F29" s="73">
        <f>[1]Productivity!AC29*0.73</f>
        <v>269.205298013245</v>
      </c>
      <c r="G29" s="73">
        <f>[1]Productivity!AD29*0.73</f>
        <v>271.85430463576159</v>
      </c>
      <c r="H29" s="73">
        <f>[1]Productivity!AE29*0.73</f>
        <v>275.49668874172181</v>
      </c>
      <c r="I29" s="73">
        <f>[1]Productivity!AF29*0.73</f>
        <v>276.49006622516555</v>
      </c>
      <c r="J29" s="73">
        <f>[1]Productivity!AG29*0.73</f>
        <v>276.15894039735099</v>
      </c>
      <c r="K29" s="73">
        <f>[1]Productivity!AH29*0.73</f>
        <v>273.84105960264895</v>
      </c>
      <c r="L29" s="73">
        <f>[1]Productivity!AI29*0.73</f>
        <v>278.47682119205297</v>
      </c>
      <c r="M29" s="73">
        <f>[1]Productivity!AJ29*0.73</f>
        <v>278.13</v>
      </c>
      <c r="N29" s="73">
        <f>[1]Productivity!AK29*0.73</f>
        <v>278.80794701986753</v>
      </c>
      <c r="O29" s="73">
        <f>[1]Productivity!AL29*0.73</f>
        <v>280.13245033112582</v>
      </c>
      <c r="P29" s="73">
        <f>[1]Productivity!AM29*0.73</f>
        <v>281.1258278145695</v>
      </c>
      <c r="Q29" s="73">
        <f>[1]Productivity!AN29*0.73</f>
        <v>283.44370860927148</v>
      </c>
      <c r="R29" s="73">
        <f>[1]Productivity!AO29*0.73</f>
        <v>290.72847682119203</v>
      </c>
      <c r="S29" s="73">
        <f>[1]Productivity!AP29*0.73</f>
        <v>289.40397350993373</v>
      </c>
      <c r="T29" s="73">
        <f>[1]Productivity!AQ29*0.73</f>
        <v>285</v>
      </c>
      <c r="U29" s="73">
        <f>[1]Productivity!AR29*0.73</f>
        <v>296</v>
      </c>
      <c r="V29" s="73">
        <f>[1]Productivity!AS29*0.73</f>
        <v>304.3046357615894</v>
      </c>
      <c r="W29" s="73">
        <f>[1]Productivity!AT29*0.73</f>
        <v>296.01499999999999</v>
      </c>
      <c r="X29" s="73">
        <f>[1]Productivity!AU29*0.73</f>
        <v>296.68874172185429</v>
      </c>
      <c r="Y29" s="73">
        <f>[1]Productivity!AV29*0.73</f>
        <v>300.76</v>
      </c>
      <c r="Z29" s="72"/>
    </row>
    <row r="30" spans="1:58" ht="17.45" customHeight="1">
      <c r="A30" t="str">
        <f>[1]Productivity!A30</f>
        <v>Heifers</v>
      </c>
      <c r="B30" s="73">
        <f>[1]Productivity!Y30*0.73</f>
        <v>227.15231788079467</v>
      </c>
      <c r="C30" s="73">
        <f>[1]Productivity!Z30*0.73</f>
        <v>232.11920529801324</v>
      </c>
      <c r="D30" s="73">
        <f>[1]Productivity!AA30*0.73</f>
        <v>242.0529801324503</v>
      </c>
      <c r="E30" s="73">
        <f>[1]Productivity!AB30*0.73</f>
        <v>245.03311258278146</v>
      </c>
      <c r="F30" s="73">
        <f>[1]Productivity!AC30*0.73</f>
        <v>252.31788079470198</v>
      </c>
      <c r="G30" s="73">
        <f>[1]Productivity!AD30*0.73</f>
        <v>254.96688741721852</v>
      </c>
      <c r="H30" s="73">
        <f>[1]Productivity!AE30*0.73</f>
        <v>257.28476821192049</v>
      </c>
      <c r="I30" s="73">
        <f>[1]Productivity!AF30*0.73</f>
        <v>258.60927152317879</v>
      </c>
      <c r="J30" s="73">
        <f>[1]Productivity!AG30*0.73</f>
        <v>257.94701986754961</v>
      </c>
      <c r="K30" s="73">
        <f>[1]Productivity!AH30*0.73</f>
        <v>255.62913907284766</v>
      </c>
      <c r="L30" s="73">
        <f>[1]Productivity!AI30*0.73</f>
        <v>257.94701986754961</v>
      </c>
      <c r="M30" s="73">
        <f>[1]Productivity!AJ30*0.73</f>
        <v>259.27152317880791</v>
      </c>
      <c r="N30" s="73">
        <f>[1]Productivity!AK30*0.73</f>
        <v>261.33999999999997</v>
      </c>
      <c r="O30" s="73">
        <f>[1]Productivity!AL30*0.73</f>
        <v>260.59602649006621</v>
      </c>
      <c r="P30" s="73">
        <f>[1]Productivity!AM30*0.73</f>
        <v>260.26490066225165</v>
      </c>
      <c r="Q30" s="73">
        <f>[1]Productivity!AN30*0.73</f>
        <v>259.60264900662247</v>
      </c>
      <c r="R30" s="73">
        <f>[1]Productivity!AO30*0.73</f>
        <v>271.19205298013242</v>
      </c>
      <c r="S30" s="73">
        <f>[1]Productivity!AP30*0.73</f>
        <v>268.87417218543044</v>
      </c>
      <c r="T30" s="73">
        <f>[1]Productivity!AQ30*0.73</f>
        <v>263</v>
      </c>
      <c r="U30" s="73">
        <f>[1]Productivity!AR30*0.73</f>
        <v>273</v>
      </c>
      <c r="V30" s="73">
        <f>[1]Productivity!AS30*0.73</f>
        <v>278.47682119205297</v>
      </c>
      <c r="W30" s="73">
        <f>[1]Productivity!AT30*0.73</f>
        <v>272.50900000000001</v>
      </c>
      <c r="X30" s="73">
        <f>[1]Productivity!AU30*0.73</f>
        <v>273.84105960264895</v>
      </c>
      <c r="Y30" s="73">
        <f>[1]Productivity!AV30*0.73</f>
        <v>276.82119205298011</v>
      </c>
      <c r="Z30" s="72"/>
    </row>
    <row r="31" spans="1:58" ht="17.45" customHeight="1">
      <c r="A31" t="str">
        <f>[1]Productivity!A31</f>
        <v>Cows</v>
      </c>
      <c r="B31" s="73">
        <f>[1]Productivity!Y31*0.73</f>
        <v>200.99337748344368</v>
      </c>
      <c r="C31" s="73">
        <f>[1]Productivity!Z31*0.73</f>
        <v>202.98013245033113</v>
      </c>
      <c r="D31" s="73">
        <f>[1]Productivity!AA31*0.73</f>
        <v>210.92715231788077</v>
      </c>
      <c r="E31" s="73">
        <f>[1]Productivity!AB31*0.73</f>
        <v>216.55629139072846</v>
      </c>
      <c r="F31" s="73">
        <f>[1]Productivity!AC31*0.73</f>
        <v>226.49006622516555</v>
      </c>
      <c r="G31" s="73">
        <f>[1]Productivity!AD31*0.73</f>
        <v>229.80132450331124</v>
      </c>
      <c r="H31" s="73">
        <f>[1]Productivity!AE31*0.73</f>
        <v>233.11258278145692</v>
      </c>
      <c r="I31" s="73">
        <f>[1]Productivity!AF31*0.73</f>
        <v>232.4503311258278</v>
      </c>
      <c r="J31" s="73">
        <f>[1]Productivity!AG31*0.73</f>
        <v>218.21192052980129</v>
      </c>
      <c r="K31" s="73">
        <f>[1]Productivity!AH31*0.73</f>
        <v>219.53642384105959</v>
      </c>
      <c r="L31" s="73">
        <f>[1]Productivity!AI31*0.73</f>
        <v>222.18543046357615</v>
      </c>
      <c r="M31" s="73">
        <f>[1]Productivity!AJ31*0.73</f>
        <v>222.84768211920527</v>
      </c>
      <c r="N31" s="73">
        <f>[1]Productivity!AK31*0.73</f>
        <v>224.84</v>
      </c>
      <c r="O31" s="73">
        <f>[1]Productivity!AL31*0.73</f>
        <v>223.17880794701986</v>
      </c>
      <c r="P31" s="73">
        <f>[1]Productivity!AM31*0.73</f>
        <v>222.51655629139071</v>
      </c>
      <c r="Q31" s="73">
        <f>[1]Productivity!AN31*0.73</f>
        <v>221.52317880794698</v>
      </c>
      <c r="R31" s="73">
        <f>[1]Productivity!AO31*0.73</f>
        <v>223.84105960264898</v>
      </c>
      <c r="S31" s="73">
        <f>[1]Productivity!AP31*0.73</f>
        <v>221.85430463576159</v>
      </c>
      <c r="T31" s="73">
        <f>[1]Productivity!AQ31*0.73</f>
        <v>226</v>
      </c>
      <c r="U31" s="73">
        <f>[1]Productivity!AR31*0.73</f>
        <v>240.00000000000003</v>
      </c>
      <c r="V31" s="73">
        <f>[1]Productivity!AS31*0.73</f>
        <v>247.35099337748343</v>
      </c>
      <c r="W31" s="73">
        <f>[1]Productivity!AT31*0.73</f>
        <v>242.06800000000001</v>
      </c>
      <c r="X31" s="73">
        <f>[1]Productivity!AU31*0.73</f>
        <v>241.05960264900662</v>
      </c>
      <c r="Y31" s="73">
        <f>[1]Productivity!AV31*0.73</f>
        <v>240.72847682119206</v>
      </c>
      <c r="Z31" s="72"/>
    </row>
    <row r="32" spans="1:58" ht="17.45" customHeight="1">
      <c r="A32" t="str">
        <f>[1]Productivity!A32</f>
        <v>Bulls</v>
      </c>
      <c r="B32" s="73">
        <f>[1]Productivity!Y32*0.73</f>
        <v>295.09933774834434</v>
      </c>
      <c r="C32" s="73">
        <f>[1]Productivity!Z32*0.73</f>
        <v>279.80132450331121</v>
      </c>
      <c r="D32" s="73">
        <f>[1]Productivity!AA32*0.73</f>
        <v>292.38410596026489</v>
      </c>
      <c r="E32" s="73">
        <f>[1]Productivity!AB32*0.73</f>
        <v>300.66225165562912</v>
      </c>
      <c r="F32" s="73">
        <f>[1]Productivity!AC32*0.73</f>
        <v>304.96688741721852</v>
      </c>
      <c r="G32" s="73">
        <f>[1]Productivity!AD32*0.73</f>
        <v>301.98675496688736</v>
      </c>
      <c r="H32" s="73">
        <f>[1]Productivity!AE32*0.73</f>
        <v>302.31788079470198</v>
      </c>
      <c r="I32" s="73">
        <f>[1]Productivity!AF32*0.73</f>
        <v>326.49006622516555</v>
      </c>
      <c r="J32" s="73">
        <f>[1]Productivity!AG32*0.73</f>
        <v>336.09271523178808</v>
      </c>
      <c r="K32" s="73">
        <f>[1]Productivity!AH32*0.73</f>
        <v>343.70860927152313</v>
      </c>
      <c r="L32" s="73">
        <f>[1]Productivity!AI32*0.73</f>
        <v>340.39735099337747</v>
      </c>
      <c r="M32" s="73">
        <f>[1]Productivity!AJ32*0.73</f>
        <v>338.07947019867544</v>
      </c>
      <c r="N32" s="73">
        <f>[1]Productivity!AK32*0.73</f>
        <v>331.42</v>
      </c>
      <c r="O32" s="73">
        <f>[1]Productivity!AL32*0.73</f>
        <v>315.56291390728478</v>
      </c>
      <c r="P32" s="73">
        <f>[1]Productivity!AM32*0.73</f>
        <v>334.43708609271522</v>
      </c>
      <c r="Q32" s="73">
        <f>[1]Productivity!AN32*0.73</f>
        <v>329.80132450331121</v>
      </c>
      <c r="R32" s="73">
        <f>[1]Productivity!AO32*0.73</f>
        <v>330.13245033112582</v>
      </c>
      <c r="S32" s="73">
        <f>[1]Productivity!AP32*0.73</f>
        <v>287.74834437086093</v>
      </c>
      <c r="T32" s="73">
        <f>[1]Productivity!AQ32*0.73</f>
        <v>307</v>
      </c>
      <c r="U32" s="73">
        <f>[1]Productivity!AR32*0.73</f>
        <v>332</v>
      </c>
      <c r="V32" s="73">
        <f>[1]Productivity!AS32*0.73</f>
        <v>336.42384105960264</v>
      </c>
      <c r="W32" s="73">
        <f>[1]Productivity!AT32*0.73</f>
        <v>338.71999999999997</v>
      </c>
      <c r="X32" s="73">
        <f>[1]Productivity!AU32*0.73</f>
        <v>321.52317880794698</v>
      </c>
      <c r="Y32" s="73">
        <f>[1]Productivity!AV32*0.73</f>
        <v>316.88741721854302</v>
      </c>
      <c r="Z32" s="72"/>
    </row>
    <row r="33" spans="1:26" ht="17.45" customHeight="1">
      <c r="A33" s="18" t="str">
        <f>[1]Productivity!A33</f>
        <v>WEIGHTED AVERAGE</v>
      </c>
      <c r="B33" s="74">
        <f>[1]Productivity!Y33*0.73</f>
        <v>235.79859085880105</v>
      </c>
      <c r="C33" s="74">
        <f>[1]Productivity!Z33*0.73</f>
        <v>237.13451289660856</v>
      </c>
      <c r="D33" s="74">
        <f>[1]Productivity!AA33*0.73</f>
        <v>246.86228130645921</v>
      </c>
      <c r="E33" s="74">
        <f>[1]Productivity!AB33*0.73</f>
        <v>250.30648915508937</v>
      </c>
      <c r="F33" s="74">
        <f>[1]Productivity!AC33*0.73</f>
        <v>257.60346549512883</v>
      </c>
      <c r="G33" s="74">
        <f>[1]Productivity!AD33*0.73</f>
        <v>259.96164214193072</v>
      </c>
      <c r="H33" s="74">
        <f>[1]Productivity!AE33*0.73</f>
        <v>263.02399973324117</v>
      </c>
      <c r="I33" s="74">
        <f>[1]Productivity!AF33*0.73</f>
        <v>265.73038562458561</v>
      </c>
      <c r="J33" s="74">
        <f>[1]Productivity!AG33*0.73</f>
        <v>263.68168116729208</v>
      </c>
      <c r="K33" s="74">
        <f>[1]Productivity!AH33*0.73</f>
        <v>260.40329186452971</v>
      </c>
      <c r="L33" s="74">
        <f>[1]Productivity!AI33*0.73</f>
        <v>261.23909115722074</v>
      </c>
      <c r="M33" s="74">
        <f>[1]Productivity!AJ33*0.73</f>
        <v>261.20503214418551</v>
      </c>
      <c r="N33" s="74">
        <f>[1]Productivity!AK33*0.73</f>
        <v>261.34796602411478</v>
      </c>
      <c r="O33" s="74">
        <f>[1]Productivity!AL33*0.73</f>
        <v>263.15524037222264</v>
      </c>
      <c r="P33" s="74">
        <f>[1]Productivity!AM33*0.73</f>
        <v>264.24146914472266</v>
      </c>
      <c r="Q33" s="74">
        <f>[1]Productivity!AN33*0.73</f>
        <v>265.51780278926299</v>
      </c>
      <c r="R33" s="74">
        <f>[1]Productivity!AO33*0.73</f>
        <v>274.16053050964626</v>
      </c>
      <c r="S33" s="74">
        <f>[1]Productivity!AP33*0.73</f>
        <v>271.28636497785993</v>
      </c>
      <c r="T33" s="74">
        <f>[1]Productivity!AQ33*0.73</f>
        <v>269.06164447115009</v>
      </c>
      <c r="U33" s="74">
        <f>[1]Productivity!AR33*0.73</f>
        <v>281.4905289466231</v>
      </c>
      <c r="V33" s="74">
        <f>[1]Productivity!AS33*0.73</f>
        <v>288.4626454939916</v>
      </c>
      <c r="W33" s="74">
        <f>[1]Productivity!AT33*0.73</f>
        <v>280.61119708479168</v>
      </c>
      <c r="X33" s="74">
        <f>[1]Productivity!AU33*0.73</f>
        <v>280.7487102328999</v>
      </c>
      <c r="Y33" s="74">
        <f>[1]Productivity!AV33*0.73</f>
        <v>284.22948391136151</v>
      </c>
      <c r="Z33" s="72"/>
    </row>
    <row r="34" spans="1:26" ht="17.4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2"/>
      <c r="Z34" s="72"/>
    </row>
    <row r="35" spans="1:26" ht="17.45" customHeight="1">
      <c r="A35" s="19" t="s">
        <v>29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2"/>
      <c r="Z35" s="72"/>
    </row>
    <row r="36" spans="1:26" ht="17.45" customHeight="1">
      <c r="A36" t="str">
        <f>[1]Productivity!A36</f>
        <v>Steers</v>
      </c>
      <c r="B36" s="73">
        <f>B22*B29/1000000</f>
        <v>376.18088338077229</v>
      </c>
      <c r="C36" s="73">
        <f t="shared" ref="C36:Q36" si="8">C22*C29/1000000</f>
        <v>393.12303681556671</v>
      </c>
      <c r="D36" s="73">
        <f t="shared" si="8"/>
        <v>413.35653541231648</v>
      </c>
      <c r="E36" s="73">
        <f t="shared" si="8"/>
        <v>454.52039126392287</v>
      </c>
      <c r="F36" s="73">
        <f t="shared" si="8"/>
        <v>470.60950635859359</v>
      </c>
      <c r="G36" s="73">
        <f t="shared" si="8"/>
        <v>464.48842601141729</v>
      </c>
      <c r="H36" s="73">
        <f t="shared" si="8"/>
        <v>485.72574919132217</v>
      </c>
      <c r="I36" s="73">
        <f t="shared" si="8"/>
        <v>468.14029546924337</v>
      </c>
      <c r="J36" s="73">
        <f t="shared" si="8"/>
        <v>560.10809186024926</v>
      </c>
      <c r="K36" s="73">
        <f t="shared" si="8"/>
        <v>533.5317814466772</v>
      </c>
      <c r="L36" s="73">
        <f t="shared" si="8"/>
        <v>456.33666385758539</v>
      </c>
      <c r="M36" s="73">
        <f t="shared" si="8"/>
        <v>434.15228267002664</v>
      </c>
      <c r="N36" s="73">
        <f t="shared" si="8"/>
        <v>443.42605062339067</v>
      </c>
      <c r="O36" s="73">
        <f t="shared" si="8"/>
        <v>455.34962058229723</v>
      </c>
      <c r="P36" s="73">
        <f t="shared" si="8"/>
        <v>460.6903957766757</v>
      </c>
      <c r="Q36" s="73">
        <f t="shared" si="8"/>
        <v>432.84679994540039</v>
      </c>
      <c r="R36" s="73">
        <f>[1]Productivity!AO36*0.73</f>
        <v>419.58729421921333</v>
      </c>
      <c r="S36" s="73">
        <f>[1]Productivity!AP36*0.73</f>
        <v>413.59414297664432</v>
      </c>
      <c r="T36" s="73">
        <f>[1]Productivity!AQ36*0.73</f>
        <v>426.88793827945392</v>
      </c>
      <c r="U36" s="73">
        <f>[1]Productivity!AR36*0.73</f>
        <v>442.64433178291432</v>
      </c>
      <c r="V36" s="73">
        <f>[1]Productivity!AS36*0.73</f>
        <v>471.18241328514489</v>
      </c>
      <c r="W36" s="73">
        <f>[1]Productivity!AT36*0.73</f>
        <v>471.96036047421495</v>
      </c>
      <c r="X36" s="73">
        <f>[1]Productivity!AU36*0.73</f>
        <v>504.27958582251659</v>
      </c>
      <c r="Y36" s="73">
        <f>[1]Productivity!AV36*0.73</f>
        <v>547.58318825668005</v>
      </c>
      <c r="Z36" s="72"/>
    </row>
    <row r="37" spans="1:26" ht="17.45" customHeight="1">
      <c r="A37" t="str">
        <f>[1]Productivity!A37</f>
        <v>Heifers</v>
      </c>
      <c r="B37" s="73">
        <f t="shared" ref="B37:Q40" si="9">B23*B30/1000000</f>
        <v>166.03169637946306</v>
      </c>
      <c r="C37" s="73">
        <f t="shared" si="9"/>
        <v>226.27526810707175</v>
      </c>
      <c r="D37" s="73">
        <f t="shared" si="9"/>
        <v>255.85619111821111</v>
      </c>
      <c r="E37" s="73">
        <f t="shared" si="9"/>
        <v>298.04547539298994</v>
      </c>
      <c r="F37" s="73">
        <f t="shared" si="9"/>
        <v>294.73726675654046</v>
      </c>
      <c r="G37" s="73">
        <f t="shared" si="9"/>
        <v>294.26175900005944</v>
      </c>
      <c r="H37" s="73">
        <f t="shared" si="9"/>
        <v>302.39373651211974</v>
      </c>
      <c r="I37" s="73">
        <f t="shared" si="9"/>
        <v>271.16369637661148</v>
      </c>
      <c r="J37" s="73">
        <f t="shared" si="9"/>
        <v>364.66736501570426</v>
      </c>
      <c r="K37" s="73">
        <f t="shared" si="9"/>
        <v>344.88005279875728</v>
      </c>
      <c r="L37" s="73">
        <f t="shared" si="9"/>
        <v>293.8275909515732</v>
      </c>
      <c r="M37" s="73">
        <f t="shared" si="9"/>
        <v>279.98743241612885</v>
      </c>
      <c r="N37" s="73">
        <f t="shared" si="9"/>
        <v>277.5642456601779</v>
      </c>
      <c r="O37" s="73">
        <f t="shared" si="9"/>
        <v>278.34972017788562</v>
      </c>
      <c r="P37" s="73">
        <f t="shared" si="9"/>
        <v>293.33233614525557</v>
      </c>
      <c r="Q37" s="73">
        <f t="shared" si="9"/>
        <v>252.72110733813469</v>
      </c>
      <c r="R37" s="73">
        <f>[1]Productivity!AO37*0.73</f>
        <v>239.92538970058453</v>
      </c>
      <c r="S37" s="73">
        <f>[1]Productivity!AP37*0.73</f>
        <v>223.13416107751121</v>
      </c>
      <c r="T37" s="73">
        <f>[1]Productivity!AQ37*0.73</f>
        <v>235.09144500923759</v>
      </c>
      <c r="U37" s="73">
        <f>[1]Productivity!AR37*0.73</f>
        <v>216.25130290135149</v>
      </c>
      <c r="V37" s="73">
        <f>[1]Productivity!AS37*0.73</f>
        <v>228.72267392506652</v>
      </c>
      <c r="W37" s="73">
        <f>[1]Productivity!AT37*0.73</f>
        <v>250.87395484414901</v>
      </c>
      <c r="X37" s="73">
        <f>[1]Productivity!AU37*0.73</f>
        <v>259.05912988509925</v>
      </c>
      <c r="Y37" s="73">
        <f>[1]Productivity!AV37*0.73</f>
        <v>268.79264390728474</v>
      </c>
      <c r="Z37" s="72"/>
    </row>
    <row r="38" spans="1:26" ht="17.45" customHeight="1">
      <c r="A38" t="str">
        <f>[1]Productivity!A38</f>
        <v>Cows</v>
      </c>
      <c r="B38" s="73">
        <f t="shared" si="9"/>
        <v>103.77352009373479</v>
      </c>
      <c r="C38" s="73">
        <f t="shared" si="9"/>
        <v>126.8228742138641</v>
      </c>
      <c r="D38" s="73">
        <f t="shared" si="9"/>
        <v>116.19656098040838</v>
      </c>
      <c r="E38" s="73">
        <f t="shared" si="9"/>
        <v>115.19970805765051</v>
      </c>
      <c r="F38" s="73">
        <f t="shared" si="9"/>
        <v>109.24681747797355</v>
      </c>
      <c r="G38" s="73">
        <f t="shared" si="9"/>
        <v>114.95463094259125</v>
      </c>
      <c r="H38" s="73">
        <f t="shared" si="9"/>
        <v>121.98463886743097</v>
      </c>
      <c r="I38" s="73">
        <f t="shared" si="9"/>
        <v>81.694377995911566</v>
      </c>
      <c r="J38" s="73">
        <f t="shared" si="9"/>
        <v>94.777770269683387</v>
      </c>
      <c r="K38" s="73">
        <f t="shared" si="9"/>
        <v>128.64824723721836</v>
      </c>
      <c r="L38" s="73">
        <f t="shared" si="9"/>
        <v>160.77318513095341</v>
      </c>
      <c r="M38" s="73">
        <f t="shared" si="9"/>
        <v>163.13845752260266</v>
      </c>
      <c r="N38" s="73">
        <f t="shared" si="9"/>
        <v>180.3687777279261</v>
      </c>
      <c r="O38" s="73">
        <f t="shared" si="9"/>
        <v>143.80249571087569</v>
      </c>
      <c r="P38" s="73">
        <f t="shared" si="9"/>
        <v>135.28652262038892</v>
      </c>
      <c r="Q38" s="73">
        <f t="shared" si="9"/>
        <v>117.48613587236353</v>
      </c>
      <c r="R38" s="73">
        <f>[1]Productivity!AO38*0.73</f>
        <v>98.350962929174955</v>
      </c>
      <c r="S38" s="73">
        <f>[1]Productivity!AP38*0.73</f>
        <v>107.60611918283998</v>
      </c>
      <c r="T38" s="73">
        <f>[1]Productivity!AQ38*0.73</f>
        <v>98.198498447132977</v>
      </c>
      <c r="U38" s="73">
        <f>[1]Productivity!AR38*0.73</f>
        <v>89.820562906964156</v>
      </c>
      <c r="V38" s="73">
        <f>[1]Productivity!AS38*0.73</f>
        <v>102.36939699245781</v>
      </c>
      <c r="W38" s="73">
        <f>[1]Productivity!AT38*0.73</f>
        <v>114.47112645680801</v>
      </c>
      <c r="X38" s="73">
        <f>[1]Productivity!AU38*0.73</f>
        <v>129.44515376688742</v>
      </c>
      <c r="Y38" s="73">
        <f>[1]Productivity!AV38*0.73</f>
        <v>129.81495844337749</v>
      </c>
      <c r="Z38" s="72"/>
    </row>
    <row r="39" spans="1:26" ht="17.45" customHeight="1">
      <c r="A39" t="str">
        <f>[1]Productivity!A39</f>
        <v>Bulls</v>
      </c>
      <c r="B39" s="73">
        <f t="shared" si="9"/>
        <v>12.198506810201208</v>
      </c>
      <c r="C39" s="73">
        <f t="shared" si="9"/>
        <v>7.3681151286039333</v>
      </c>
      <c r="D39" s="73">
        <f t="shared" si="9"/>
        <v>7.1623093305185446</v>
      </c>
      <c r="E39" s="73">
        <f t="shared" si="9"/>
        <v>8.8688250899135834</v>
      </c>
      <c r="F39" s="73">
        <f t="shared" si="9"/>
        <v>5.7948467211650971</v>
      </c>
      <c r="G39" s="73">
        <f t="shared" si="9"/>
        <v>3.8232630300864616</v>
      </c>
      <c r="H39" s="73">
        <f t="shared" si="9"/>
        <v>3.1330881349221884</v>
      </c>
      <c r="I39" s="73">
        <f t="shared" si="9"/>
        <v>5.0792743316965421</v>
      </c>
      <c r="J39" s="73">
        <f t="shared" si="9"/>
        <v>11.835822968457748</v>
      </c>
      <c r="K39" s="73">
        <f t="shared" si="9"/>
        <v>17.361000243277676</v>
      </c>
      <c r="L39" s="73">
        <f t="shared" si="9"/>
        <v>16.177105536842717</v>
      </c>
      <c r="M39" s="73">
        <f t="shared" si="9"/>
        <v>16.485779853840594</v>
      </c>
      <c r="N39" s="73">
        <f t="shared" si="9"/>
        <v>7.2200046989664672</v>
      </c>
      <c r="O39" s="73">
        <f t="shared" si="9"/>
        <v>5.3937317216422569</v>
      </c>
      <c r="P39" s="73">
        <f t="shared" si="9"/>
        <v>10.390669260397377</v>
      </c>
      <c r="Q39" s="73">
        <f t="shared" si="9"/>
        <v>8.8064665426913606</v>
      </c>
      <c r="R39" s="73">
        <f>[1]Productivity!AO39*0.73</f>
        <v>4.8613671290224447</v>
      </c>
      <c r="S39" s="73">
        <f>[1]Productivity!AP39*0.73</f>
        <v>1.4960889556412102</v>
      </c>
      <c r="T39" s="73">
        <f>[1]Productivity!AQ39*0.73</f>
        <v>2.0689139413430748</v>
      </c>
      <c r="U39" s="73">
        <f>[1]Productivity!AR39*0.73</f>
        <v>3.6530956299490809</v>
      </c>
      <c r="V39" s="73">
        <f>[1]Productivity!AS39*0.73</f>
        <v>4.8168824008427693</v>
      </c>
      <c r="W39" s="73">
        <f>[1]Productivity!AT39*0.73</f>
        <v>6.5638821328000008</v>
      </c>
      <c r="X39" s="73">
        <f>[1]Productivity!AU39*0.73</f>
        <v>5.9459316824503299</v>
      </c>
      <c r="Y39" s="73">
        <f>[1]Productivity!AV39*0.73</f>
        <v>5.3872632327814571</v>
      </c>
      <c r="Z39" s="72"/>
    </row>
    <row r="40" spans="1:26" ht="17.45" customHeight="1">
      <c r="A40" s="18" t="s">
        <v>30</v>
      </c>
      <c r="B40" s="74">
        <f>SUM(B36:B39)</f>
        <v>658.18460666417138</v>
      </c>
      <c r="C40" s="74">
        <f t="shared" ref="C40:Y40" si="10">SUM(C36:C39)</f>
        <v>753.58929426510645</v>
      </c>
      <c r="D40" s="74">
        <f t="shared" si="10"/>
        <v>792.57159684145438</v>
      </c>
      <c r="E40" s="74">
        <f t="shared" si="10"/>
        <v>876.63439980447686</v>
      </c>
      <c r="F40" s="74">
        <f t="shared" si="10"/>
        <v>880.38843731427266</v>
      </c>
      <c r="G40" s="74">
        <f t="shared" si="10"/>
        <v>877.52807898415449</v>
      </c>
      <c r="H40" s="74">
        <f t="shared" si="10"/>
        <v>913.23721270579506</v>
      </c>
      <c r="I40" s="74">
        <f t="shared" si="10"/>
        <v>826.07764417346289</v>
      </c>
      <c r="J40" s="74">
        <f t="shared" si="10"/>
        <v>1031.3890501140947</v>
      </c>
      <c r="K40" s="74">
        <f t="shared" si="10"/>
        <v>1024.4210817259304</v>
      </c>
      <c r="L40" s="74">
        <f t="shared" si="10"/>
        <v>927.11454547695473</v>
      </c>
      <c r="M40" s="74">
        <f t="shared" si="10"/>
        <v>893.76395246259881</v>
      </c>
      <c r="N40" s="74">
        <f t="shared" si="10"/>
        <v>908.57907871046109</v>
      </c>
      <c r="O40" s="74">
        <f t="shared" si="10"/>
        <v>882.89556819270081</v>
      </c>
      <c r="P40" s="74">
        <f t="shared" si="10"/>
        <v>899.69992380271765</v>
      </c>
      <c r="Q40" s="74">
        <f t="shared" si="10"/>
        <v>811.86050969859002</v>
      </c>
      <c r="R40" s="74">
        <f t="shared" si="10"/>
        <v>762.72501397799533</v>
      </c>
      <c r="S40" s="74">
        <f t="shared" si="10"/>
        <v>745.83051219263666</v>
      </c>
      <c r="T40" s="74">
        <f t="shared" si="10"/>
        <v>762.2467956771676</v>
      </c>
      <c r="U40" s="74">
        <f t="shared" si="10"/>
        <v>752.36929322117908</v>
      </c>
      <c r="V40" s="74">
        <f t="shared" si="10"/>
        <v>807.09136660351203</v>
      </c>
      <c r="W40" s="74">
        <f t="shared" si="10"/>
        <v>843.86932390797188</v>
      </c>
      <c r="X40" s="74">
        <f t="shared" si="10"/>
        <v>898.72980115695361</v>
      </c>
      <c r="Y40" s="74">
        <f t="shared" si="10"/>
        <v>951.57805384012374</v>
      </c>
      <c r="Z40" s="72"/>
    </row>
    <row r="41" spans="1:26" ht="17.45" customHeight="1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2"/>
      <c r="Z41" s="72"/>
    </row>
    <row r="42" spans="1:26" ht="32.1" customHeight="1">
      <c r="A42" s="13" t="s">
        <v>31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5"/>
      <c r="Y42" s="72"/>
      <c r="Z42" s="72"/>
    </row>
    <row r="43" spans="1:26" ht="17.45" customHeight="1">
      <c r="A43" t="str">
        <f>[1]Productivity!A43</f>
        <v>Fed Steers  Number</v>
      </c>
      <c r="B43" s="68">
        <f>[1]Productivity!Y43</f>
        <v>460293</v>
      </c>
      <c r="C43" s="68">
        <f>[1]Productivity!Z43</f>
        <v>393166</v>
      </c>
      <c r="D43" s="68">
        <f>[1]Productivity!AA43</f>
        <v>393166</v>
      </c>
      <c r="E43" s="68">
        <f>[1]Productivity!AB43</f>
        <v>414428</v>
      </c>
      <c r="F43" s="68">
        <f>[1]Productivity!AC43</f>
        <v>358961</v>
      </c>
      <c r="G43" s="68">
        <f>[1]Productivity!AD43</f>
        <v>424335</v>
      </c>
      <c r="H43" s="68">
        <f>[1]Productivity!AE43</f>
        <v>346237</v>
      </c>
      <c r="I43" s="68">
        <f>[1]Productivity!AF43</f>
        <v>106506</v>
      </c>
      <c r="J43" s="68">
        <f>[1]Productivity!AG43</f>
        <v>0</v>
      </c>
      <c r="K43" s="68">
        <f>[1]Productivity!AH43</f>
        <v>208041</v>
      </c>
      <c r="L43" s="68">
        <f>[1]Productivity!AI43</f>
        <v>388832</v>
      </c>
      <c r="M43" s="68">
        <f>[1]Productivity!AJ43</f>
        <v>475661</v>
      </c>
      <c r="N43" s="68">
        <f>[1]Productivity!AK43</f>
        <v>358675</v>
      </c>
      <c r="O43" s="68">
        <f>[1]Productivity!AL43</f>
        <v>277738</v>
      </c>
      <c r="P43" s="68">
        <f>[1]Productivity!AM43</f>
        <v>368012</v>
      </c>
      <c r="Q43" s="68">
        <f>[1]Productivity!AN43</f>
        <v>256493</v>
      </c>
      <c r="R43" s="68">
        <f>[1]Productivity!AO43</f>
        <v>247996</v>
      </c>
      <c r="S43" s="68">
        <f>[1]Productivity!AP43</f>
        <v>213921</v>
      </c>
      <c r="T43" s="68">
        <f>[1]Productivity!AQ43</f>
        <v>231310</v>
      </c>
      <c r="U43" s="68">
        <f>[1]Productivity!AR43</f>
        <v>137502</v>
      </c>
      <c r="V43" s="68">
        <f>[1]Productivity!AS43</f>
        <v>177799</v>
      </c>
      <c r="W43" s="68">
        <f>[1]Productivity!AT43</f>
        <v>187628</v>
      </c>
      <c r="X43" s="68">
        <f>[1]Productivity!AU43</f>
        <v>115373</v>
      </c>
      <c r="Y43" s="68">
        <f>[1]Productivity!AV43</f>
        <v>138472.36363636365</v>
      </c>
      <c r="Z43" s="68"/>
    </row>
    <row r="44" spans="1:26" ht="17.45" customHeight="1">
      <c r="A44" t="str">
        <f>[1]Productivity!A44</f>
        <v xml:space="preserve">Fed Heifers </v>
      </c>
      <c r="B44" s="68">
        <f>[1]Productivity!Y44</f>
        <v>265795</v>
      </c>
      <c r="C44" s="68">
        <f>[1]Productivity!Z44</f>
        <v>136.42927968792526</v>
      </c>
      <c r="D44" s="68">
        <f>[1]Productivity!AA44</f>
        <v>312711.30704329524</v>
      </c>
      <c r="E44" s="68">
        <f>[1]Productivity!AB44</f>
        <v>239433.33488130127</v>
      </c>
      <c r="F44" s="68">
        <f>[1]Productivity!AC44</f>
        <v>195182</v>
      </c>
      <c r="G44" s="68">
        <f>[1]Productivity!AD44</f>
        <v>285805</v>
      </c>
      <c r="H44" s="68">
        <f>[1]Productivity!AE44</f>
        <v>248399</v>
      </c>
      <c r="I44" s="68">
        <f>[1]Productivity!AF44</f>
        <v>94371</v>
      </c>
      <c r="J44" s="68">
        <f>[1]Productivity!AG44</f>
        <v>0</v>
      </c>
      <c r="K44" s="68">
        <f>[1]Productivity!AH44</f>
        <v>107883</v>
      </c>
      <c r="L44" s="68">
        <f>[1]Productivity!AI44</f>
        <v>314055</v>
      </c>
      <c r="M44" s="68">
        <f>[1]Productivity!AJ44</f>
        <v>362834</v>
      </c>
      <c r="N44" s="68">
        <f>[1]Productivity!AK44</f>
        <v>302353</v>
      </c>
      <c r="O44" s="68">
        <f>[1]Productivity!AL44</f>
        <v>245756</v>
      </c>
      <c r="P44" s="68">
        <f>[1]Productivity!AM44</f>
        <v>252606</v>
      </c>
      <c r="Q44" s="68">
        <f>[1]Productivity!AN44</f>
        <v>180337</v>
      </c>
      <c r="R44" s="68">
        <f>[1]Productivity!AO44</f>
        <v>183819</v>
      </c>
      <c r="S44" s="68">
        <f>[1]Productivity!AP44</f>
        <v>136846</v>
      </c>
      <c r="T44" s="68">
        <f>[1]Productivity!AQ44</f>
        <v>172006</v>
      </c>
      <c r="U44" s="68">
        <f>[1]Productivity!AR44</f>
        <v>95369</v>
      </c>
      <c r="V44" s="68">
        <f>[1]Productivity!AS44</f>
        <v>152669</v>
      </c>
      <c r="W44" s="68">
        <f>[1]Productivity!AT44</f>
        <v>148758</v>
      </c>
      <c r="X44" s="68">
        <f>[1]Productivity!AU44</f>
        <v>123944</v>
      </c>
      <c r="Y44" s="68">
        <f>[1]Productivity!AV44</f>
        <v>199382.18181818182</v>
      </c>
      <c r="Z44" s="68"/>
    </row>
    <row r="45" spans="1:26" ht="17.45" customHeight="1">
      <c r="A45" t="s">
        <v>32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17.45" customHeight="1">
      <c r="A46" t="str">
        <f>[1]Productivity!A46</f>
        <v xml:space="preserve">Sl. Cows </v>
      </c>
      <c r="B46" s="68">
        <f>[1]Productivity!Y46</f>
        <v>231201</v>
      </c>
      <c r="C46" s="68">
        <f>[1]Productivity!Z46</f>
        <v>286935</v>
      </c>
      <c r="D46" s="68">
        <f>[1]Productivity!AA46</f>
        <v>275537</v>
      </c>
      <c r="E46" s="68">
        <f>[1]Productivity!AB46</f>
        <v>-23841.02682152369</v>
      </c>
      <c r="F46" s="68">
        <f>[1]Productivity!AC46</f>
        <v>171448</v>
      </c>
      <c r="G46" s="68">
        <f>[1]Productivity!AD46</f>
        <v>257584</v>
      </c>
      <c r="H46" s="68">
        <f>[1]Productivity!AE46</f>
        <v>372294</v>
      </c>
      <c r="I46" s="68">
        <f>[1]Productivity!AF46</f>
        <v>136161</v>
      </c>
      <c r="J46" s="68">
        <f>[1]Productivity!AG46</f>
        <v>0</v>
      </c>
      <c r="K46" s="68">
        <f>[1]Productivity!AH46</f>
        <v>2799</v>
      </c>
      <c r="L46" s="68">
        <f>[1]Productivity!AI46</f>
        <v>0</v>
      </c>
      <c r="M46" s="68">
        <f>[1]Productivity!AJ46</f>
        <v>8469</v>
      </c>
      <c r="N46" s="68">
        <f>[1]Productivity!AK46</f>
        <v>186657</v>
      </c>
      <c r="O46" s="68">
        <f>[1]Productivity!AL46</f>
        <v>199433</v>
      </c>
      <c r="P46" s="68">
        <f>[1]Productivity!AM46</f>
        <v>182815</v>
      </c>
      <c r="Q46" s="68">
        <f>[1]Productivity!AN46</f>
        <v>112425</v>
      </c>
      <c r="R46" s="68">
        <f>[1]Productivity!AO46</f>
        <v>179824</v>
      </c>
      <c r="S46" s="68">
        <f>[1]Productivity!AP46</f>
        <v>277992</v>
      </c>
      <c r="T46" s="68">
        <f>[1]Productivity!AQ46</f>
        <v>276560</v>
      </c>
      <c r="U46" s="68">
        <f>[1]Productivity!AR46</f>
        <v>204938</v>
      </c>
      <c r="V46" s="68">
        <f>[1]Productivity!AS46</f>
        <v>187225</v>
      </c>
      <c r="W46" s="68">
        <f>[1]Productivity!AT46</f>
        <v>126292</v>
      </c>
      <c r="X46" s="68">
        <f>[1]Productivity!AU46</f>
        <v>145537</v>
      </c>
      <c r="Y46" s="68">
        <f>[1]Productivity!AV46</f>
        <v>145358.18181818182</v>
      </c>
      <c r="Z46" s="68"/>
    </row>
    <row r="47" spans="1:26" ht="17.45" customHeight="1">
      <c r="A47" t="str">
        <f>[1]Productivity!A47</f>
        <v xml:space="preserve">Sl. Bulls </v>
      </c>
      <c r="B47" s="68">
        <f>[1]Productivity!Y47</f>
        <v>49429</v>
      </c>
      <c r="C47" s="68">
        <f>[1]Productivity!Z47</f>
        <v>55449</v>
      </c>
      <c r="D47" s="68">
        <f>[1]Productivity!AA47</f>
        <v>53161</v>
      </c>
      <c r="E47" s="68">
        <f>[1]Productivity!AB47</f>
        <v>23841.02682152369</v>
      </c>
      <c r="F47" s="68">
        <f>[1]Productivity!AC47</f>
        <v>44286</v>
      </c>
      <c r="G47" s="68">
        <f>[1]Productivity!AD47</f>
        <v>53575</v>
      </c>
      <c r="H47" s="68">
        <f>[1]Productivity!AE47</f>
        <v>57448</v>
      </c>
      <c r="I47" s="68">
        <f>[1]Productivity!AF47</f>
        <v>17006</v>
      </c>
      <c r="J47" s="68">
        <f>[1]Productivity!AG47</f>
        <v>0</v>
      </c>
      <c r="K47" s="68">
        <f>[1]Productivity!AH47</f>
        <v>476</v>
      </c>
      <c r="L47" s="68">
        <f>[1]Productivity!AI47</f>
        <v>904</v>
      </c>
      <c r="M47" s="68">
        <f>[1]Productivity!AJ47</f>
        <v>2351</v>
      </c>
      <c r="N47" s="68">
        <f>[1]Productivity!AK47</f>
        <v>47958</v>
      </c>
      <c r="O47" s="68">
        <f>[1]Productivity!AL47</f>
        <v>40238</v>
      </c>
      <c r="P47" s="68">
        <f>[1]Productivity!AM47</f>
        <v>28179</v>
      </c>
      <c r="Q47" s="68">
        <f>[1]Productivity!AN47</f>
        <v>24274</v>
      </c>
      <c r="R47" s="68">
        <f>[1]Productivity!AO47</f>
        <v>27462</v>
      </c>
      <c r="S47" s="68">
        <f>[1]Productivity!AP47</f>
        <v>42444</v>
      </c>
      <c r="T47" s="68">
        <f>[1]Productivity!AQ47</f>
        <v>44638</v>
      </c>
      <c r="U47" s="68">
        <f>[1]Productivity!AR47</f>
        <v>33132</v>
      </c>
      <c r="V47" s="68">
        <f>[1]Productivity!AS47</f>
        <v>28627</v>
      </c>
      <c r="W47" s="68">
        <f>[1]Productivity!AT47</f>
        <v>26666</v>
      </c>
      <c r="X47" s="68">
        <f>[1]Productivity!AU47</f>
        <v>29990</v>
      </c>
      <c r="Y47" s="68">
        <f>[1]Productivity!AV47</f>
        <v>32741.454545454544</v>
      </c>
      <c r="Z47" s="68"/>
    </row>
    <row r="48" spans="1:26" ht="17.45" customHeight="1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68"/>
      <c r="X48" s="72"/>
      <c r="Y48" s="68"/>
      <c r="Z48" s="68"/>
    </row>
    <row r="49" spans="1:26" ht="17.45" customHeight="1">
      <c r="A49" s="19" t="s">
        <v>33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26" ht="17.45" customHeight="1">
      <c r="A50" t="str">
        <f>[1]Productivity!A50</f>
        <v>Steers  '000 Tonnes</v>
      </c>
      <c r="B50" s="76">
        <f>[1]Productivity!Y50*0.73</f>
        <v>115.22566490066224</v>
      </c>
      <c r="C50" s="76">
        <f>[1]Productivity!Z50*0.73</f>
        <v>99.593374172185435</v>
      </c>
      <c r="D50" s="76">
        <f>[1]Productivity!AA50*0.73</f>
        <v>102.97824701986754</v>
      </c>
      <c r="E50" s="76">
        <f t="shared" ref="E50:Y51" si="11">(E43*E29)/1000000</f>
        <v>109.23334039735099</v>
      </c>
      <c r="F50" s="76">
        <f t="shared" si="11"/>
        <v>96.634202980132429</v>
      </c>
      <c r="G50" s="76">
        <f t="shared" si="11"/>
        <v>115.35729635761591</v>
      </c>
      <c r="H50" s="76">
        <f t="shared" si="11"/>
        <v>95.387147019867541</v>
      </c>
      <c r="I50" s="76">
        <f t="shared" si="11"/>
        <v>29.447850993377482</v>
      </c>
      <c r="J50" s="76">
        <f t="shared" si="11"/>
        <v>0</v>
      </c>
      <c r="K50" s="76">
        <f t="shared" si="11"/>
        <v>56.970167880794691</v>
      </c>
      <c r="L50" s="76">
        <f t="shared" si="11"/>
        <v>108.28069933774833</v>
      </c>
      <c r="M50" s="76">
        <f t="shared" si="11"/>
        <v>132.29559393</v>
      </c>
      <c r="N50" s="76">
        <f t="shared" si="11"/>
        <v>100.00144039735098</v>
      </c>
      <c r="O50" s="76">
        <f t="shared" si="11"/>
        <v>77.803426490066229</v>
      </c>
      <c r="P50" s="76">
        <f t="shared" si="11"/>
        <v>103.45767814569535</v>
      </c>
      <c r="Q50" s="76">
        <f t="shared" si="11"/>
        <v>72.701327152317873</v>
      </c>
      <c r="R50" s="76">
        <f t="shared" si="11"/>
        <v>72.099499337748327</v>
      </c>
      <c r="S50" s="76">
        <f t="shared" si="11"/>
        <v>61.909587417218539</v>
      </c>
      <c r="T50" s="76">
        <f t="shared" si="11"/>
        <v>65.923349999999999</v>
      </c>
      <c r="U50" s="76">
        <f t="shared" si="11"/>
        <v>40.700592</v>
      </c>
      <c r="V50" s="76">
        <f t="shared" si="11"/>
        <v>54.105059933774839</v>
      </c>
      <c r="W50" s="77">
        <f t="shared" si="11"/>
        <v>55.540702419999995</v>
      </c>
      <c r="X50" s="77">
        <f t="shared" si="11"/>
        <v>34.229870198675492</v>
      </c>
      <c r="Y50" s="77">
        <f t="shared" si="11"/>
        <v>41.646948087272726</v>
      </c>
      <c r="Z50" s="72"/>
    </row>
    <row r="51" spans="1:26" ht="17.45" customHeight="1">
      <c r="A51" t="str">
        <f>[1]Productivity!A51</f>
        <v>Heifers</v>
      </c>
      <c r="B51" s="76">
        <f>[1]Productivity!Y51*0.73</f>
        <v>60.375950331125821</v>
      </c>
      <c r="C51" s="76">
        <f>[1]Productivity!Z51*0.73</f>
        <v>3.1667855980541587E-2</v>
      </c>
      <c r="D51" s="76">
        <f>[1]Productivity!AA51*0.73</f>
        <v>75.692703790943298</v>
      </c>
      <c r="E51" s="76">
        <f t="shared" si="11"/>
        <v>58.669095302040709</v>
      </c>
      <c r="F51" s="76">
        <f t="shared" si="11"/>
        <v>49.247908609271519</v>
      </c>
      <c r="G51" s="76">
        <f t="shared" si="11"/>
        <v>72.870811258278138</v>
      </c>
      <c r="H51" s="76">
        <f t="shared" si="11"/>
        <v>63.909279139072837</v>
      </c>
      <c r="I51" s="76">
        <f t="shared" si="11"/>
        <v>24.405215562913906</v>
      </c>
      <c r="J51" s="76">
        <f t="shared" si="11"/>
        <v>0</v>
      </c>
      <c r="K51" s="76">
        <f t="shared" si="11"/>
        <v>27.578038410596026</v>
      </c>
      <c r="L51" s="76">
        <f t="shared" si="11"/>
        <v>81.009551324503292</v>
      </c>
      <c r="M51" s="76">
        <f t="shared" si="11"/>
        <v>94.072523841059592</v>
      </c>
      <c r="N51" s="76">
        <f t="shared" si="11"/>
        <v>79.016933019999996</v>
      </c>
      <c r="O51" s="76">
        <f t="shared" si="11"/>
        <v>64.04303708609271</v>
      </c>
      <c r="P51" s="76">
        <f t="shared" si="11"/>
        <v>65.744475496688736</v>
      </c>
      <c r="Q51" s="76">
        <f t="shared" si="11"/>
        <v>46.815962913907278</v>
      </c>
      <c r="R51" s="76">
        <f t="shared" si="11"/>
        <v>49.850251986754962</v>
      </c>
      <c r="S51" s="76">
        <f t="shared" si="11"/>
        <v>36.794354966887411</v>
      </c>
      <c r="T51" s="76">
        <f t="shared" si="11"/>
        <v>45.237577999999999</v>
      </c>
      <c r="U51" s="76">
        <f t="shared" si="11"/>
        <v>26.035737000000001</v>
      </c>
      <c r="V51" s="76">
        <f t="shared" si="11"/>
        <v>42.514777814569534</v>
      </c>
      <c r="W51" s="77">
        <f t="shared" si="11"/>
        <v>40.537893822000001</v>
      </c>
      <c r="X51" s="77">
        <f t="shared" si="11"/>
        <v>33.940956291390727</v>
      </c>
      <c r="Y51" s="77">
        <f t="shared" si="11"/>
        <v>55.193213245033107</v>
      </c>
      <c r="Z51" s="72"/>
    </row>
    <row r="52" spans="1:26" ht="17.45" customHeight="1">
      <c r="A52" t="str">
        <f>[1]Productivity!A52</f>
        <v>Cows</v>
      </c>
      <c r="B52" s="76">
        <f>[1]Productivity!Y52*0.73</f>
        <v>46.469869867549662</v>
      </c>
      <c r="C52" s="76">
        <f>[1]Productivity!Z52*0.73</f>
        <v>58.24210430463576</v>
      </c>
      <c r="D52" s="76">
        <f>[1]Productivity!AA52*0.73</f>
        <v>58.11823476821192</v>
      </c>
      <c r="E52" s="76">
        <f t="shared" ref="E52:Y53" si="12">(E46*E31)/1000000</f>
        <v>-5.1629243514160565</v>
      </c>
      <c r="F52" s="76">
        <f t="shared" si="12"/>
        <v>38.831268874172181</v>
      </c>
      <c r="G52" s="76">
        <f t="shared" si="12"/>
        <v>59.193144370860921</v>
      </c>
      <c r="H52" s="76">
        <f t="shared" si="12"/>
        <v>86.78641589403972</v>
      </c>
      <c r="I52" s="76">
        <f t="shared" si="12"/>
        <v>31.650669536423841</v>
      </c>
      <c r="J52" s="76">
        <f t="shared" si="12"/>
        <v>0</v>
      </c>
      <c r="K52" s="76">
        <f t="shared" si="12"/>
        <v>0.61448245033112581</v>
      </c>
      <c r="L52" s="76">
        <f t="shared" si="12"/>
        <v>0</v>
      </c>
      <c r="M52" s="76">
        <f t="shared" si="12"/>
        <v>1.8872970198675494</v>
      </c>
      <c r="N52" s="76">
        <f t="shared" si="12"/>
        <v>41.967959880000002</v>
      </c>
      <c r="O52" s="76">
        <f t="shared" si="12"/>
        <v>44.509219205298017</v>
      </c>
      <c r="P52" s="76">
        <f t="shared" si="12"/>
        <v>40.679364238410592</v>
      </c>
      <c r="Q52" s="76">
        <f t="shared" si="12"/>
        <v>24.904743377483438</v>
      </c>
      <c r="R52" s="76">
        <f t="shared" si="12"/>
        <v>40.251994701986753</v>
      </c>
      <c r="S52" s="76">
        <f t="shared" si="12"/>
        <v>61.673721854304631</v>
      </c>
      <c r="T52" s="76">
        <f t="shared" si="12"/>
        <v>62.502560000000003</v>
      </c>
      <c r="U52" s="76">
        <f t="shared" si="12"/>
        <v>49.185120000000005</v>
      </c>
      <c r="V52" s="76">
        <f t="shared" si="12"/>
        <v>46.310289735099339</v>
      </c>
      <c r="W52" s="77">
        <f t="shared" si="12"/>
        <v>30.571251856000003</v>
      </c>
      <c r="X52" s="77">
        <f t="shared" si="12"/>
        <v>35.083091390728477</v>
      </c>
      <c r="Y52" s="77">
        <f t="shared" si="12"/>
        <v>34.991853702588806</v>
      </c>
      <c r="Z52" s="72"/>
    </row>
    <row r="53" spans="1:26" ht="17.45" customHeight="1">
      <c r="A53" t="str">
        <f>[1]Productivity!A53</f>
        <v>Bulls</v>
      </c>
      <c r="B53" s="76">
        <f>[1]Productivity!Y53*0.73</f>
        <v>14.586465165562915</v>
      </c>
      <c r="C53" s="76">
        <f>[1]Productivity!Z53*0.73</f>
        <v>15.514703642384104</v>
      </c>
      <c r="D53" s="76">
        <f>[1]Productivity!AA53*0.73</f>
        <v>15.543431456953639</v>
      </c>
      <c r="E53" s="76">
        <f t="shared" si="12"/>
        <v>7.1680968059415591</v>
      </c>
      <c r="F53" s="76">
        <f t="shared" si="12"/>
        <v>13.505763576158939</v>
      </c>
      <c r="G53" s="76">
        <f t="shared" si="12"/>
        <v>16.178940397350992</v>
      </c>
      <c r="H53" s="76">
        <f t="shared" si="12"/>
        <v>17.367557615894039</v>
      </c>
      <c r="I53" s="76">
        <f t="shared" si="12"/>
        <v>5.5522900662251651</v>
      </c>
      <c r="J53" s="76">
        <f t="shared" si="12"/>
        <v>0</v>
      </c>
      <c r="K53" s="76">
        <f t="shared" si="12"/>
        <v>0.16360529801324503</v>
      </c>
      <c r="L53" s="76">
        <f t="shared" si="12"/>
        <v>0.30771920529801322</v>
      </c>
      <c r="M53" s="76">
        <f t="shared" si="12"/>
        <v>0.79482483443708585</v>
      </c>
      <c r="N53" s="76">
        <f t="shared" si="12"/>
        <v>15.894240360000001</v>
      </c>
      <c r="O53" s="76">
        <f t="shared" si="12"/>
        <v>12.697620529801325</v>
      </c>
      <c r="P53" s="76">
        <f t="shared" si="12"/>
        <v>9.4241026490066222</v>
      </c>
      <c r="Q53" s="76">
        <f t="shared" si="12"/>
        <v>8.0055973509933764</v>
      </c>
      <c r="R53" s="76">
        <f t="shared" si="12"/>
        <v>9.0660973509933775</v>
      </c>
      <c r="S53" s="76">
        <f t="shared" si="12"/>
        <v>12.213190728476823</v>
      </c>
      <c r="T53" s="76">
        <f t="shared" si="12"/>
        <v>13.703866</v>
      </c>
      <c r="U53" s="76">
        <f t="shared" si="12"/>
        <v>10.999824</v>
      </c>
      <c r="V53" s="76">
        <f t="shared" si="12"/>
        <v>9.630805298013243</v>
      </c>
      <c r="W53" s="77">
        <f t="shared" si="12"/>
        <v>9.0323075199999998</v>
      </c>
      <c r="X53" s="77">
        <f t="shared" si="12"/>
        <v>9.6424801324503289</v>
      </c>
      <c r="Y53" s="77">
        <f t="shared" si="12"/>
        <v>10.375354966887416</v>
      </c>
      <c r="Z53" s="72"/>
    </row>
    <row r="54" spans="1:26" ht="17.45" customHeight="1">
      <c r="A54" s="18" t="s">
        <v>34</v>
      </c>
      <c r="B54" s="76">
        <f t="shared" ref="B54:C54" si="13">B55/0.73</f>
        <v>324.18897296561732</v>
      </c>
      <c r="C54" s="76">
        <f t="shared" si="13"/>
        <v>237.50938352765181</v>
      </c>
      <c r="D54" s="76">
        <f>D55/0.73</f>
        <v>345.66111922736496</v>
      </c>
      <c r="E54" s="76">
        <f t="shared" ref="E54:Y54" si="14">E55/0.73</f>
        <v>232.75014815605098</v>
      </c>
      <c r="F54" s="76">
        <f t="shared" si="14"/>
        <v>271.53307402703433</v>
      </c>
      <c r="G54" s="76">
        <f t="shared" si="14"/>
        <v>361.09615395083006</v>
      </c>
      <c r="H54" s="76">
        <f t="shared" si="14"/>
        <v>360.89095845051253</v>
      </c>
      <c r="I54" s="76">
        <f t="shared" si="14"/>
        <v>124.7342824095074</v>
      </c>
      <c r="J54" s="76">
        <f t="shared" si="14"/>
        <v>0</v>
      </c>
      <c r="K54" s="76">
        <f t="shared" si="14"/>
        <v>116.88533430100698</v>
      </c>
      <c r="L54" s="76">
        <f t="shared" si="14"/>
        <v>259.72324639390359</v>
      </c>
      <c r="M54" s="76">
        <f t="shared" si="14"/>
        <v>313.76745154159488</v>
      </c>
      <c r="N54" s="76">
        <f t="shared" si="14"/>
        <v>324.49393651691912</v>
      </c>
      <c r="O54" s="76">
        <f t="shared" si="14"/>
        <v>272.67575796062783</v>
      </c>
      <c r="P54" s="76">
        <f t="shared" si="14"/>
        <v>300.41865826000173</v>
      </c>
      <c r="Q54" s="76">
        <f t="shared" si="14"/>
        <v>208.80497369137257</v>
      </c>
      <c r="R54" s="76">
        <f t="shared" si="14"/>
        <v>234.61348407874442</v>
      </c>
      <c r="S54" s="76">
        <f t="shared" si="14"/>
        <v>236.42582872176357</v>
      </c>
      <c r="T54" s="76">
        <f t="shared" si="14"/>
        <v>256.66760821917808</v>
      </c>
      <c r="U54" s="76">
        <f t="shared" si="14"/>
        <v>173.86475753424659</v>
      </c>
      <c r="V54" s="76">
        <f t="shared" si="14"/>
        <v>208.98757915268072</v>
      </c>
      <c r="W54" s="77">
        <f t="shared" si="14"/>
        <v>185.86596660000001</v>
      </c>
      <c r="X54" s="77">
        <f t="shared" si="14"/>
        <v>154.65260001814386</v>
      </c>
      <c r="Y54" s="77">
        <f t="shared" si="14"/>
        <v>194.8046164407973</v>
      </c>
      <c r="Z54" s="72"/>
    </row>
    <row r="55" spans="1:26" ht="17.45" customHeight="1">
      <c r="A55" s="18" t="s">
        <v>35</v>
      </c>
      <c r="B55" s="76">
        <f t="shared" ref="B55:C55" si="15">SUM(B50:B53)</f>
        <v>236.65795026490065</v>
      </c>
      <c r="C55" s="76">
        <f t="shared" si="15"/>
        <v>173.38184997518582</v>
      </c>
      <c r="D55" s="76">
        <f>SUM(D50:D53)</f>
        <v>252.3326170359764</v>
      </c>
      <c r="E55" s="76">
        <f t="shared" ref="E55:T55" si="16">SUM(E50:E53)</f>
        <v>169.90760815391721</v>
      </c>
      <c r="F55" s="76">
        <f t="shared" si="16"/>
        <v>198.21914403973506</v>
      </c>
      <c r="G55" s="76">
        <f t="shared" si="16"/>
        <v>263.60019238410592</v>
      </c>
      <c r="H55" s="76">
        <f t="shared" si="16"/>
        <v>263.45039966887413</v>
      </c>
      <c r="I55" s="76">
        <f t="shared" si="16"/>
        <v>91.056026158940398</v>
      </c>
      <c r="J55" s="76">
        <f t="shared" si="16"/>
        <v>0</v>
      </c>
      <c r="K55" s="76">
        <f t="shared" si="16"/>
        <v>85.326294039735089</v>
      </c>
      <c r="L55" s="76">
        <f t="shared" si="16"/>
        <v>189.59796986754964</v>
      </c>
      <c r="M55" s="76">
        <f t="shared" si="16"/>
        <v>229.05023962536424</v>
      </c>
      <c r="N55" s="76">
        <f t="shared" si="16"/>
        <v>236.88057365735096</v>
      </c>
      <c r="O55" s="76">
        <f t="shared" si="16"/>
        <v>199.0533033112583</v>
      </c>
      <c r="P55" s="76">
        <f t="shared" si="16"/>
        <v>219.30562052980127</v>
      </c>
      <c r="Q55" s="76">
        <f t="shared" si="16"/>
        <v>152.42763079470197</v>
      </c>
      <c r="R55" s="76">
        <f t="shared" si="16"/>
        <v>171.26784337748342</v>
      </c>
      <c r="S55" s="76">
        <f t="shared" si="16"/>
        <v>172.59085496688741</v>
      </c>
      <c r="T55" s="76">
        <f t="shared" si="16"/>
        <v>187.36735400000001</v>
      </c>
      <c r="U55" s="78">
        <f>SUM(U50:U53)</f>
        <v>126.921273</v>
      </c>
      <c r="V55" s="76">
        <f>SUM(V50:V53)</f>
        <v>152.56093278145693</v>
      </c>
      <c r="W55" s="77">
        <f>SUM(W50:W53)</f>
        <v>135.682155618</v>
      </c>
      <c r="X55" s="77">
        <f>SUM(X50:X53)</f>
        <v>112.89639801324502</v>
      </c>
      <c r="Y55" s="77">
        <f>SUM(Y50:Y53)</f>
        <v>142.20737000178204</v>
      </c>
      <c r="Z55" s="72"/>
    </row>
    <row r="56" spans="1:26" ht="43.5" customHeight="1">
      <c r="A56" s="118" t="s">
        <v>36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spans="1:26" ht="17.45" customHeight="1">
      <c r="A57" t="s">
        <v>37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5"/>
      <c r="X57" s="75"/>
      <c r="Y57" s="72"/>
      <c r="Z57" s="72"/>
    </row>
    <row r="58" spans="1:26" ht="17.45" customHeight="1">
      <c r="A58" t="str">
        <f>[1]Productivity!A58</f>
        <v xml:space="preserve">Steers </v>
      </c>
      <c r="B58" s="68">
        <f>[1]Productivity!Y58</f>
        <v>83351</v>
      </c>
      <c r="C58" s="68">
        <f>[1]Productivity!Z58</f>
        <v>120483.3</v>
      </c>
      <c r="D58" s="68">
        <f>[1]Productivity!AA58</f>
        <v>73178</v>
      </c>
      <c r="E58" s="68">
        <f>[1]Productivity!AB58</f>
        <v>-56421</v>
      </c>
      <c r="F58" s="68">
        <f>[1]Productivity!AC58</f>
        <v>79759</v>
      </c>
      <c r="G58" s="68">
        <f>[1]Productivity!AD58</f>
        <v>103257</v>
      </c>
      <c r="H58" s="68">
        <f>[1]Productivity!AE58</f>
        <v>257757</v>
      </c>
      <c r="I58" s="68">
        <f>[1]Productivity!AF58</f>
        <v>57860</v>
      </c>
      <c r="J58" s="68">
        <f>[1]Productivity!AG58</f>
        <v>0</v>
      </c>
      <c r="K58" s="68">
        <f>[1]Productivity!AH58</f>
        <v>150974</v>
      </c>
      <c r="L58" s="68">
        <f>[1]Productivity!AI58</f>
        <v>176739</v>
      </c>
      <c r="M58" s="68">
        <f>[1]Productivity!AJ58</f>
        <v>294401</v>
      </c>
      <c r="N58" s="68">
        <f>[1]Productivity!AK58</f>
        <v>270327</v>
      </c>
      <c r="O58" s="68">
        <f>[1]Productivity!AL58</f>
        <v>104362</v>
      </c>
      <c r="P58" s="68">
        <f>[1]Productivity!AM58</f>
        <v>81423</v>
      </c>
      <c r="Q58" s="68">
        <f>[1]Productivity!AN58</f>
        <v>47378</v>
      </c>
      <c r="R58" s="68">
        <f>[1]Productivity!AO58</f>
        <v>77010</v>
      </c>
      <c r="S58" s="68">
        <f>[1]Productivity!AP58</f>
        <v>149412</v>
      </c>
      <c r="T58" s="68">
        <f>[1]Productivity!AQ58</f>
        <v>231310</v>
      </c>
      <c r="U58" s="68">
        <f>[1]Productivity!AR58</f>
        <v>137502</v>
      </c>
      <c r="V58" s="68">
        <f>[1]Productivity!AS58</f>
        <v>177799</v>
      </c>
      <c r="W58" s="68">
        <f>[1]Productivity!AT58</f>
        <v>187628</v>
      </c>
      <c r="X58" s="68">
        <f>[1]Productivity!AU58</f>
        <v>115373</v>
      </c>
      <c r="Y58" s="68">
        <f>[1]Productivity!AV58</f>
        <v>138472.36363636365</v>
      </c>
      <c r="Z58" s="72"/>
    </row>
    <row r="59" spans="1:26" ht="17.45" customHeight="1">
      <c r="A59" t="str">
        <f>[1]Productivity!A59</f>
        <v xml:space="preserve">Heifers </v>
      </c>
      <c r="B59" s="68">
        <f>[1]Productivity!Y59</f>
        <v>69467</v>
      </c>
      <c r="C59" s="68">
        <f>[1]Productivity!Z59</f>
        <v>69467</v>
      </c>
      <c r="D59" s="68">
        <f>[1]Productivity!AA59</f>
        <v>69467</v>
      </c>
      <c r="E59" s="68">
        <f>[1]Productivity!AB59</f>
        <v>69467</v>
      </c>
      <c r="F59" s="68">
        <f>[1]Productivity!AC59</f>
        <v>20569</v>
      </c>
      <c r="G59" s="68">
        <f>[1]Productivity!AD59</f>
        <v>55202</v>
      </c>
      <c r="H59" s="68">
        <f>[1]Productivity!AE59</f>
        <v>188937</v>
      </c>
      <c r="I59" s="68">
        <f>[1]Productivity!AF59</f>
        <v>33017.739094620614</v>
      </c>
      <c r="J59" s="68">
        <f>[1]Productivity!AG59</f>
        <v>0</v>
      </c>
      <c r="K59" s="68">
        <f>[1]Productivity!AH59</f>
        <v>76065</v>
      </c>
      <c r="L59" s="68">
        <f>[1]Productivity!AI59</f>
        <v>131981</v>
      </c>
      <c r="M59" s="68">
        <f>[1]Productivity!AJ59</f>
        <v>243598</v>
      </c>
      <c r="N59" s="68">
        <f>[1]Productivity!AK59</f>
        <v>356016</v>
      </c>
      <c r="O59" s="68">
        <f>[1]Productivity!AL59</f>
        <v>178144</v>
      </c>
      <c r="P59" s="68">
        <f>[1]Productivity!AM59</f>
        <v>135460</v>
      </c>
      <c r="Q59" s="68">
        <f>[1]Productivity!AN59</f>
        <v>52592</v>
      </c>
      <c r="R59" s="68">
        <f>[1]Productivity!AO59</f>
        <v>88619</v>
      </c>
      <c r="S59" s="68">
        <f>[1]Productivity!AP59</f>
        <v>205664</v>
      </c>
      <c r="T59" s="68">
        <f>[1]Productivity!AQ59</f>
        <v>121054</v>
      </c>
      <c r="U59" s="68">
        <f>[1]Productivity!AR59</f>
        <v>72813</v>
      </c>
      <c r="V59" s="68">
        <f>[1]Productivity!AS59</f>
        <v>69829</v>
      </c>
      <c r="W59" s="68">
        <f>[1]Productivity!AT59</f>
        <v>84741</v>
      </c>
      <c r="X59" s="68">
        <f>[1]Productivity!AU59</f>
        <v>62560</v>
      </c>
      <c r="Y59" s="68">
        <f>[1]Productivity!AV59</f>
        <v>148361.45454545453</v>
      </c>
      <c r="Z59" s="72"/>
    </row>
    <row r="60" spans="1:26" ht="17.45" customHeight="1">
      <c r="A60" t="str">
        <f>[1]Productivity!A60</f>
        <v>Potential Tonnage '000Tonnes</v>
      </c>
      <c r="B60" s="76">
        <f>[1]Productivity!Y60*0.73</f>
        <v>36.644939735099335</v>
      </c>
      <c r="C60" s="76">
        <f>[1]Productivity!Z60*0.73</f>
        <v>46.644401158940404</v>
      </c>
      <c r="D60" s="76">
        <f>[1]Productivity!AA60*0.73</f>
        <v>35.981514900662255</v>
      </c>
      <c r="E60" s="76">
        <f>[1]Productivity!AB60*0.73</f>
        <v>2.1504847682119235</v>
      </c>
      <c r="F60" s="76">
        <f>[1]Productivity!AC60*0.73</f>
        <v>26.661471854304633</v>
      </c>
      <c r="G60" s="76">
        <f>[1]Productivity!AD60*0.73</f>
        <v>42.145542052980126</v>
      </c>
      <c r="H60" s="76">
        <f>[1]Productivity!AE60*0.73</f>
        <v>119.6218122516556</v>
      </c>
      <c r="I60" s="76">
        <f>[1]Productivity!AF60*0.73</f>
        <v>24.536408686390295</v>
      </c>
      <c r="J60" s="76">
        <f>[1]Productivity!AG60*0.73</f>
        <v>0</v>
      </c>
      <c r="K60" s="76">
        <f>[1]Productivity!AH60*0.73</f>
        <v>60.787310596026479</v>
      </c>
      <c r="L60" s="76">
        <f>[1]Productivity!AI60*0.73</f>
        <v>83.261820529801312</v>
      </c>
      <c r="M60" s="76">
        <f>[1]Productivity!AJ60*0.73</f>
        <v>145.03977463331125</v>
      </c>
      <c r="N60" s="76">
        <f>[1]Productivity!AK60*0.73</f>
        <v>168.4105373340397</v>
      </c>
      <c r="O60" s="76">
        <f>[1]Productivity!AL60*0.73</f>
        <v>75.658801324503315</v>
      </c>
      <c r="P60" s="76">
        <f>[1]Productivity!AM60*0.73</f>
        <v>58.145591721854309</v>
      </c>
      <c r="Q60" s="76">
        <f>[1]Productivity!AN60*0.73</f>
        <v>27.082018543046352</v>
      </c>
      <c r="R60" s="76">
        <f>[1]Productivity!AO60*0.73</f>
        <v>46.421768543046355</v>
      </c>
      <c r="S60" s="76">
        <f>[1]Productivity!AP60*0.73</f>
        <v>98.538164238410587</v>
      </c>
      <c r="T60" s="76">
        <f>[1]Productivity!AQ60*0.73</f>
        <v>97.76055199999999</v>
      </c>
      <c r="U60" s="76">
        <f>[1]Productivity!AR60*0.73</f>
        <v>60.578541000000001</v>
      </c>
      <c r="V60" s="76">
        <f>[1]Productivity!AS60*0.73</f>
        <v>73.55081788079471</v>
      </c>
      <c r="W60" s="76">
        <f>[1]Productivity!AT60*0.73</f>
        <v>78.633387588999994</v>
      </c>
      <c r="X60" s="76">
        <f>((X58*X29)+(X59*X30))/1000000</f>
        <v>51.361366887417212</v>
      </c>
      <c r="Y60" s="76">
        <f>((Y58*Y29)+(Y59*Y30))/1000000</f>
        <v>82.716542789259464</v>
      </c>
      <c r="Z60" s="72"/>
    </row>
    <row r="61" spans="1:26" ht="17.45" customHeight="1">
      <c r="A61" s="15" t="str">
        <f>[1]Productivity!A61</f>
        <v>LIVE CATTLE IMPORTS &amp;  TONNAGE</v>
      </c>
      <c r="B61" s="72"/>
      <c r="C61" s="72"/>
      <c r="D61" s="107"/>
      <c r="E61" s="72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2"/>
    </row>
    <row r="62" spans="1:26" ht="17.45" customHeight="1">
      <c r="A62" s="22" t="s">
        <v>38</v>
      </c>
      <c r="B62" s="72"/>
      <c r="C62" s="72"/>
      <c r="D62" s="107"/>
      <c r="E62" s="72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2"/>
    </row>
    <row r="63" spans="1:26" ht="17.45" customHeight="1">
      <c r="A63" s="22" t="s">
        <v>39</v>
      </c>
      <c r="B63" s="72"/>
      <c r="C63" s="72"/>
      <c r="D63" s="107"/>
      <c r="E63" s="72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2"/>
    </row>
    <row r="64" spans="1:26" ht="17.45" customHeight="1">
      <c r="A64" s="22" t="s">
        <v>40</v>
      </c>
      <c r="B64" s="72"/>
      <c r="C64" s="72"/>
      <c r="D64" s="107"/>
      <c r="E64" s="72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2"/>
    </row>
    <row r="65" spans="1:26" ht="17.45" customHeight="1">
      <c r="A65" s="22" t="s">
        <v>41</v>
      </c>
      <c r="B65" s="72"/>
      <c r="C65" s="72"/>
      <c r="D65" s="107"/>
      <c r="E65" s="72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2"/>
    </row>
    <row r="66" spans="1:26" ht="17.45" customHeight="1">
      <c r="A66" s="22" t="s">
        <v>42</v>
      </c>
      <c r="B66" s="72"/>
      <c r="C66" s="72"/>
      <c r="D66" s="107"/>
      <c r="E66" s="72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2"/>
    </row>
    <row r="67" spans="1:26" ht="17.45" customHeight="1"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ht="17.45" customHeight="1">
      <c r="A68" s="5" t="str">
        <f>[1]Productivity!A68</f>
        <v>TOTAL PRODUCTIVE CAPACITY (CARCASS BASIS) '000 Tonnes</v>
      </c>
      <c r="B68" s="79">
        <f>[1]Productivity!Y68*0.73</f>
        <v>931.48749666417132</v>
      </c>
      <c r="C68" s="79">
        <f>[1]Productivity!Z68*0.73</f>
        <v>973.6155453992327</v>
      </c>
      <c r="D68" s="79">
        <f>[1]Productivity!AA68*0.73</f>
        <v>1080.8857287780932</v>
      </c>
      <c r="E68" s="79">
        <f>[1]Productivity!AB68*0.73</f>
        <v>1048.6924927266059</v>
      </c>
      <c r="F68" s="79">
        <f>[1]Productivity!AC68*0.73</f>
        <v>1076.4681234069881</v>
      </c>
      <c r="G68" s="79">
        <f>[1]Productivity!AD68*0.73</f>
        <v>1136.3922750106444</v>
      </c>
      <c r="H68" s="79">
        <f>[1]Productivity!AE68*0.73</f>
        <v>1222.9148603879144</v>
      </c>
      <c r="I68" s="79">
        <f>[1]Productivity!AF68*0.73</f>
        <v>913.97245981349556</v>
      </c>
      <c r="J68" s="79">
        <f>[1]Productivity!AG68*0.73</f>
        <v>1031.3890501140947</v>
      </c>
      <c r="K68" s="79">
        <f>[1]Productivity!AH68*0.73</f>
        <v>1170.0247032491093</v>
      </c>
      <c r="L68" s="79">
        <f>[1]Productivity!AI68*0.73</f>
        <v>1200.1751915034447</v>
      </c>
      <c r="M68" s="79">
        <f>[1]Productivity!AJ68*0.73</f>
        <v>1266.490584602069</v>
      </c>
      <c r="N68" s="79">
        <f>[1]Productivity!AK68*0.73</f>
        <v>1282.6851065418518</v>
      </c>
      <c r="O68" s="79">
        <f>[1]Productivity!AL68*0.73</f>
        <v>1122.0787224973367</v>
      </c>
      <c r="P68" s="79">
        <f>[1]Productivity!AM68*0.73</f>
        <v>1142.7420658556975</v>
      </c>
      <c r="Q68" s="79">
        <f>[1]Productivity!AN68*0.73</f>
        <v>971.8426693012392</v>
      </c>
      <c r="R68" s="79">
        <f>[1]Productivity!AO68*0.73</f>
        <v>946.30975437534607</v>
      </c>
      <c r="S68" s="79">
        <f>[1]Productivity!AP68*0.73</f>
        <v>964.70219364959041</v>
      </c>
      <c r="T68" s="79">
        <f>[1]Productivity!AQ68*0.73</f>
        <v>994.96032967716758</v>
      </c>
      <c r="U68" s="79">
        <f>[1]Productivity!AR68*0.73</f>
        <v>812.94783422117905</v>
      </c>
      <c r="V68" s="79">
        <f>[1]Productivity!AS68*0.73</f>
        <v>1033.2031172657637</v>
      </c>
      <c r="W68" s="79">
        <f>[1]Productivity!AT68*0.73</f>
        <v>1018.8860884329719</v>
      </c>
      <c r="X68" s="79">
        <f>[1]Productivity!AU68*0.73</f>
        <v>1005.722336918543</v>
      </c>
      <c r="Y68" s="79">
        <f>[1]Productivity!AV68*0.73</f>
        <v>1093.7854238419056</v>
      </c>
      <c r="Z68" s="72"/>
    </row>
    <row r="69" spans="1:26" ht="17.45" customHeight="1">
      <c r="A69" s="15" t="str">
        <f>[1]Productivity!A69</f>
        <v>TOTAL DOMESTIC SUPPLY (Includes live cattle imports)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68">
        <f>[1]Productivity!AR69*0.73</f>
        <v>0</v>
      </c>
      <c r="V69" s="68">
        <f>[1]Productivity!AS69*0.73</f>
        <v>0</v>
      </c>
      <c r="W69" s="68">
        <f>[1]Productivity!AT69*0.73</f>
        <v>1058.1848671149719</v>
      </c>
      <c r="X69" s="68">
        <f>[1]Productivity!AU69*0.73</f>
        <v>1062.9875660576158</v>
      </c>
      <c r="Y69" s="68">
        <f>[1]Productivity!AV69*0.73</f>
        <v>1176.5019666311653</v>
      </c>
      <c r="Z69" s="72"/>
    </row>
    <row r="70" spans="1:26" ht="6" customHeight="1">
      <c r="A70" s="23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6"/>
      <c r="Y70" s="115"/>
      <c r="Z70" s="115"/>
    </row>
    <row r="71" spans="1:26" ht="20.25" customHeight="1">
      <c r="A71" s="117" t="s">
        <v>43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80"/>
      <c r="T71" s="81"/>
      <c r="U71" s="80"/>
      <c r="V71" s="80"/>
      <c r="W71" s="72"/>
      <c r="X71" s="71"/>
      <c r="Y71" s="72"/>
      <c r="Z71" s="72"/>
    </row>
    <row r="72" spans="1:26" ht="17.45" customHeight="1">
      <c r="A72" s="24" t="s">
        <v>44</v>
      </c>
      <c r="B72" s="72"/>
      <c r="C72" s="72"/>
      <c r="D72" s="72"/>
      <c r="E72" s="72"/>
      <c r="F72" s="75" t="s">
        <v>45</v>
      </c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72"/>
      <c r="X72" s="71"/>
      <c r="Y72" s="72"/>
      <c r="Z72" s="72"/>
    </row>
    <row r="73" spans="1:26" ht="17.45" customHeight="1">
      <c r="A73" s="24" t="s">
        <v>46</v>
      </c>
      <c r="B73" s="68">
        <v>130354</v>
      </c>
      <c r="C73" s="72">
        <v>124937</v>
      </c>
      <c r="D73" s="72">
        <v>120726</v>
      </c>
      <c r="E73" s="72">
        <v>110006</v>
      </c>
      <c r="F73" s="72">
        <v>124250</v>
      </c>
      <c r="G73" s="83">
        <v>110745</v>
      </c>
      <c r="H73" s="83">
        <v>113671</v>
      </c>
      <c r="I73" s="83">
        <v>103917</v>
      </c>
      <c r="J73" s="83">
        <v>40739</v>
      </c>
      <c r="K73" s="83">
        <v>61121</v>
      </c>
      <c r="L73" s="83">
        <v>102984</v>
      </c>
      <c r="M73" s="83">
        <v>131743</v>
      </c>
      <c r="N73" s="83">
        <v>133066</v>
      </c>
      <c r="O73" s="83">
        <v>124966</v>
      </c>
      <c r="P73" s="83">
        <v>131272</v>
      </c>
      <c r="Q73" s="83">
        <v>166235</v>
      </c>
      <c r="R73" s="83">
        <v>175010</v>
      </c>
      <c r="S73" s="84">
        <v>169835</v>
      </c>
      <c r="T73" s="84">
        <v>134921</v>
      </c>
      <c r="U73" s="85">
        <v>128473</v>
      </c>
      <c r="V73" s="68">
        <v>136514</v>
      </c>
      <c r="W73" s="68">
        <v>121345</v>
      </c>
      <c r="X73" s="86">
        <v>120395</v>
      </c>
      <c r="Y73" s="68">
        <v>107937</v>
      </c>
      <c r="Z73" s="72"/>
    </row>
    <row r="74" spans="1:26" ht="17.45" customHeight="1">
      <c r="A74" s="24" t="s">
        <v>47</v>
      </c>
      <c r="B74" s="68">
        <f>B75-B73</f>
        <v>104465</v>
      </c>
      <c r="C74" s="68">
        <f t="shared" ref="B74:S74" si="17">C75-C73</f>
        <v>125122</v>
      </c>
      <c r="D74" s="68">
        <f t="shared" si="17"/>
        <v>115991</v>
      </c>
      <c r="E74" s="68">
        <f t="shared" si="17"/>
        <v>147983</v>
      </c>
      <c r="F74" s="68">
        <f t="shared" si="17"/>
        <v>142210</v>
      </c>
      <c r="G74" s="68">
        <f t="shared" si="17"/>
        <v>129299</v>
      </c>
      <c r="H74" s="68">
        <f t="shared" si="17"/>
        <v>124370</v>
      </c>
      <c r="I74" s="68">
        <f t="shared" si="17"/>
        <v>120380</v>
      </c>
      <c r="J74" s="68">
        <f t="shared" si="17"/>
        <v>67788</v>
      </c>
      <c r="K74" s="68">
        <f t="shared" si="17"/>
        <v>59940</v>
      </c>
      <c r="L74" s="68">
        <f t="shared" si="17"/>
        <v>44035</v>
      </c>
      <c r="M74" s="68">
        <f t="shared" si="17"/>
        <v>66871</v>
      </c>
      <c r="N74" s="68">
        <f t="shared" si="17"/>
        <v>38396</v>
      </c>
      <c r="O74" s="68">
        <f t="shared" si="17"/>
        <v>55852</v>
      </c>
      <c r="P74" s="68">
        <f t="shared" si="17"/>
        <v>44308</v>
      </c>
      <c r="Q74" s="68">
        <f t="shared" si="17"/>
        <v>37529</v>
      </c>
      <c r="R74" s="68">
        <f t="shared" si="17"/>
        <v>48646</v>
      </c>
      <c r="S74" s="68">
        <f t="shared" si="17"/>
        <v>44867</v>
      </c>
      <c r="T74" s="68">
        <f>T75-T73</f>
        <v>66367</v>
      </c>
      <c r="U74" s="68">
        <f>U75-U73</f>
        <v>74871</v>
      </c>
      <c r="V74" s="68">
        <f>V75-V73</f>
        <v>65392</v>
      </c>
      <c r="W74" s="68">
        <v>52946</v>
      </c>
      <c r="X74" s="86">
        <f>X75-X73</f>
        <v>61949</v>
      </c>
      <c r="Y74" s="86">
        <f>Y75-Y73</f>
        <v>49722</v>
      </c>
      <c r="Z74" s="72"/>
    </row>
    <row r="75" spans="1:26" ht="17.45" customHeight="1">
      <c r="A75" s="25" t="s">
        <v>48</v>
      </c>
      <c r="B75" s="114">
        <v>234819</v>
      </c>
      <c r="C75" s="114">
        <v>250059</v>
      </c>
      <c r="D75" s="114">
        <v>236717</v>
      </c>
      <c r="E75" s="114">
        <v>257989</v>
      </c>
      <c r="F75" s="114">
        <v>266460</v>
      </c>
      <c r="G75" s="87">
        <v>240044</v>
      </c>
      <c r="H75" s="87">
        <v>238041</v>
      </c>
      <c r="I75" s="87">
        <v>224297</v>
      </c>
      <c r="J75" s="87">
        <v>108527</v>
      </c>
      <c r="K75" s="87">
        <v>121061</v>
      </c>
      <c r="L75" s="87">
        <v>147019</v>
      </c>
      <c r="M75" s="87">
        <v>198614</v>
      </c>
      <c r="N75" s="87">
        <v>171462</v>
      </c>
      <c r="O75" s="87">
        <v>180818</v>
      </c>
      <c r="P75" s="87">
        <v>175580</v>
      </c>
      <c r="Q75" s="87">
        <v>203764</v>
      </c>
      <c r="R75" s="87">
        <v>223656</v>
      </c>
      <c r="S75" s="87">
        <v>214702</v>
      </c>
      <c r="T75" s="87">
        <v>201288</v>
      </c>
      <c r="U75" s="87">
        <v>203344</v>
      </c>
      <c r="V75" s="87">
        <v>201906</v>
      </c>
      <c r="W75" s="87">
        <f>SUM(W73:W74)</f>
        <v>174291</v>
      </c>
      <c r="X75" s="88">
        <v>182344</v>
      </c>
      <c r="Y75" s="114">
        <v>157659</v>
      </c>
      <c r="Z75" s="72"/>
    </row>
    <row r="76" spans="1:26" ht="17.45" customHeight="1">
      <c r="B76" s="89"/>
      <c r="C76" s="89"/>
      <c r="D76" s="89"/>
      <c r="E76" s="89"/>
      <c r="F76" s="89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71">
        <f t="shared" ref="S76:V76" si="18">S73/S75</f>
        <v>0.79102663226239156</v>
      </c>
      <c r="T76" s="71">
        <f t="shared" si="18"/>
        <v>0.67028834307062513</v>
      </c>
      <c r="U76" s="71">
        <f t="shared" si="18"/>
        <v>0.63180128255566925</v>
      </c>
      <c r="V76" s="71">
        <f t="shared" si="18"/>
        <v>0.67612651431854431</v>
      </c>
      <c r="W76" s="71">
        <f>W73/W75</f>
        <v>0.69622068838895868</v>
      </c>
      <c r="X76" s="71">
        <f>X73/X75</f>
        <v>0.66026301934804543</v>
      </c>
      <c r="Y76" s="72"/>
      <c r="Z76" s="72"/>
    </row>
    <row r="77" spans="1:26" ht="17.45" customHeight="1">
      <c r="B77" s="72"/>
      <c r="C77" s="72"/>
      <c r="D77" s="72"/>
      <c r="E77" s="72"/>
      <c r="F77" s="72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84"/>
      <c r="T77" s="84"/>
      <c r="U77" s="84"/>
      <c r="V77" s="72"/>
      <c r="W77" s="72"/>
      <c r="X77" s="71"/>
      <c r="Y77" s="72"/>
      <c r="Z77" s="72"/>
    </row>
    <row r="78" spans="1:26" ht="17.45" customHeight="1">
      <c r="A78" s="119" t="s">
        <v>49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1"/>
      <c r="Y78" s="72"/>
      <c r="Z78" s="72"/>
    </row>
    <row r="79" spans="1:26" ht="17.45" customHeight="1">
      <c r="A79" s="24" t="s">
        <v>50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92"/>
      <c r="Y79" s="72"/>
      <c r="Z79" s="72"/>
    </row>
    <row r="80" spans="1:26" ht="17.45" customHeight="1">
      <c r="A80" s="24" t="s">
        <v>51</v>
      </c>
      <c r="B80" s="84">
        <v>251817</v>
      </c>
      <c r="C80" s="84">
        <v>300059</v>
      </c>
      <c r="D80" s="84">
        <v>341813</v>
      </c>
      <c r="E80" s="93">
        <v>328921</v>
      </c>
      <c r="F80" s="93">
        <v>318464</v>
      </c>
      <c r="G80" s="84">
        <v>355942</v>
      </c>
      <c r="H80" s="84">
        <v>363453</v>
      </c>
      <c r="I80" s="84">
        <v>253499</v>
      </c>
      <c r="J80" s="84">
        <v>336714</v>
      </c>
      <c r="K80" s="84">
        <v>370742</v>
      </c>
      <c r="L80" s="84">
        <v>294734</v>
      </c>
      <c r="M80" s="84">
        <v>280537</v>
      </c>
      <c r="N80" s="84">
        <v>300442</v>
      </c>
      <c r="O80" s="84">
        <v>319206</v>
      </c>
      <c r="P80" s="84">
        <v>307782</v>
      </c>
      <c r="Q80" s="84">
        <v>249950</v>
      </c>
      <c r="R80" s="84">
        <v>197378</v>
      </c>
      <c r="S80" s="84">
        <v>197587</v>
      </c>
      <c r="T80" s="84">
        <v>222004</v>
      </c>
      <c r="U80" s="84">
        <v>230197</v>
      </c>
      <c r="V80" s="84">
        <v>269793</v>
      </c>
      <c r="W80" s="84">
        <v>280325</v>
      </c>
      <c r="X80" s="84">
        <v>294760</v>
      </c>
      <c r="Y80" s="68">
        <v>316722</v>
      </c>
      <c r="Z80" s="94"/>
    </row>
    <row r="81" spans="1:26" ht="17.45" customHeight="1">
      <c r="A81" s="24" t="s">
        <v>52</v>
      </c>
      <c r="B81" s="84">
        <v>3149</v>
      </c>
      <c r="C81" s="84">
        <v>6700</v>
      </c>
      <c r="D81" s="84">
        <v>8506</v>
      </c>
      <c r="E81" s="93">
        <v>27518</v>
      </c>
      <c r="F81" s="93">
        <v>53189</v>
      </c>
      <c r="G81" s="93">
        <v>69674</v>
      </c>
      <c r="H81" s="93">
        <v>77887</v>
      </c>
      <c r="I81" s="93">
        <v>29442</v>
      </c>
      <c r="J81" s="93">
        <v>87037</v>
      </c>
      <c r="K81" s="93">
        <v>52064</v>
      </c>
      <c r="L81" s="93">
        <v>41664</v>
      </c>
      <c r="M81" s="93">
        <v>45661</v>
      </c>
      <c r="N81" s="93">
        <v>47230</v>
      </c>
      <c r="O81" s="93">
        <v>36437</v>
      </c>
      <c r="P81" s="93">
        <v>38548</v>
      </c>
      <c r="Q81" s="93">
        <v>26859</v>
      </c>
      <c r="R81" s="93">
        <v>19114</v>
      </c>
      <c r="S81" s="93">
        <v>20902</v>
      </c>
      <c r="T81" s="93">
        <v>20410</v>
      </c>
      <c r="U81" s="93">
        <v>19836</v>
      </c>
      <c r="V81" s="93">
        <v>16179</v>
      </c>
      <c r="W81" s="93">
        <v>17105</v>
      </c>
      <c r="X81" s="93">
        <v>15415</v>
      </c>
      <c r="Y81" s="68">
        <v>16530</v>
      </c>
      <c r="Z81" s="72"/>
    </row>
    <row r="82" spans="1:26" ht="17.45" customHeight="1">
      <c r="A82" s="24" t="s">
        <v>53</v>
      </c>
      <c r="B82" s="68">
        <f t="shared" ref="B82:U82" si="19">B83-B80-B81</f>
        <v>37859</v>
      </c>
      <c r="C82" s="68">
        <f t="shared" si="19"/>
        <v>43870</v>
      </c>
      <c r="D82" s="68">
        <f t="shared" si="19"/>
        <v>50053</v>
      </c>
      <c r="E82" s="68">
        <f t="shared" si="19"/>
        <v>69528</v>
      </c>
      <c r="F82" s="68">
        <f t="shared" si="19"/>
        <v>74263</v>
      </c>
      <c r="G82" s="68">
        <f t="shared" si="19"/>
        <v>64110</v>
      </c>
      <c r="H82" s="68">
        <f t="shared" si="19"/>
        <v>76279</v>
      </c>
      <c r="I82" s="68">
        <f t="shared" si="19"/>
        <v>41824</v>
      </c>
      <c r="J82" s="68">
        <f t="shared" si="19"/>
        <v>30911</v>
      </c>
      <c r="K82" s="68">
        <f t="shared" si="19"/>
        <v>35571</v>
      </c>
      <c r="L82" s="68">
        <f t="shared" si="19"/>
        <v>31745</v>
      </c>
      <c r="M82" s="68">
        <f t="shared" si="19"/>
        <v>36612</v>
      </c>
      <c r="N82" s="68">
        <f t="shared" si="19"/>
        <v>45307</v>
      </c>
      <c r="O82" s="68">
        <f t="shared" si="19"/>
        <v>58708</v>
      </c>
      <c r="P82" s="68">
        <f t="shared" si="19"/>
        <v>75293</v>
      </c>
      <c r="Q82" s="68">
        <f t="shared" si="19"/>
        <v>35210</v>
      </c>
      <c r="R82" s="68">
        <f t="shared" si="19"/>
        <v>36868</v>
      </c>
      <c r="S82" s="68">
        <f t="shared" si="19"/>
        <v>41595</v>
      </c>
      <c r="T82" s="68">
        <f t="shared" si="19"/>
        <v>54637</v>
      </c>
      <c r="U82" s="68">
        <f t="shared" si="19"/>
        <v>72497</v>
      </c>
      <c r="V82" s="68">
        <f>V83-V80-V81</f>
        <v>73592</v>
      </c>
      <c r="W82" s="68">
        <v>82641</v>
      </c>
      <c r="X82" s="86">
        <f>X83-X80-X81</f>
        <v>88375</v>
      </c>
      <c r="Y82" s="86">
        <f>Y83-Y80-Y81</f>
        <v>105263</v>
      </c>
      <c r="Z82" s="72"/>
    </row>
    <row r="83" spans="1:26" ht="17.45" customHeight="1">
      <c r="A83" s="25" t="s">
        <v>48</v>
      </c>
      <c r="B83" s="87">
        <v>292825</v>
      </c>
      <c r="C83" s="87">
        <v>350629</v>
      </c>
      <c r="D83" s="87">
        <v>400372</v>
      </c>
      <c r="E83" s="95">
        <v>425967</v>
      </c>
      <c r="F83" s="95">
        <v>445916</v>
      </c>
      <c r="G83" s="95">
        <v>489726</v>
      </c>
      <c r="H83" s="95">
        <v>517619</v>
      </c>
      <c r="I83" s="95">
        <v>324765</v>
      </c>
      <c r="J83" s="95">
        <v>454662</v>
      </c>
      <c r="K83" s="95">
        <v>458377</v>
      </c>
      <c r="L83" s="95">
        <v>368143</v>
      </c>
      <c r="M83" s="95">
        <v>362810</v>
      </c>
      <c r="N83" s="95">
        <v>392979</v>
      </c>
      <c r="O83" s="95">
        <v>414351</v>
      </c>
      <c r="P83" s="95">
        <v>421623</v>
      </c>
      <c r="Q83" s="95">
        <v>312019</v>
      </c>
      <c r="R83" s="95">
        <v>253360</v>
      </c>
      <c r="S83" s="95">
        <v>260084</v>
      </c>
      <c r="T83" s="95">
        <v>297051</v>
      </c>
      <c r="U83" s="95">
        <v>322530</v>
      </c>
      <c r="V83" s="95">
        <v>359564</v>
      </c>
      <c r="W83" s="96">
        <v>379949</v>
      </c>
      <c r="X83" s="86">
        <v>398550</v>
      </c>
      <c r="Y83" s="68">
        <v>438515</v>
      </c>
      <c r="Z83" s="72"/>
    </row>
    <row r="84" spans="1:26" ht="17.45" customHeight="1">
      <c r="A84" s="27"/>
      <c r="B84" s="91"/>
      <c r="C84" s="108"/>
      <c r="D84" s="91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68"/>
      <c r="W84" s="68"/>
      <c r="X84" s="72"/>
      <c r="Y84" s="72"/>
      <c r="Z84" s="72"/>
    </row>
    <row r="85" spans="1:26" ht="17.45" customHeight="1">
      <c r="A85" s="27"/>
      <c r="B85" s="91"/>
      <c r="C85" s="91"/>
      <c r="D85" s="91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72"/>
      <c r="W85" s="72"/>
      <c r="X85" s="72"/>
      <c r="Y85" s="72"/>
      <c r="Z85" s="72"/>
    </row>
    <row r="86" spans="1:26" ht="17.45" customHeight="1">
      <c r="A86" s="119" t="s">
        <v>54</v>
      </c>
      <c r="B86" s="72"/>
      <c r="C86" s="72"/>
      <c r="D86" s="72"/>
      <c r="E86" s="97"/>
      <c r="F86" s="97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72"/>
      <c r="X86" s="72"/>
      <c r="Y86" s="72"/>
      <c r="Z86" s="72"/>
    </row>
    <row r="87" spans="1:26" ht="17.45" customHeight="1">
      <c r="A87" s="24" t="s">
        <v>55</v>
      </c>
      <c r="B87" s="84">
        <f t="shared" ref="B87:Y87" si="20">(B40*1000)-B83</f>
        <v>365359.60666417133</v>
      </c>
      <c r="C87" s="84">
        <f t="shared" si="20"/>
        <v>402960.29426510644</v>
      </c>
      <c r="D87" s="84">
        <f t="shared" si="20"/>
        <v>392199.59684145439</v>
      </c>
      <c r="E87" s="84">
        <f t="shared" si="20"/>
        <v>450667.39980447688</v>
      </c>
      <c r="F87" s="84">
        <f t="shared" si="20"/>
        <v>434472.43731427263</v>
      </c>
      <c r="G87" s="84">
        <f t="shared" si="20"/>
        <v>387802.0789841545</v>
      </c>
      <c r="H87" s="84">
        <f t="shared" si="20"/>
        <v>395618.21270579507</v>
      </c>
      <c r="I87" s="84">
        <f t="shared" si="20"/>
        <v>501312.64417346288</v>
      </c>
      <c r="J87" s="84">
        <f t="shared" si="20"/>
        <v>576727.05011409475</v>
      </c>
      <c r="K87" s="84">
        <f t="shared" si="20"/>
        <v>566044.08172593045</v>
      </c>
      <c r="L87" s="84">
        <f t="shared" si="20"/>
        <v>558971.54547695478</v>
      </c>
      <c r="M87" s="84">
        <f t="shared" si="20"/>
        <v>530953.9524625988</v>
      </c>
      <c r="N87" s="84">
        <f t="shared" si="20"/>
        <v>515600.07871046104</v>
      </c>
      <c r="O87" s="84">
        <f t="shared" si="20"/>
        <v>468544.56819270086</v>
      </c>
      <c r="P87" s="84">
        <f t="shared" si="20"/>
        <v>478076.92380271771</v>
      </c>
      <c r="Q87" s="84">
        <f t="shared" si="20"/>
        <v>499841.50969859003</v>
      </c>
      <c r="R87" s="84">
        <f t="shared" si="20"/>
        <v>509365.01397799538</v>
      </c>
      <c r="S87" s="84">
        <f t="shared" si="20"/>
        <v>485746.51219263661</v>
      </c>
      <c r="T87" s="84">
        <f t="shared" si="20"/>
        <v>465195.7956771676</v>
      </c>
      <c r="U87" s="84">
        <f t="shared" si="20"/>
        <v>429839.29322117905</v>
      </c>
      <c r="V87" s="84">
        <f t="shared" si="20"/>
        <v>447527.36660351208</v>
      </c>
      <c r="W87" s="84">
        <f t="shared" si="20"/>
        <v>463920.32390797185</v>
      </c>
      <c r="X87" s="84">
        <f t="shared" si="20"/>
        <v>500179.80115695356</v>
      </c>
      <c r="Y87" s="84">
        <f t="shared" si="20"/>
        <v>513063.0538401237</v>
      </c>
      <c r="Z87" s="72"/>
    </row>
    <row r="88" spans="1:26" ht="17.45" customHeight="1">
      <c r="A88" s="24" t="s">
        <v>56</v>
      </c>
      <c r="B88" s="84">
        <f t="shared" ref="B88:Y89" si="21">B73</f>
        <v>130354</v>
      </c>
      <c r="C88" s="84">
        <f t="shared" si="21"/>
        <v>124937</v>
      </c>
      <c r="D88" s="84">
        <f t="shared" si="21"/>
        <v>120726</v>
      </c>
      <c r="E88" s="84">
        <f t="shared" si="21"/>
        <v>110006</v>
      </c>
      <c r="F88" s="84">
        <f t="shared" si="21"/>
        <v>124250</v>
      </c>
      <c r="G88" s="84">
        <f t="shared" si="21"/>
        <v>110745</v>
      </c>
      <c r="H88" s="84">
        <f t="shared" si="21"/>
        <v>113671</v>
      </c>
      <c r="I88" s="84">
        <f t="shared" si="21"/>
        <v>103917</v>
      </c>
      <c r="J88" s="84">
        <f t="shared" si="21"/>
        <v>40739</v>
      </c>
      <c r="K88" s="84">
        <f t="shared" si="21"/>
        <v>61121</v>
      </c>
      <c r="L88" s="84">
        <f t="shared" si="21"/>
        <v>102984</v>
      </c>
      <c r="M88" s="84">
        <f t="shared" si="21"/>
        <v>131743</v>
      </c>
      <c r="N88" s="84">
        <f t="shared" si="21"/>
        <v>133066</v>
      </c>
      <c r="O88" s="84">
        <f t="shared" si="21"/>
        <v>124966</v>
      </c>
      <c r="P88" s="84">
        <f t="shared" si="21"/>
        <v>131272</v>
      </c>
      <c r="Q88" s="84">
        <f t="shared" si="21"/>
        <v>166235</v>
      </c>
      <c r="R88" s="84">
        <f t="shared" si="21"/>
        <v>175010</v>
      </c>
      <c r="S88" s="84">
        <f t="shared" si="21"/>
        <v>169835</v>
      </c>
      <c r="T88" s="84">
        <f t="shared" si="21"/>
        <v>134921</v>
      </c>
      <c r="U88" s="84">
        <f t="shared" si="21"/>
        <v>128473</v>
      </c>
      <c r="V88" s="84">
        <f t="shared" si="21"/>
        <v>136514</v>
      </c>
      <c r="W88" s="84">
        <f t="shared" si="21"/>
        <v>121345</v>
      </c>
      <c r="X88" s="84">
        <f t="shared" si="21"/>
        <v>120395</v>
      </c>
      <c r="Y88" s="84">
        <f t="shared" si="21"/>
        <v>107937</v>
      </c>
      <c r="Z88" s="72"/>
    </row>
    <row r="89" spans="1:26" ht="17.45" customHeight="1">
      <c r="A89" s="24" t="s">
        <v>57</v>
      </c>
      <c r="B89" s="84">
        <f t="shared" si="21"/>
        <v>104465</v>
      </c>
      <c r="C89" s="84">
        <f t="shared" si="21"/>
        <v>125122</v>
      </c>
      <c r="D89" s="84">
        <f t="shared" si="21"/>
        <v>115991</v>
      </c>
      <c r="E89" s="84">
        <f t="shared" si="21"/>
        <v>147983</v>
      </c>
      <c r="F89" s="84">
        <f t="shared" si="21"/>
        <v>142210</v>
      </c>
      <c r="G89" s="84">
        <f t="shared" si="21"/>
        <v>129299</v>
      </c>
      <c r="H89" s="84">
        <f t="shared" si="21"/>
        <v>124370</v>
      </c>
      <c r="I89" s="84">
        <f t="shared" si="21"/>
        <v>120380</v>
      </c>
      <c r="J89" s="84">
        <f t="shared" si="21"/>
        <v>67788</v>
      </c>
      <c r="K89" s="84">
        <f t="shared" si="21"/>
        <v>59940</v>
      </c>
      <c r="L89" s="84">
        <f t="shared" si="21"/>
        <v>44035</v>
      </c>
      <c r="M89" s="84">
        <f t="shared" si="21"/>
        <v>66871</v>
      </c>
      <c r="N89" s="84">
        <f t="shared" si="21"/>
        <v>38396</v>
      </c>
      <c r="O89" s="84">
        <f t="shared" si="21"/>
        <v>55852</v>
      </c>
      <c r="P89" s="84">
        <f t="shared" si="21"/>
        <v>44308</v>
      </c>
      <c r="Q89" s="84">
        <f t="shared" si="21"/>
        <v>37529</v>
      </c>
      <c r="R89" s="84">
        <f t="shared" si="21"/>
        <v>48646</v>
      </c>
      <c r="S89" s="84">
        <f t="shared" si="21"/>
        <v>44867</v>
      </c>
      <c r="T89" s="84">
        <f t="shared" si="21"/>
        <v>66367</v>
      </c>
      <c r="U89" s="84">
        <f t="shared" si="21"/>
        <v>74871</v>
      </c>
      <c r="V89" s="84">
        <f t="shared" si="21"/>
        <v>65392</v>
      </c>
      <c r="W89" s="84">
        <f t="shared" si="21"/>
        <v>52946</v>
      </c>
      <c r="X89" s="84">
        <f t="shared" si="21"/>
        <v>61949</v>
      </c>
      <c r="Y89" s="84">
        <f t="shared" si="21"/>
        <v>49722</v>
      </c>
      <c r="Z89" s="72"/>
    </row>
    <row r="90" spans="1:26" ht="17.45" customHeight="1">
      <c r="A90" s="25" t="s">
        <v>58</v>
      </c>
      <c r="B90" s="87">
        <f t="shared" ref="B90:F90" si="22">SUM(B87:B89)</f>
        <v>600178.60666417133</v>
      </c>
      <c r="C90" s="87">
        <f t="shared" si="22"/>
        <v>653019.29426510644</v>
      </c>
      <c r="D90" s="87">
        <f t="shared" si="22"/>
        <v>628916.59684145439</v>
      </c>
      <c r="E90" s="87">
        <f t="shared" si="22"/>
        <v>708656.39980447688</v>
      </c>
      <c r="F90" s="87">
        <f t="shared" si="22"/>
        <v>700932.43731427263</v>
      </c>
      <c r="G90" s="87">
        <f>SUM(G87:G89)</f>
        <v>627846.0789841545</v>
      </c>
      <c r="H90" s="87">
        <f t="shared" ref="H90:Y90" si="23">SUM(H87:H89)</f>
        <v>633659.21270579507</v>
      </c>
      <c r="I90" s="87">
        <f t="shared" si="23"/>
        <v>725609.64417346288</v>
      </c>
      <c r="J90" s="87">
        <f t="shared" si="23"/>
        <v>685254.05011409475</v>
      </c>
      <c r="K90" s="87">
        <f t="shared" si="23"/>
        <v>687105.08172593045</v>
      </c>
      <c r="L90" s="87">
        <f t="shared" si="23"/>
        <v>705990.54547695478</v>
      </c>
      <c r="M90" s="87">
        <f t="shared" si="23"/>
        <v>729567.9524625988</v>
      </c>
      <c r="N90" s="87">
        <f t="shared" si="23"/>
        <v>687062.07871046104</v>
      </c>
      <c r="O90" s="87">
        <f t="shared" si="23"/>
        <v>649362.56819270086</v>
      </c>
      <c r="P90" s="87">
        <f t="shared" si="23"/>
        <v>653656.92380271771</v>
      </c>
      <c r="Q90" s="87">
        <f t="shared" si="23"/>
        <v>703605.50969859003</v>
      </c>
      <c r="R90" s="87">
        <f t="shared" si="23"/>
        <v>733021.01397799538</v>
      </c>
      <c r="S90" s="87">
        <f t="shared" si="23"/>
        <v>700448.51219263661</v>
      </c>
      <c r="T90" s="87">
        <f t="shared" si="23"/>
        <v>666483.7956771676</v>
      </c>
      <c r="U90" s="87">
        <f t="shared" si="23"/>
        <v>633183.29322117905</v>
      </c>
      <c r="V90" s="87">
        <f t="shared" si="23"/>
        <v>649433.36660351208</v>
      </c>
      <c r="W90" s="87">
        <f t="shared" si="23"/>
        <v>638211.32390797185</v>
      </c>
      <c r="X90" s="87">
        <f t="shared" si="23"/>
        <v>682523.80115695356</v>
      </c>
      <c r="Y90" s="87">
        <f t="shared" si="23"/>
        <v>670722.0538401237</v>
      </c>
      <c r="Z90" s="28"/>
    </row>
    <row r="91" spans="1:26" ht="17.45" customHeight="1">
      <c r="A91" s="24" t="s">
        <v>59</v>
      </c>
      <c r="B91" s="98">
        <f t="shared" ref="B91:T91" si="24">B87/B90</f>
        <v>0.60875146599253505</v>
      </c>
      <c r="C91" s="98">
        <f t="shared" si="24"/>
        <v>0.6170725701429528</v>
      </c>
      <c r="D91" s="98">
        <f t="shared" si="24"/>
        <v>0.62361145947039665</v>
      </c>
      <c r="E91" s="98">
        <f t="shared" si="24"/>
        <v>0.63594627795475933</v>
      </c>
      <c r="F91" s="98">
        <f t="shared" si="24"/>
        <v>0.61984923822190152</v>
      </c>
      <c r="G91" s="98">
        <f t="shared" si="24"/>
        <v>0.61767062336617984</v>
      </c>
      <c r="H91" s="98">
        <f t="shared" si="24"/>
        <v>0.62433908443698227</v>
      </c>
      <c r="I91" s="98">
        <f t="shared" si="24"/>
        <v>0.69088475904217728</v>
      </c>
      <c r="J91" s="98">
        <f t="shared" si="24"/>
        <v>0.84162516079703542</v>
      </c>
      <c r="K91" s="98">
        <f t="shared" si="24"/>
        <v>0.82381006454513706</v>
      </c>
      <c r="L91" s="98">
        <f t="shared" si="24"/>
        <v>0.7917550016187872</v>
      </c>
      <c r="M91" s="98">
        <f t="shared" si="24"/>
        <v>0.72776490616179867</v>
      </c>
      <c r="N91" s="98">
        <f t="shared" si="24"/>
        <v>0.7504417645610495</v>
      </c>
      <c r="O91" s="98">
        <f t="shared" si="24"/>
        <v>0.72154539103901416</v>
      </c>
      <c r="P91" s="98">
        <f t="shared" si="24"/>
        <v>0.73138814321961909</v>
      </c>
      <c r="Q91" s="98">
        <f t="shared" si="24"/>
        <v>0.71040022115902945</v>
      </c>
      <c r="R91" s="98">
        <f t="shared" si="24"/>
        <v>0.69488459984761919</v>
      </c>
      <c r="S91" s="98">
        <f t="shared" si="24"/>
        <v>0.6934792547022316</v>
      </c>
      <c r="T91" s="98">
        <f t="shared" si="24"/>
        <v>0.69798515536977856</v>
      </c>
      <c r="U91" s="98">
        <f>U87/U90</f>
        <v>0.6788544451867442</v>
      </c>
      <c r="V91" s="98">
        <f>V87/V90</f>
        <v>0.68910436330681113</v>
      </c>
      <c r="W91" s="98">
        <f>W87/W90</f>
        <v>0.72690707063491056</v>
      </c>
      <c r="X91" s="98">
        <f>X87/X90</f>
        <v>0.73283862087899843</v>
      </c>
      <c r="Y91" s="98">
        <f>Y87/Y90</f>
        <v>0.7649413805653984</v>
      </c>
      <c r="Z91" s="99"/>
    </row>
    <row r="92" spans="1:26" ht="17.45" customHeight="1">
      <c r="A92" s="27"/>
      <c r="B92" s="72"/>
      <c r="C92" s="72"/>
      <c r="D92" s="72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72"/>
      <c r="X92" s="72"/>
      <c r="Y92" s="72"/>
      <c r="Z92" s="72"/>
    </row>
    <row r="93" spans="1:26" ht="17.45" customHeight="1">
      <c r="A93" s="119" t="s">
        <v>60</v>
      </c>
      <c r="B93" s="72"/>
      <c r="C93" s="72"/>
      <c r="D93" s="72"/>
      <c r="E93" s="84">
        <v>30600</v>
      </c>
      <c r="F93" s="84">
        <v>30790</v>
      </c>
      <c r="G93" s="84">
        <v>31021.251</v>
      </c>
      <c r="H93" s="84">
        <v>31372.587</v>
      </c>
      <c r="I93" s="84">
        <v>31676.077000000001</v>
      </c>
      <c r="J93" s="84">
        <v>31989.454000000002</v>
      </c>
      <c r="K93" s="84">
        <v>32299</v>
      </c>
      <c r="L93" s="84">
        <v>32623</v>
      </c>
      <c r="M93" s="84">
        <v>32777.303999999996</v>
      </c>
      <c r="N93" s="84">
        <v>33311.4</v>
      </c>
      <c r="O93" s="84">
        <v>33592</v>
      </c>
      <c r="P93" s="100">
        <v>34126</v>
      </c>
      <c r="Q93" s="100">
        <v>34343</v>
      </c>
      <c r="R93" s="100">
        <v>34752</v>
      </c>
      <c r="S93" s="100">
        <v>35154</v>
      </c>
      <c r="T93" s="100">
        <v>35540</v>
      </c>
      <c r="U93" s="100">
        <v>35940</v>
      </c>
      <c r="V93" s="68">
        <v>36290</v>
      </c>
      <c r="W93" s="68">
        <v>36624</v>
      </c>
      <c r="X93" s="84">
        <v>36954</v>
      </c>
      <c r="Y93" s="68">
        <v>37360</v>
      </c>
      <c r="Z93" s="75"/>
    </row>
    <row r="94" spans="1:26" ht="17.45" customHeight="1">
      <c r="A94" s="27"/>
      <c r="B94" s="72"/>
      <c r="C94" s="72"/>
      <c r="D94" s="72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84"/>
      <c r="P94" s="84"/>
      <c r="Q94" s="84"/>
      <c r="R94" s="84"/>
      <c r="S94" s="84"/>
      <c r="T94" s="84"/>
      <c r="U94" s="84"/>
      <c r="V94" s="84"/>
      <c r="W94" s="84"/>
      <c r="X94" s="68"/>
      <c r="Y94" s="72"/>
      <c r="Z94" s="72"/>
    </row>
    <row r="95" spans="1:26" ht="17.45" customHeight="1">
      <c r="A95" s="29" t="s">
        <v>61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1:26" ht="17.45" customHeight="1">
      <c r="A96" s="24" t="s">
        <v>62</v>
      </c>
      <c r="B96" s="72"/>
      <c r="C96" s="72"/>
      <c r="D96" s="72"/>
      <c r="E96" s="101">
        <f t="shared" ref="E96:U96" si="25">E90/E93</f>
        <v>23.158705875963296</v>
      </c>
      <c r="F96" s="101">
        <f t="shared" si="25"/>
        <v>22.7649378796451</v>
      </c>
      <c r="G96" s="101">
        <f t="shared" si="25"/>
        <v>20.239225006888166</v>
      </c>
      <c r="H96" s="101">
        <f t="shared" si="25"/>
        <v>20.19786295295938</v>
      </c>
      <c r="I96" s="101">
        <f t="shared" si="25"/>
        <v>22.907181472423584</v>
      </c>
      <c r="J96" s="101">
        <f t="shared" si="25"/>
        <v>21.421248706342244</v>
      </c>
      <c r="K96" s="101">
        <f t="shared" si="25"/>
        <v>21.273261764324914</v>
      </c>
      <c r="L96" s="101">
        <f t="shared" si="25"/>
        <v>21.64088359369018</v>
      </c>
      <c r="M96" s="101">
        <f t="shared" si="25"/>
        <v>22.258327056508335</v>
      </c>
      <c r="N96" s="101">
        <f t="shared" si="25"/>
        <v>20.625433896817935</v>
      </c>
      <c r="O96" s="101">
        <f t="shared" si="25"/>
        <v>19.330869498472875</v>
      </c>
      <c r="P96" s="101">
        <f t="shared" si="25"/>
        <v>19.154220354061938</v>
      </c>
      <c r="Q96" s="101">
        <f t="shared" si="25"/>
        <v>20.487596007879045</v>
      </c>
      <c r="R96" s="101">
        <f t="shared" si="25"/>
        <v>21.092915917875096</v>
      </c>
      <c r="S96" s="101">
        <f t="shared" si="25"/>
        <v>19.925144000473249</v>
      </c>
      <c r="T96" s="101">
        <f t="shared" si="25"/>
        <v>18.753061217703085</v>
      </c>
      <c r="U96" s="101">
        <f t="shared" si="25"/>
        <v>17.61778779135167</v>
      </c>
      <c r="V96" s="101">
        <f>V90/V93</f>
        <v>17.895656285574873</v>
      </c>
      <c r="W96" s="101">
        <f>W90/W93</f>
        <v>17.426040954236889</v>
      </c>
      <c r="X96" s="101">
        <f>X90/X93</f>
        <v>18.469551365398971</v>
      </c>
      <c r="Y96" s="101">
        <f>Y90/Y93</f>
        <v>17.952945766598599</v>
      </c>
      <c r="Z96" s="72"/>
    </row>
    <row r="97" spans="1:27" ht="17.45" customHeight="1">
      <c r="A97" s="24" t="s">
        <v>63</v>
      </c>
      <c r="B97" s="72"/>
      <c r="C97" s="72"/>
      <c r="D97" s="72"/>
      <c r="E97" s="101">
        <f t="shared" ref="E97:T97" si="26">E96/0.73</f>
        <v>31.724254624607255</v>
      </c>
      <c r="F97" s="101">
        <f t="shared" si="26"/>
        <v>31.184846410472741</v>
      </c>
      <c r="G97" s="101">
        <f t="shared" si="26"/>
        <v>27.724965762860503</v>
      </c>
      <c r="H97" s="101">
        <f t="shared" si="26"/>
        <v>27.668305415012849</v>
      </c>
      <c r="I97" s="101">
        <f t="shared" si="26"/>
        <v>31.379700647155595</v>
      </c>
      <c r="J97" s="101">
        <f t="shared" si="26"/>
        <v>29.344176310057868</v>
      </c>
      <c r="K97" s="101">
        <f t="shared" si="26"/>
        <v>29.141454471677964</v>
      </c>
      <c r="L97" s="101">
        <f t="shared" si="26"/>
        <v>29.645046018753671</v>
      </c>
      <c r="M97" s="101">
        <f t="shared" si="26"/>
        <v>30.490858981518269</v>
      </c>
      <c r="N97" s="101">
        <f t="shared" si="26"/>
        <v>28.254019036736899</v>
      </c>
      <c r="O97" s="101">
        <f t="shared" si="26"/>
        <v>26.480643148592982</v>
      </c>
      <c r="P97" s="101">
        <f t="shared" si="26"/>
        <v>26.238658019262928</v>
      </c>
      <c r="Q97" s="101">
        <f t="shared" si="26"/>
        <v>28.065200010793212</v>
      </c>
      <c r="R97" s="101">
        <f t="shared" si="26"/>
        <v>28.894405366952189</v>
      </c>
      <c r="S97" s="101">
        <f t="shared" si="26"/>
        <v>27.294717808867464</v>
      </c>
      <c r="T97" s="101">
        <f t="shared" si="26"/>
        <v>25.689124955757652</v>
      </c>
      <c r="U97" s="101">
        <f>U96/0.73</f>
        <v>24.133955878563931</v>
      </c>
      <c r="V97" s="101">
        <f>V96/0.73</f>
        <v>24.514597651472428</v>
      </c>
      <c r="W97" s="101">
        <f>W96/0.73</f>
        <v>23.871288978406699</v>
      </c>
      <c r="X97" s="101">
        <f>X96/0.73</f>
        <v>25.300755295067084</v>
      </c>
      <c r="Y97" s="101">
        <f>Y96/0.73</f>
        <v>24.593076392600821</v>
      </c>
      <c r="Z97" s="101"/>
    </row>
    <row r="98" spans="1:27" ht="17.45" customHeight="1">
      <c r="A98" s="24" t="s">
        <v>223</v>
      </c>
      <c r="B98" s="72"/>
      <c r="C98" s="72"/>
      <c r="D98" s="72"/>
      <c r="E98" s="101">
        <f t="shared" ref="E98:T98" si="27">E97*2.2046</f>
        <v>69.939291745409164</v>
      </c>
      <c r="F98" s="101">
        <f t="shared" si="27"/>
        <v>68.750112396528209</v>
      </c>
      <c r="G98" s="101">
        <f t="shared" si="27"/>
        <v>61.122459520802266</v>
      </c>
      <c r="H98" s="101">
        <f t="shared" si="27"/>
        <v>60.997546117937333</v>
      </c>
      <c r="I98" s="101">
        <f t="shared" si="27"/>
        <v>69.179688046719221</v>
      </c>
      <c r="J98" s="101">
        <f t="shared" si="27"/>
        <v>64.692171093153576</v>
      </c>
      <c r="K98" s="101">
        <f t="shared" si="27"/>
        <v>64.245250528261238</v>
      </c>
      <c r="L98" s="101">
        <f t="shared" si="27"/>
        <v>65.355468452944351</v>
      </c>
      <c r="M98" s="101">
        <f t="shared" si="27"/>
        <v>67.220147710655183</v>
      </c>
      <c r="N98" s="101">
        <f t="shared" si="27"/>
        <v>62.288810368390173</v>
      </c>
      <c r="O98" s="101">
        <f t="shared" si="27"/>
        <v>58.379225885388088</v>
      </c>
      <c r="P98" s="101">
        <f t="shared" si="27"/>
        <v>57.845745469267051</v>
      </c>
      <c r="Q98" s="101">
        <f t="shared" si="27"/>
        <v>61.87253994379472</v>
      </c>
      <c r="R98" s="101">
        <f t="shared" si="27"/>
        <v>63.700606071982797</v>
      </c>
      <c r="S98" s="101">
        <f t="shared" si="27"/>
        <v>60.173934881429211</v>
      </c>
      <c r="T98" s="101">
        <f t="shared" si="27"/>
        <v>56.634244877463324</v>
      </c>
      <c r="U98" s="101">
        <f>U97*2.2046</f>
        <v>53.205719129882048</v>
      </c>
      <c r="V98" s="101">
        <f>V97*2.2046</f>
        <v>54.044881982436117</v>
      </c>
      <c r="W98" s="101">
        <f>W97*2.2046</f>
        <v>52.626643681795414</v>
      </c>
      <c r="X98" s="101">
        <f>X97*2.2046</f>
        <v>55.778045123504896</v>
      </c>
      <c r="Y98" s="101">
        <f>Y97*2.2046</f>
        <v>54.217896215127773</v>
      </c>
      <c r="Z98" s="101"/>
    </row>
    <row r="99" spans="1:27" ht="17.45" customHeight="1">
      <c r="A99" s="24"/>
      <c r="B99" s="72"/>
      <c r="C99" s="72"/>
      <c r="D99" s="72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101"/>
      <c r="V99" s="72"/>
      <c r="W99" s="72"/>
      <c r="X99" s="102"/>
      <c r="Y99" s="101"/>
      <c r="Z99" s="101"/>
    </row>
    <row r="100" spans="1:27" ht="17.45" customHeight="1">
      <c r="A100" s="24"/>
      <c r="B100" s="72"/>
      <c r="C100" s="72"/>
      <c r="D100" s="72"/>
      <c r="E100" s="91"/>
      <c r="F100" s="91"/>
      <c r="G100" s="91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91"/>
      <c r="U100" s="101"/>
      <c r="V100" s="72"/>
      <c r="W100" s="72"/>
      <c r="X100" s="102"/>
      <c r="Y100" s="101"/>
      <c r="Z100" s="101"/>
    </row>
    <row r="101" spans="1:27" ht="17.45" customHeight="1">
      <c r="A101" s="24" t="s">
        <v>64</v>
      </c>
      <c r="B101" s="72">
        <v>31.45</v>
      </c>
      <c r="C101" s="72">
        <v>31.46</v>
      </c>
      <c r="D101" s="72">
        <v>31.94</v>
      </c>
      <c r="E101" s="91">
        <v>32.6</v>
      </c>
      <c r="F101" s="91">
        <v>32.020000000000003</v>
      </c>
      <c r="G101" s="91">
        <v>30.75</v>
      </c>
      <c r="H101" s="100">
        <v>30.58</v>
      </c>
      <c r="I101" s="100">
        <v>32.4</v>
      </c>
      <c r="J101" s="100">
        <v>30.82</v>
      </c>
      <c r="K101" s="100">
        <v>30.29</v>
      </c>
      <c r="L101" s="100">
        <v>29.94</v>
      </c>
      <c r="M101" s="100">
        <v>30.6</v>
      </c>
      <c r="N101" s="103">
        <v>29.76</v>
      </c>
      <c r="O101" s="103">
        <v>28.28</v>
      </c>
      <c r="P101" s="103">
        <v>27.88</v>
      </c>
      <c r="Q101" s="103">
        <v>27.26</v>
      </c>
      <c r="R101" s="103">
        <v>27.6</v>
      </c>
      <c r="S101" s="103">
        <v>27.34</v>
      </c>
      <c r="T101" s="91">
        <v>26.5</v>
      </c>
      <c r="U101" s="101">
        <v>24.4</v>
      </c>
      <c r="V101" s="72">
        <v>25.4</v>
      </c>
      <c r="W101" s="72">
        <v>25.3</v>
      </c>
      <c r="X101" s="102">
        <v>25.4</v>
      </c>
      <c r="Y101" s="101"/>
      <c r="Z101" s="101"/>
    </row>
    <row r="102" spans="1:27" ht="17.45" customHeight="1">
      <c r="A102" s="24" t="s">
        <v>65</v>
      </c>
      <c r="B102" s="72"/>
      <c r="C102" s="72"/>
      <c r="D102" s="72"/>
      <c r="E102" s="76">
        <f>E101-E97</f>
        <v>0.87574537539274644</v>
      </c>
      <c r="F102" s="76">
        <f t="shared" ref="F102:X102" si="28">F101-F97</f>
        <v>0.8351535895272626</v>
      </c>
      <c r="G102" s="76">
        <f t="shared" si="28"/>
        <v>3.0250342371394972</v>
      </c>
      <c r="H102" s="76">
        <f t="shared" si="28"/>
        <v>2.9116945849871492</v>
      </c>
      <c r="I102" s="76">
        <f t="shared" si="28"/>
        <v>1.020299352844404</v>
      </c>
      <c r="J102" s="76">
        <f t="shared" si="28"/>
        <v>1.475823689942132</v>
      </c>
      <c r="K102" s="76">
        <f t="shared" si="28"/>
        <v>1.1485455283220354</v>
      </c>
      <c r="L102" s="76">
        <f t="shared" si="28"/>
        <v>0.29495398124632999</v>
      </c>
      <c r="M102" s="76">
        <f t="shared" si="28"/>
        <v>0.10914101848173274</v>
      </c>
      <c r="N102" s="76">
        <f t="shared" si="28"/>
        <v>1.5059809632631023</v>
      </c>
      <c r="O102" s="76">
        <f t="shared" si="28"/>
        <v>1.7993568514070191</v>
      </c>
      <c r="P102" s="76">
        <f t="shared" si="28"/>
        <v>1.6413419807370708</v>
      </c>
      <c r="Q102" s="76">
        <f t="shared" si="28"/>
        <v>-0.80520001079321091</v>
      </c>
      <c r="R102" s="76">
        <f t="shared" si="28"/>
        <v>-1.2944053669521871</v>
      </c>
      <c r="S102" s="76">
        <f t="shared" si="28"/>
        <v>4.5282191132535843E-2</v>
      </c>
      <c r="T102" s="76">
        <f t="shared" si="28"/>
        <v>0.8108750442423478</v>
      </c>
      <c r="U102" s="76">
        <f t="shared" si="28"/>
        <v>0.26604412143606737</v>
      </c>
      <c r="V102" s="76">
        <f t="shared" si="28"/>
        <v>0.88540234852757038</v>
      </c>
      <c r="W102" s="76">
        <f t="shared" si="28"/>
        <v>1.4287110215933012</v>
      </c>
      <c r="X102" s="76">
        <f t="shared" si="28"/>
        <v>9.9244704932914374E-2</v>
      </c>
      <c r="Y102" s="76"/>
      <c r="Z102" s="72"/>
    </row>
    <row r="103" spans="1:27" ht="17.45" customHeight="1">
      <c r="A103" s="31" t="s">
        <v>66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spans="1:27" ht="17.45" customHeight="1">
      <c r="A104" s="24" t="s">
        <v>67</v>
      </c>
      <c r="B104" s="72"/>
      <c r="C104" s="72"/>
      <c r="D104" s="72"/>
      <c r="E104" s="72"/>
      <c r="F104" s="76">
        <f t="shared" ref="F104:Y104" si="29">F68</f>
        <v>1076.4681234069881</v>
      </c>
      <c r="G104" s="76">
        <f t="shared" si="29"/>
        <v>1136.3922750106444</v>
      </c>
      <c r="H104" s="76">
        <f t="shared" si="29"/>
        <v>1222.9148603879144</v>
      </c>
      <c r="I104" s="76">
        <f t="shared" si="29"/>
        <v>913.97245981349556</v>
      </c>
      <c r="J104" s="76">
        <f t="shared" si="29"/>
        <v>1031.3890501140947</v>
      </c>
      <c r="K104" s="76">
        <f t="shared" si="29"/>
        <v>1170.0247032491093</v>
      </c>
      <c r="L104" s="76">
        <f t="shared" si="29"/>
        <v>1200.1751915034447</v>
      </c>
      <c r="M104" s="76">
        <f t="shared" si="29"/>
        <v>1266.490584602069</v>
      </c>
      <c r="N104" s="76">
        <f t="shared" si="29"/>
        <v>1282.6851065418518</v>
      </c>
      <c r="O104" s="76">
        <f t="shared" si="29"/>
        <v>1122.0787224973367</v>
      </c>
      <c r="P104" s="76">
        <f t="shared" si="29"/>
        <v>1142.7420658556975</v>
      </c>
      <c r="Q104" s="76">
        <f t="shared" si="29"/>
        <v>971.8426693012392</v>
      </c>
      <c r="R104" s="76">
        <f t="shared" si="29"/>
        <v>946.30975437534607</v>
      </c>
      <c r="S104" s="76">
        <f t="shared" si="29"/>
        <v>964.70219364959041</v>
      </c>
      <c r="T104" s="76">
        <f t="shared" si="29"/>
        <v>994.96032967716758</v>
      </c>
      <c r="U104" s="76">
        <f t="shared" si="29"/>
        <v>812.94783422117905</v>
      </c>
      <c r="V104" s="76">
        <f t="shared" si="29"/>
        <v>1033.2031172657637</v>
      </c>
      <c r="W104" s="76">
        <f t="shared" si="29"/>
        <v>1018.8860884329719</v>
      </c>
      <c r="X104" s="76">
        <f t="shared" si="29"/>
        <v>1005.722336918543</v>
      </c>
      <c r="Y104" s="76">
        <f t="shared" si="29"/>
        <v>1093.7854238419056</v>
      </c>
      <c r="Z104" s="72"/>
    </row>
    <row r="105" spans="1:27" ht="17.45" customHeight="1">
      <c r="A105" s="24" t="s">
        <v>68</v>
      </c>
      <c r="B105" s="72"/>
      <c r="C105" s="72"/>
      <c r="D105" s="72"/>
      <c r="E105" s="72"/>
      <c r="F105" s="73">
        <f t="shared" ref="F105:Y105" si="30">F50+F51</f>
        <v>145.88211158940396</v>
      </c>
      <c r="G105" s="73">
        <f t="shared" si="30"/>
        <v>188.22810761589403</v>
      </c>
      <c r="H105" s="73">
        <f t="shared" si="30"/>
        <v>159.29642615894039</v>
      </c>
      <c r="I105" s="73">
        <f t="shared" si="30"/>
        <v>53.853066556291388</v>
      </c>
      <c r="J105" s="73">
        <f t="shared" si="30"/>
        <v>0</v>
      </c>
      <c r="K105" s="73">
        <f t="shared" si="30"/>
        <v>84.548206291390713</v>
      </c>
      <c r="L105" s="73">
        <f t="shared" si="30"/>
        <v>189.29025066225162</v>
      </c>
      <c r="M105" s="73">
        <f t="shared" si="30"/>
        <v>226.36811777105959</v>
      </c>
      <c r="N105" s="73">
        <f t="shared" si="30"/>
        <v>179.01837341735097</v>
      </c>
      <c r="O105" s="73">
        <f t="shared" si="30"/>
        <v>141.84646357615895</v>
      </c>
      <c r="P105" s="73">
        <f t="shared" si="30"/>
        <v>169.20215364238408</v>
      </c>
      <c r="Q105" s="73">
        <f t="shared" si="30"/>
        <v>119.51729006622514</v>
      </c>
      <c r="R105" s="73">
        <f t="shared" si="30"/>
        <v>121.9497513245033</v>
      </c>
      <c r="S105" s="73">
        <f t="shared" si="30"/>
        <v>98.703942384105943</v>
      </c>
      <c r="T105" s="73">
        <f t="shared" si="30"/>
        <v>111.160928</v>
      </c>
      <c r="U105" s="73">
        <f t="shared" si="30"/>
        <v>66.736328999999998</v>
      </c>
      <c r="V105" s="73">
        <f t="shared" si="30"/>
        <v>96.619837748344366</v>
      </c>
      <c r="W105" s="73">
        <f t="shared" si="30"/>
        <v>96.078596242000003</v>
      </c>
      <c r="X105" s="73">
        <f t="shared" si="30"/>
        <v>68.170826490066219</v>
      </c>
      <c r="Y105" s="73">
        <f t="shared" si="30"/>
        <v>96.840161332305826</v>
      </c>
      <c r="Z105" s="104"/>
    </row>
    <row r="106" spans="1:27" ht="17.45" customHeight="1">
      <c r="A106" s="24" t="s">
        <v>69</v>
      </c>
      <c r="B106" s="72"/>
      <c r="C106" s="72"/>
      <c r="D106" s="72"/>
      <c r="E106" s="72"/>
      <c r="F106" s="94">
        <f>F105/F$104</f>
        <v>0.1355192117790647</v>
      </c>
      <c r="G106" s="94">
        <f>G105/G104</f>
        <v>0.16563656032784183</v>
      </c>
      <c r="H106" s="94">
        <f t="shared" ref="H106:U106" si="31">H105/H104</f>
        <v>0.1302596209423858</v>
      </c>
      <c r="I106" s="94">
        <f t="shared" si="31"/>
        <v>5.8921979517064002E-2</v>
      </c>
      <c r="J106" s="94">
        <f t="shared" si="31"/>
        <v>0</v>
      </c>
      <c r="K106" s="94">
        <f t="shared" si="31"/>
        <v>7.2261898451036047E-2</v>
      </c>
      <c r="L106" s="94">
        <f t="shared" si="31"/>
        <v>0.15771884971654018</v>
      </c>
      <c r="M106" s="94">
        <f t="shared" si="31"/>
        <v>0.17873651847335634</v>
      </c>
      <c r="N106" s="94">
        <f t="shared" si="31"/>
        <v>0.13956533252341924</v>
      </c>
      <c r="O106" s="94">
        <f t="shared" si="31"/>
        <v>0.12641400352059134</v>
      </c>
      <c r="P106" s="94">
        <f t="shared" si="31"/>
        <v>0.14806679363438299</v>
      </c>
      <c r="Q106" s="94">
        <f t="shared" si="31"/>
        <v>0.12298008087271863</v>
      </c>
      <c r="R106" s="94">
        <f t="shared" si="31"/>
        <v>0.12886874594778078</v>
      </c>
      <c r="S106" s="94">
        <f t="shared" si="31"/>
        <v>0.10231545344651539</v>
      </c>
      <c r="T106" s="94">
        <f t="shared" si="31"/>
        <v>0.11172398002648821</v>
      </c>
      <c r="U106" s="94">
        <f t="shared" si="31"/>
        <v>8.2091772916690023E-2</v>
      </c>
      <c r="V106" s="94">
        <f>V105/V104</f>
        <v>9.3514853114299606E-2</v>
      </c>
      <c r="W106" s="94">
        <f>W105/W104</f>
        <v>9.429768188293465E-2</v>
      </c>
      <c r="X106" s="94">
        <f>X105/X104</f>
        <v>6.7782949615036364E-2</v>
      </c>
      <c r="Y106" s="94">
        <f>Y105/Y104</f>
        <v>8.8536708591486019E-2</v>
      </c>
      <c r="Z106" s="104"/>
    </row>
    <row r="107" spans="1:27" ht="17.45" customHeight="1">
      <c r="A107" s="24" t="s">
        <v>70</v>
      </c>
      <c r="B107" s="72"/>
      <c r="C107" s="72"/>
      <c r="D107" s="72"/>
      <c r="E107" s="72"/>
      <c r="F107" s="76">
        <f t="shared" ref="F107:Y107" si="32">F52+F53</f>
        <v>52.337032450331122</v>
      </c>
      <c r="G107" s="76">
        <f t="shared" si="32"/>
        <v>75.37208476821192</v>
      </c>
      <c r="H107" s="76">
        <f t="shared" si="32"/>
        <v>104.15397350993376</v>
      </c>
      <c r="I107" s="76">
        <f t="shared" si="32"/>
        <v>37.202959602649003</v>
      </c>
      <c r="J107" s="76">
        <f t="shared" si="32"/>
        <v>0</v>
      </c>
      <c r="K107" s="76">
        <f t="shared" si="32"/>
        <v>0.77808774834437089</v>
      </c>
      <c r="L107" s="76">
        <f t="shared" si="32"/>
        <v>0.30771920529801322</v>
      </c>
      <c r="M107" s="76">
        <f t="shared" si="32"/>
        <v>2.6821218543046355</v>
      </c>
      <c r="N107" s="76">
        <f t="shared" si="32"/>
        <v>57.862200240000007</v>
      </c>
      <c r="O107" s="76">
        <f t="shared" si="32"/>
        <v>57.206839735099344</v>
      </c>
      <c r="P107" s="76">
        <f t="shared" si="32"/>
        <v>50.103466887417213</v>
      </c>
      <c r="Q107" s="76">
        <f t="shared" si="32"/>
        <v>32.910340728476811</v>
      </c>
      <c r="R107" s="76">
        <f t="shared" si="32"/>
        <v>49.318092052980134</v>
      </c>
      <c r="S107" s="76">
        <f t="shared" si="32"/>
        <v>73.886912582781449</v>
      </c>
      <c r="T107" s="76">
        <f t="shared" si="32"/>
        <v>76.206426000000008</v>
      </c>
      <c r="U107" s="76">
        <f t="shared" si="32"/>
        <v>60.184944000000002</v>
      </c>
      <c r="V107" s="76">
        <f t="shared" si="32"/>
        <v>55.941095033112582</v>
      </c>
      <c r="W107" s="76">
        <f t="shared" si="32"/>
        <v>39.603559376000007</v>
      </c>
      <c r="X107" s="76">
        <f t="shared" si="32"/>
        <v>44.725571523178807</v>
      </c>
      <c r="Y107" s="76">
        <f t="shared" si="32"/>
        <v>45.36720866947622</v>
      </c>
      <c r="Z107" s="104"/>
    </row>
    <row r="108" spans="1:27" ht="17.45" customHeight="1">
      <c r="A108" s="24" t="s">
        <v>71</v>
      </c>
      <c r="B108" s="72"/>
      <c r="C108" s="72"/>
      <c r="D108" s="72"/>
      <c r="E108" s="72"/>
      <c r="F108" s="99">
        <f t="shared" ref="F108:U108" si="33">F107/F104</f>
        <v>4.8619212508296157E-2</v>
      </c>
      <c r="G108" s="99">
        <f t="shared" si="33"/>
        <v>6.6325763053524736E-2</v>
      </c>
      <c r="H108" s="99">
        <f t="shared" si="33"/>
        <v>8.5168622022383164E-2</v>
      </c>
      <c r="I108" s="99">
        <f t="shared" si="33"/>
        <v>4.0704683388644559E-2</v>
      </c>
      <c r="J108" s="99">
        <f t="shared" si="33"/>
        <v>0</v>
      </c>
      <c r="K108" s="99">
        <f t="shared" si="33"/>
        <v>6.6501822242184632E-4</v>
      </c>
      <c r="L108" s="99">
        <f t="shared" si="33"/>
        <v>2.5639523919215255E-4</v>
      </c>
      <c r="M108" s="99">
        <f t="shared" si="33"/>
        <v>2.1177590160667142E-3</v>
      </c>
      <c r="N108" s="99">
        <f t="shared" si="33"/>
        <v>4.5110214459414606E-2</v>
      </c>
      <c r="O108" s="99">
        <f t="shared" si="33"/>
        <v>5.0982911081120803E-2</v>
      </c>
      <c r="P108" s="99">
        <f t="shared" si="33"/>
        <v>4.3844948378529494E-2</v>
      </c>
      <c r="Q108" s="99">
        <f t="shared" si="33"/>
        <v>3.3863856535687555E-2</v>
      </c>
      <c r="R108" s="99">
        <f t="shared" si="33"/>
        <v>5.2116224972799462E-2</v>
      </c>
      <c r="S108" s="99">
        <f t="shared" si="33"/>
        <v>7.6590385166698874E-2</v>
      </c>
      <c r="T108" s="99">
        <f t="shared" si="33"/>
        <v>7.6592426579184844E-2</v>
      </c>
      <c r="U108" s="99">
        <f t="shared" si="33"/>
        <v>7.4032971694498004E-2</v>
      </c>
      <c r="V108" s="99">
        <f>V107/V104</f>
        <v>5.4143366486498166E-2</v>
      </c>
      <c r="W108" s="99">
        <f>W107/W104</f>
        <v>3.8869467181468297E-2</v>
      </c>
      <c r="X108" s="99">
        <f>X107/X104</f>
        <v>4.4471092946204785E-2</v>
      </c>
      <c r="Y108" s="99">
        <f>Y107/Y104</f>
        <v>4.1477247438647107E-2</v>
      </c>
      <c r="Z108" s="104"/>
    </row>
    <row r="109" spans="1:27" ht="17.45" customHeight="1">
      <c r="A109" s="24" t="s">
        <v>72</v>
      </c>
      <c r="B109" s="72"/>
      <c r="C109" s="72"/>
      <c r="D109" s="72"/>
      <c r="E109" s="72"/>
      <c r="F109" s="76">
        <f t="shared" ref="F109:Y109" si="34">F60</f>
        <v>26.661471854304633</v>
      </c>
      <c r="G109" s="76">
        <f t="shared" si="34"/>
        <v>42.145542052980126</v>
      </c>
      <c r="H109" s="76">
        <f t="shared" si="34"/>
        <v>119.6218122516556</v>
      </c>
      <c r="I109" s="76">
        <f t="shared" si="34"/>
        <v>24.536408686390295</v>
      </c>
      <c r="J109" s="76">
        <f t="shared" si="34"/>
        <v>0</v>
      </c>
      <c r="K109" s="76">
        <f t="shared" si="34"/>
        <v>60.787310596026479</v>
      </c>
      <c r="L109" s="76">
        <f t="shared" si="34"/>
        <v>83.261820529801312</v>
      </c>
      <c r="M109" s="76">
        <f t="shared" si="34"/>
        <v>145.03977463331125</v>
      </c>
      <c r="N109" s="76">
        <f t="shared" si="34"/>
        <v>168.4105373340397</v>
      </c>
      <c r="O109" s="76">
        <f t="shared" si="34"/>
        <v>75.658801324503315</v>
      </c>
      <c r="P109" s="76">
        <f t="shared" si="34"/>
        <v>58.145591721854309</v>
      </c>
      <c r="Q109" s="76">
        <f t="shared" si="34"/>
        <v>27.082018543046352</v>
      </c>
      <c r="R109" s="76">
        <f t="shared" si="34"/>
        <v>46.421768543046355</v>
      </c>
      <c r="S109" s="76">
        <f t="shared" si="34"/>
        <v>98.538164238410587</v>
      </c>
      <c r="T109" s="76">
        <f t="shared" si="34"/>
        <v>97.76055199999999</v>
      </c>
      <c r="U109" s="76">
        <f t="shared" si="34"/>
        <v>60.578541000000001</v>
      </c>
      <c r="V109" s="76">
        <f t="shared" si="34"/>
        <v>73.55081788079471</v>
      </c>
      <c r="W109" s="76">
        <f t="shared" si="34"/>
        <v>78.633387588999994</v>
      </c>
      <c r="X109" s="76">
        <f t="shared" si="34"/>
        <v>51.361366887417212</v>
      </c>
      <c r="Y109" s="76">
        <f t="shared" si="34"/>
        <v>82.716542789259464</v>
      </c>
      <c r="Z109" s="104"/>
    </row>
    <row r="110" spans="1:27" ht="17.45" customHeight="1">
      <c r="A110" s="24" t="s">
        <v>73</v>
      </c>
      <c r="B110" s="72"/>
      <c r="C110" s="72"/>
      <c r="D110" s="72"/>
      <c r="E110" s="72"/>
      <c r="F110" s="99">
        <f t="shared" ref="F110:Y110" si="35">F109/F104</f>
        <v>2.4767544225946892E-2</v>
      </c>
      <c r="G110" s="99">
        <f t="shared" si="35"/>
        <v>3.708714233611396E-2</v>
      </c>
      <c r="H110" s="99">
        <f t="shared" si="35"/>
        <v>9.7816958585089889E-2</v>
      </c>
      <c r="I110" s="99">
        <f t="shared" si="35"/>
        <v>2.6845894997095616E-2</v>
      </c>
      <c r="J110" s="99">
        <f t="shared" si="35"/>
        <v>0</v>
      </c>
      <c r="K110" s="99">
        <f t="shared" si="35"/>
        <v>5.1953869373204412E-2</v>
      </c>
      <c r="L110" s="99">
        <f t="shared" si="35"/>
        <v>6.9374722223261631E-2</v>
      </c>
      <c r="M110" s="99">
        <f t="shared" si="35"/>
        <v>0.1145210050486737</v>
      </c>
      <c r="N110" s="99">
        <f t="shared" si="35"/>
        <v>0.13129530893835537</v>
      </c>
      <c r="O110" s="99">
        <f t="shared" si="35"/>
        <v>6.7427355859769361E-2</v>
      </c>
      <c r="P110" s="99">
        <f t="shared" si="35"/>
        <v>5.0882516238092861E-2</v>
      </c>
      <c r="Q110" s="99">
        <f t="shared" si="35"/>
        <v>2.7866669573706298E-2</v>
      </c>
      <c r="R110" s="99">
        <f t="shared" si="35"/>
        <v>4.9055574380810554E-2</v>
      </c>
      <c r="S110" s="99">
        <f t="shared" si="35"/>
        <v>0.10214360958963745</v>
      </c>
      <c r="T110" s="99">
        <f t="shared" si="35"/>
        <v>9.82557284788632E-2</v>
      </c>
      <c r="U110" s="99">
        <f t="shared" si="35"/>
        <v>7.4517131911711776E-2</v>
      </c>
      <c r="V110" s="99">
        <f t="shared" si="35"/>
        <v>7.1187181544164604E-2</v>
      </c>
      <c r="W110" s="99">
        <f t="shared" si="35"/>
        <v>7.7175837889725929E-2</v>
      </c>
      <c r="X110" s="99">
        <f t="shared" si="35"/>
        <v>5.1069132107361311E-2</v>
      </c>
      <c r="Y110" s="99">
        <f t="shared" si="35"/>
        <v>7.5624104130697589E-2</v>
      </c>
      <c r="Z110" s="104"/>
      <c r="AA110" s="32"/>
    </row>
    <row r="111" spans="1:27" ht="17.45" customHeight="1">
      <c r="A111" s="24" t="s">
        <v>74</v>
      </c>
      <c r="B111" s="72"/>
      <c r="C111" s="72"/>
      <c r="D111" s="72"/>
      <c r="E111" s="72"/>
      <c r="F111" s="68">
        <f t="shared" ref="F111:Y111" si="36">F80/1000</f>
        <v>318.464</v>
      </c>
      <c r="G111" s="68">
        <f t="shared" si="36"/>
        <v>355.94200000000001</v>
      </c>
      <c r="H111" s="68">
        <f t="shared" si="36"/>
        <v>363.45299999999997</v>
      </c>
      <c r="I111" s="68">
        <f t="shared" si="36"/>
        <v>253.499</v>
      </c>
      <c r="J111" s="68">
        <f t="shared" si="36"/>
        <v>336.714</v>
      </c>
      <c r="K111" s="68">
        <f t="shared" si="36"/>
        <v>370.74200000000002</v>
      </c>
      <c r="L111" s="68">
        <f t="shared" si="36"/>
        <v>294.73399999999998</v>
      </c>
      <c r="M111" s="68">
        <f t="shared" si="36"/>
        <v>280.53699999999998</v>
      </c>
      <c r="N111" s="68">
        <f t="shared" si="36"/>
        <v>300.44200000000001</v>
      </c>
      <c r="O111" s="68">
        <f t="shared" si="36"/>
        <v>319.20600000000002</v>
      </c>
      <c r="P111" s="68">
        <f t="shared" si="36"/>
        <v>307.78199999999998</v>
      </c>
      <c r="Q111" s="68">
        <f t="shared" si="36"/>
        <v>249.95</v>
      </c>
      <c r="R111" s="68">
        <f t="shared" si="36"/>
        <v>197.37799999999999</v>
      </c>
      <c r="S111" s="68">
        <f t="shared" si="36"/>
        <v>197.58699999999999</v>
      </c>
      <c r="T111" s="68">
        <f t="shared" si="36"/>
        <v>222.00399999999999</v>
      </c>
      <c r="U111" s="68">
        <f t="shared" si="36"/>
        <v>230.197</v>
      </c>
      <c r="V111" s="68">
        <f t="shared" si="36"/>
        <v>269.79300000000001</v>
      </c>
      <c r="W111" s="68">
        <f t="shared" si="36"/>
        <v>280.32499999999999</v>
      </c>
      <c r="X111" s="68">
        <f t="shared" si="36"/>
        <v>294.76</v>
      </c>
      <c r="Y111" s="68">
        <f t="shared" si="36"/>
        <v>316.72199999999998</v>
      </c>
      <c r="Z111" s="104"/>
    </row>
    <row r="112" spans="1:27" ht="17.45" customHeight="1">
      <c r="A112" s="24" t="s">
        <v>75</v>
      </c>
      <c r="B112" s="72"/>
      <c r="C112" s="72"/>
      <c r="D112" s="72"/>
      <c r="E112" s="72"/>
      <c r="F112" s="94">
        <f t="shared" ref="F112:U112" si="37">F111/F104</f>
        <v>0.29584155171457505</v>
      </c>
      <c r="G112" s="94">
        <f t="shared" si="37"/>
        <v>0.31322106619975565</v>
      </c>
      <c r="H112" s="94">
        <f t="shared" si="37"/>
        <v>0.29720221069577235</v>
      </c>
      <c r="I112" s="94">
        <f t="shared" si="37"/>
        <v>0.27735956075933488</v>
      </c>
      <c r="J112" s="94">
        <f t="shared" si="37"/>
        <v>0.32646652585923019</v>
      </c>
      <c r="K112" s="94">
        <f t="shared" si="37"/>
        <v>0.31686681398304251</v>
      </c>
      <c r="L112" s="94">
        <f t="shared" si="37"/>
        <v>0.24557581433656392</v>
      </c>
      <c r="M112" s="94">
        <f t="shared" si="37"/>
        <v>0.22150737116466176</v>
      </c>
      <c r="N112" s="94">
        <f t="shared" si="37"/>
        <v>0.23422896115945283</v>
      </c>
      <c r="O112" s="94">
        <f t="shared" si="37"/>
        <v>0.2844773665162853</v>
      </c>
      <c r="P112" s="94">
        <f t="shared" si="37"/>
        <v>0.26933637011912176</v>
      </c>
      <c r="Q112" s="94">
        <f t="shared" si="37"/>
        <v>0.25719183556708369</v>
      </c>
      <c r="R112" s="94">
        <f t="shared" si="37"/>
        <v>0.20857652485077482</v>
      </c>
      <c r="S112" s="94">
        <f t="shared" si="37"/>
        <v>0.20481657583103793</v>
      </c>
      <c r="T112" s="94">
        <f t="shared" si="37"/>
        <v>0.22312849404964025</v>
      </c>
      <c r="U112" s="94">
        <f t="shared" si="37"/>
        <v>0.2831633104976945</v>
      </c>
      <c r="V112" s="94">
        <f>V111/V104</f>
        <v>0.26112290554636702</v>
      </c>
      <c r="W112" s="94">
        <f>W111/W104</f>
        <v>0.27512889142606189</v>
      </c>
      <c r="X112" s="94">
        <f>X111/X104</f>
        <v>0.29308288100980467</v>
      </c>
      <c r="Y112" s="94">
        <f>Y111/Y104</f>
        <v>0.289565021709211</v>
      </c>
      <c r="Z112" s="104"/>
      <c r="AA112" s="32"/>
    </row>
    <row r="113" spans="1:27" ht="17.45" customHeight="1">
      <c r="A113" s="24" t="s">
        <v>76</v>
      </c>
      <c r="B113" s="72"/>
      <c r="C113" s="72"/>
      <c r="D113" s="72"/>
      <c r="E113" s="72"/>
      <c r="F113" s="105">
        <f t="shared" ref="F113:Y113" si="38">F81/1000</f>
        <v>53.189</v>
      </c>
      <c r="G113" s="68">
        <f t="shared" si="38"/>
        <v>69.674000000000007</v>
      </c>
      <c r="H113" s="68">
        <f t="shared" si="38"/>
        <v>77.887</v>
      </c>
      <c r="I113" s="68">
        <f t="shared" si="38"/>
        <v>29.442</v>
      </c>
      <c r="J113" s="68">
        <f t="shared" si="38"/>
        <v>87.037000000000006</v>
      </c>
      <c r="K113" s="68">
        <f t="shared" si="38"/>
        <v>52.064</v>
      </c>
      <c r="L113" s="68">
        <f t="shared" si="38"/>
        <v>41.664000000000001</v>
      </c>
      <c r="M113" s="68">
        <f t="shared" si="38"/>
        <v>45.661000000000001</v>
      </c>
      <c r="N113" s="68">
        <f t="shared" si="38"/>
        <v>47.23</v>
      </c>
      <c r="O113" s="68">
        <f t="shared" si="38"/>
        <v>36.436999999999998</v>
      </c>
      <c r="P113" s="68">
        <f t="shared" si="38"/>
        <v>38.548000000000002</v>
      </c>
      <c r="Q113" s="68">
        <f t="shared" si="38"/>
        <v>26.859000000000002</v>
      </c>
      <c r="R113" s="68">
        <f t="shared" si="38"/>
        <v>19.114000000000001</v>
      </c>
      <c r="S113" s="68">
        <f t="shared" si="38"/>
        <v>20.902000000000001</v>
      </c>
      <c r="T113" s="68">
        <f t="shared" si="38"/>
        <v>20.41</v>
      </c>
      <c r="U113" s="68">
        <f t="shared" si="38"/>
        <v>19.835999999999999</v>
      </c>
      <c r="V113" s="68">
        <f t="shared" si="38"/>
        <v>16.178999999999998</v>
      </c>
      <c r="W113" s="68">
        <f t="shared" si="38"/>
        <v>17.105</v>
      </c>
      <c r="X113" s="68">
        <f t="shared" si="38"/>
        <v>15.414999999999999</v>
      </c>
      <c r="Y113" s="68">
        <f t="shared" si="38"/>
        <v>16.53</v>
      </c>
      <c r="Z113" s="104"/>
    </row>
    <row r="114" spans="1:27" ht="17.45" customHeight="1">
      <c r="A114" s="24" t="s">
        <v>77</v>
      </c>
      <c r="B114" s="72"/>
      <c r="C114" s="72"/>
      <c r="D114" s="72"/>
      <c r="E114" s="72"/>
      <c r="F114" s="94">
        <f t="shared" ref="F114:Y114" si="39">F113/F104</f>
        <v>4.9410659585216954E-2</v>
      </c>
      <c r="G114" s="94">
        <f t="shared" si="39"/>
        <v>6.1311574825116955E-2</v>
      </c>
      <c r="H114" s="94">
        <f t="shared" si="39"/>
        <v>6.3689634105267054E-2</v>
      </c>
      <c r="I114" s="94">
        <f t="shared" si="39"/>
        <v>3.2213224461936092E-2</v>
      </c>
      <c r="J114" s="94">
        <f t="shared" si="39"/>
        <v>8.4388136552711865E-2</v>
      </c>
      <c r="K114" s="94">
        <f t="shared" si="39"/>
        <v>4.4498205769006816E-2</v>
      </c>
      <c r="L114" s="94">
        <f t="shared" si="39"/>
        <v>3.4714931865745383E-2</v>
      </c>
      <c r="M114" s="94">
        <f t="shared" si="39"/>
        <v>3.6053169723600176E-2</v>
      </c>
      <c r="N114" s="94">
        <f t="shared" si="39"/>
        <v>3.6821196222768304E-2</v>
      </c>
      <c r="O114" s="94">
        <f t="shared" si="39"/>
        <v>3.2472766187834456E-2</v>
      </c>
      <c r="P114" s="94">
        <f t="shared" si="39"/>
        <v>3.373289664552153E-2</v>
      </c>
      <c r="Q114" s="94">
        <f t="shared" si="39"/>
        <v>2.7637189483881983E-2</v>
      </c>
      <c r="R114" s="94">
        <f t="shared" si="39"/>
        <v>2.0198460294448776E-2</v>
      </c>
      <c r="S114" s="94">
        <f t="shared" si="39"/>
        <v>2.1666790163423481E-2</v>
      </c>
      <c r="T114" s="94">
        <f t="shared" si="39"/>
        <v>2.0513380675812858E-2</v>
      </c>
      <c r="U114" s="94">
        <f t="shared" si="39"/>
        <v>2.4400089605999504E-2</v>
      </c>
      <c r="V114" s="94">
        <f t="shared" si="39"/>
        <v>1.5659070060508137E-2</v>
      </c>
      <c r="W114" s="94">
        <f t="shared" si="39"/>
        <v>1.678794145310903E-2</v>
      </c>
      <c r="X114" s="94">
        <f t="shared" si="39"/>
        <v>1.5327292070722413E-2</v>
      </c>
      <c r="Y114" s="94">
        <f t="shared" si="39"/>
        <v>1.5112653395890588E-2</v>
      </c>
      <c r="Z114" s="104"/>
    </row>
    <row r="115" spans="1:27" ht="17.45" customHeight="1">
      <c r="A115" s="24" t="s">
        <v>78</v>
      </c>
      <c r="B115" s="72"/>
      <c r="C115" s="72"/>
      <c r="D115" s="72"/>
      <c r="E115" s="72"/>
      <c r="F115" s="72">
        <f t="shared" ref="F115:Y115" si="40">F82/1000</f>
        <v>74.263000000000005</v>
      </c>
      <c r="G115" s="72">
        <f t="shared" si="40"/>
        <v>64.11</v>
      </c>
      <c r="H115" s="72">
        <f t="shared" si="40"/>
        <v>76.278999999999996</v>
      </c>
      <c r="I115" s="72">
        <f t="shared" si="40"/>
        <v>41.823999999999998</v>
      </c>
      <c r="J115" s="72">
        <f t="shared" si="40"/>
        <v>30.911000000000001</v>
      </c>
      <c r="K115" s="72">
        <f t="shared" si="40"/>
        <v>35.570999999999998</v>
      </c>
      <c r="L115" s="72">
        <f t="shared" si="40"/>
        <v>31.745000000000001</v>
      </c>
      <c r="M115" s="72">
        <f t="shared" si="40"/>
        <v>36.612000000000002</v>
      </c>
      <c r="N115" s="72">
        <f t="shared" si="40"/>
        <v>45.307000000000002</v>
      </c>
      <c r="O115" s="72">
        <f t="shared" si="40"/>
        <v>58.707999999999998</v>
      </c>
      <c r="P115" s="72">
        <f t="shared" si="40"/>
        <v>75.293000000000006</v>
      </c>
      <c r="Q115" s="72">
        <f t="shared" si="40"/>
        <v>35.21</v>
      </c>
      <c r="R115" s="72">
        <f t="shared" si="40"/>
        <v>36.868000000000002</v>
      </c>
      <c r="S115" s="72">
        <f t="shared" si="40"/>
        <v>41.594999999999999</v>
      </c>
      <c r="T115" s="72">
        <f t="shared" si="40"/>
        <v>54.637</v>
      </c>
      <c r="U115" s="72">
        <f t="shared" si="40"/>
        <v>72.497</v>
      </c>
      <c r="V115" s="72">
        <f t="shared" si="40"/>
        <v>73.591999999999999</v>
      </c>
      <c r="W115" s="72">
        <f t="shared" si="40"/>
        <v>82.641000000000005</v>
      </c>
      <c r="X115" s="106">
        <f t="shared" si="40"/>
        <v>88.375</v>
      </c>
      <c r="Y115" s="106">
        <f t="shared" si="40"/>
        <v>105.26300000000001</v>
      </c>
      <c r="Z115" s="104"/>
    </row>
    <row r="116" spans="1:27" ht="17.45" customHeight="1">
      <c r="A116" s="24" t="s">
        <v>79</v>
      </c>
      <c r="B116" s="72"/>
      <c r="C116" s="72"/>
      <c r="D116" s="72"/>
      <c r="E116" s="72"/>
      <c r="F116" s="94">
        <f t="shared" ref="F116:Y116" si="41">F115/F104</f>
        <v>6.8987644301960305E-2</v>
      </c>
      <c r="G116" s="94">
        <f t="shared" si="41"/>
        <v>5.641537821910967E-2</v>
      </c>
      <c r="H116" s="71">
        <f t="shared" si="41"/>
        <v>6.2374742895677904E-2</v>
      </c>
      <c r="I116" s="94">
        <f t="shared" si="41"/>
        <v>4.5760678618844343E-2</v>
      </c>
      <c r="J116" s="94">
        <f t="shared" si="41"/>
        <v>2.9970261945849196E-2</v>
      </c>
      <c r="K116" s="94">
        <f t="shared" si="41"/>
        <v>3.0401922199779909E-2</v>
      </c>
      <c r="L116" s="94">
        <f t="shared" si="41"/>
        <v>2.6450305109401096E-2</v>
      </c>
      <c r="M116" s="94">
        <f t="shared" si="41"/>
        <v>2.8908229121579677E-2</v>
      </c>
      <c r="N116" s="94">
        <f t="shared" si="41"/>
        <v>3.5321997401333134E-2</v>
      </c>
      <c r="O116" s="94">
        <f t="shared" si="41"/>
        <v>5.2320749714723641E-2</v>
      </c>
      <c r="P116" s="94">
        <f t="shared" si="41"/>
        <v>6.5888009420235871E-2</v>
      </c>
      <c r="Q116" s="94">
        <f t="shared" si="41"/>
        <v>3.6230144150098086E-2</v>
      </c>
      <c r="R116" s="94">
        <f t="shared" si="41"/>
        <v>3.8959759031900042E-2</v>
      </c>
      <c r="S116" s="94">
        <f t="shared" si="41"/>
        <v>4.3116933156999313E-2</v>
      </c>
      <c r="T116" s="94">
        <f t="shared" si="41"/>
        <v>5.491374718198859E-2</v>
      </c>
      <c r="U116" s="94">
        <f t="shared" si="41"/>
        <v>8.9177923783330615E-2</v>
      </c>
      <c r="V116" s="94">
        <f t="shared" si="41"/>
        <v>7.1227040230725944E-2</v>
      </c>
      <c r="W116" s="94">
        <f t="shared" si="41"/>
        <v>8.1109165134544484E-2</v>
      </c>
      <c r="X116" s="94">
        <f t="shared" si="41"/>
        <v>8.787216586118024E-2</v>
      </c>
      <c r="Y116" s="94">
        <f t="shared" si="41"/>
        <v>9.6237340254787113E-2</v>
      </c>
      <c r="Z116" s="104"/>
      <c r="AA116" s="32"/>
    </row>
    <row r="117" spans="1:27" ht="17.45" customHeight="1">
      <c r="A117" s="24" t="s">
        <v>80</v>
      </c>
      <c r="B117" s="72"/>
      <c r="C117" s="72"/>
      <c r="D117" s="72"/>
      <c r="E117" s="72"/>
      <c r="F117" s="76">
        <f t="shared" ref="F117:Y117" si="42">F104-F105-F107-F109-F111-F113-F115</f>
        <v>405.67150751294844</v>
      </c>
      <c r="G117" s="76">
        <f t="shared" si="42"/>
        <v>340.92054057355836</v>
      </c>
      <c r="H117" s="76">
        <f t="shared" si="42"/>
        <v>322.22364846738463</v>
      </c>
      <c r="I117" s="76">
        <f t="shared" si="42"/>
        <v>473.61502496816485</v>
      </c>
      <c r="J117" s="76">
        <f t="shared" si="42"/>
        <v>576.72705011409471</v>
      </c>
      <c r="K117" s="76">
        <f t="shared" si="42"/>
        <v>565.53409861334762</v>
      </c>
      <c r="L117" s="76">
        <f t="shared" si="42"/>
        <v>559.17240110609384</v>
      </c>
      <c r="M117" s="76">
        <f t="shared" si="42"/>
        <v>529.59057034339355</v>
      </c>
      <c r="N117" s="76">
        <f t="shared" si="42"/>
        <v>484.41499555046107</v>
      </c>
      <c r="O117" s="76">
        <f t="shared" si="42"/>
        <v>433.01561786157504</v>
      </c>
      <c r="P117" s="76">
        <f t="shared" si="42"/>
        <v>443.66785360404208</v>
      </c>
      <c r="Q117" s="76">
        <f t="shared" si="42"/>
        <v>480.31401996349081</v>
      </c>
      <c r="R117" s="76">
        <f t="shared" si="42"/>
        <v>475.26014245481628</v>
      </c>
      <c r="S117" s="76">
        <f t="shared" si="42"/>
        <v>433.48917444429253</v>
      </c>
      <c r="T117" s="76">
        <f t="shared" si="42"/>
        <v>412.7814236771676</v>
      </c>
      <c r="U117" s="76">
        <f t="shared" si="42"/>
        <v>302.91802022117912</v>
      </c>
      <c r="V117" s="76">
        <f t="shared" si="42"/>
        <v>447.52736660351206</v>
      </c>
      <c r="W117" s="76">
        <f t="shared" si="42"/>
        <v>424.49954522597187</v>
      </c>
      <c r="X117" s="76">
        <f t="shared" si="42"/>
        <v>442.91457201788069</v>
      </c>
      <c r="Y117" s="76">
        <f t="shared" si="42"/>
        <v>430.34651105086414</v>
      </c>
      <c r="Z117" s="104"/>
    </row>
    <row r="118" spans="1:27" ht="17.45" customHeight="1">
      <c r="A118" s="24" t="s">
        <v>81</v>
      </c>
      <c r="B118" s="72"/>
      <c r="C118" s="72"/>
      <c r="D118" s="72"/>
      <c r="E118" s="72"/>
      <c r="F118" s="71">
        <f t="shared" ref="F118:Y118" si="43">F117/F104</f>
        <v>0.37685417588494008</v>
      </c>
      <c r="G118" s="71">
        <f t="shared" si="43"/>
        <v>0.3000025150385372</v>
      </c>
      <c r="H118" s="71">
        <f t="shared" si="43"/>
        <v>0.26348821075342382</v>
      </c>
      <c r="I118" s="71">
        <f t="shared" si="43"/>
        <v>0.51819397825708047</v>
      </c>
      <c r="J118" s="71">
        <f t="shared" si="43"/>
        <v>0.5591750756422087</v>
      </c>
      <c r="K118" s="71">
        <f t="shared" si="43"/>
        <v>0.48335227200150843</v>
      </c>
      <c r="L118" s="71">
        <f t="shared" si="43"/>
        <v>0.46590898150929572</v>
      </c>
      <c r="M118" s="71">
        <f t="shared" si="43"/>
        <v>0.41815594745206158</v>
      </c>
      <c r="N118" s="71">
        <f t="shared" si="43"/>
        <v>0.37765698929525648</v>
      </c>
      <c r="O118" s="71">
        <f t="shared" si="43"/>
        <v>0.3859048471196751</v>
      </c>
      <c r="P118" s="71">
        <f t="shared" si="43"/>
        <v>0.38824846556411557</v>
      </c>
      <c r="Q118" s="71">
        <f t="shared" si="43"/>
        <v>0.49423022381682369</v>
      </c>
      <c r="R118" s="71">
        <f t="shared" si="43"/>
        <v>0.50222471052148554</v>
      </c>
      <c r="S118" s="71">
        <f t="shared" si="43"/>
        <v>0.44935025264568762</v>
      </c>
      <c r="T118" s="71">
        <f t="shared" si="43"/>
        <v>0.41487224300802206</v>
      </c>
      <c r="U118" s="71">
        <f t="shared" si="43"/>
        <v>0.37261679959007565</v>
      </c>
      <c r="V118" s="71">
        <f t="shared" si="43"/>
        <v>0.43314558301743655</v>
      </c>
      <c r="W118" s="71">
        <f t="shared" si="43"/>
        <v>0.41663101503215577</v>
      </c>
      <c r="X118" s="71">
        <f t="shared" si="43"/>
        <v>0.4403944863896902</v>
      </c>
      <c r="Y118" s="71">
        <f t="shared" si="43"/>
        <v>0.39344692447928059</v>
      </c>
      <c r="Z118" s="104"/>
    </row>
    <row r="119" spans="1:27" ht="17.45" customHeight="1">
      <c r="A119" s="24" t="s">
        <v>82</v>
      </c>
      <c r="B119" s="72"/>
      <c r="C119" s="72"/>
      <c r="D119" s="72"/>
      <c r="E119" s="72"/>
      <c r="F119" s="76">
        <f>F105 +F107+F109+F111+F113+F115+F117</f>
        <v>1076.4681234069881</v>
      </c>
      <c r="G119" s="76">
        <f>G105 +G107+G109+G111+G113+G115+G117</f>
        <v>1136.3922750106444</v>
      </c>
      <c r="H119" s="76">
        <f t="shared" ref="H119:Y119" si="44">H105 +H107+H109+H111+H113+H115+H117</f>
        <v>1222.9148603879144</v>
      </c>
      <c r="I119" s="76">
        <f t="shared" si="44"/>
        <v>913.97245981349556</v>
      </c>
      <c r="J119" s="76">
        <f t="shared" si="44"/>
        <v>1031.3890501140947</v>
      </c>
      <c r="K119" s="76">
        <f t="shared" si="44"/>
        <v>1170.0247032491093</v>
      </c>
      <c r="L119" s="76">
        <f t="shared" si="44"/>
        <v>1200.1751915034447</v>
      </c>
      <c r="M119" s="76">
        <f t="shared" si="44"/>
        <v>1266.490584602069</v>
      </c>
      <c r="N119" s="76">
        <f t="shared" si="44"/>
        <v>1282.6851065418518</v>
      </c>
      <c r="O119" s="76">
        <f t="shared" si="44"/>
        <v>1122.0787224973367</v>
      </c>
      <c r="P119" s="76">
        <f t="shared" si="44"/>
        <v>1142.7420658556975</v>
      </c>
      <c r="Q119" s="76">
        <f t="shared" si="44"/>
        <v>971.84266930123908</v>
      </c>
      <c r="R119" s="76">
        <f t="shared" si="44"/>
        <v>946.30975437534607</v>
      </c>
      <c r="S119" s="76">
        <f t="shared" si="44"/>
        <v>964.70219364959041</v>
      </c>
      <c r="T119" s="76">
        <f t="shared" si="44"/>
        <v>994.96032967716746</v>
      </c>
      <c r="U119" s="76">
        <f t="shared" si="44"/>
        <v>812.94783422117916</v>
      </c>
      <c r="V119" s="76">
        <f t="shared" si="44"/>
        <v>1033.2031172657637</v>
      </c>
      <c r="W119" s="76">
        <f t="shared" si="44"/>
        <v>1018.886088432972</v>
      </c>
      <c r="X119" s="76">
        <f t="shared" si="44"/>
        <v>1005.722336918543</v>
      </c>
      <c r="Y119" s="76">
        <f t="shared" si="44"/>
        <v>1093.7854238419056</v>
      </c>
      <c r="Z119" s="104"/>
    </row>
    <row r="120" spans="1:27" ht="17.45" customHeight="1">
      <c r="A120" s="24" t="s">
        <v>83</v>
      </c>
      <c r="B120" s="72"/>
      <c r="C120" s="72"/>
      <c r="D120" s="72"/>
      <c r="E120" s="72"/>
      <c r="F120" s="71">
        <f>F106+F108+F110+F112+F114+F116+F118</f>
        <v>1</v>
      </c>
      <c r="G120" s="94">
        <f t="shared" ref="G120:Y120" si="45">G106+G108+G110+G112+G114+G116+G118</f>
        <v>1</v>
      </c>
      <c r="H120" s="94">
        <f t="shared" si="45"/>
        <v>1</v>
      </c>
      <c r="I120" s="94">
        <f t="shared" si="45"/>
        <v>1</v>
      </c>
      <c r="J120" s="94">
        <f t="shared" si="45"/>
        <v>1</v>
      </c>
      <c r="K120" s="94">
        <f t="shared" si="45"/>
        <v>1</v>
      </c>
      <c r="L120" s="94">
        <f t="shared" si="45"/>
        <v>1</v>
      </c>
      <c r="M120" s="94">
        <f t="shared" si="45"/>
        <v>1</v>
      </c>
      <c r="N120" s="94">
        <f t="shared" si="45"/>
        <v>1</v>
      </c>
      <c r="O120" s="94">
        <f t="shared" si="45"/>
        <v>1</v>
      </c>
      <c r="P120" s="94">
        <f t="shared" si="45"/>
        <v>1</v>
      </c>
      <c r="Q120" s="94">
        <f t="shared" si="45"/>
        <v>1</v>
      </c>
      <c r="R120" s="94">
        <f t="shared" si="45"/>
        <v>1</v>
      </c>
      <c r="S120" s="94">
        <f t="shared" si="45"/>
        <v>1</v>
      </c>
      <c r="T120" s="94">
        <f t="shared" si="45"/>
        <v>1</v>
      </c>
      <c r="U120" s="94">
        <f t="shared" si="45"/>
        <v>1</v>
      </c>
      <c r="V120" s="94">
        <f t="shared" si="45"/>
        <v>1</v>
      </c>
      <c r="W120" s="94">
        <f t="shared" si="45"/>
        <v>1</v>
      </c>
      <c r="X120" s="94">
        <f t="shared" si="45"/>
        <v>1</v>
      </c>
      <c r="Y120" s="94">
        <f t="shared" si="45"/>
        <v>1</v>
      </c>
      <c r="Z120" s="104"/>
    </row>
    <row r="121" spans="1:27" ht="17.45" customHeight="1">
      <c r="A121" s="24"/>
      <c r="B121" s="72"/>
      <c r="C121" s="72"/>
      <c r="D121" s="72"/>
      <c r="E121" s="72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2"/>
      <c r="Y121" s="96">
        <f>Y119/0.73</f>
        <v>1498.3361970437063</v>
      </c>
      <c r="Z121" s="72"/>
    </row>
    <row r="122" spans="1:27" ht="17.45" customHeight="1">
      <c r="A122" s="24" t="s">
        <v>84</v>
      </c>
      <c r="B122" s="72"/>
      <c r="C122" s="72"/>
      <c r="D122" s="72"/>
      <c r="E122" s="72"/>
      <c r="F122" s="104">
        <f t="shared" ref="F122:V122" si="46">F106+F108+F110+F112</f>
        <v>0.50474752022788283</v>
      </c>
      <c r="G122" s="104">
        <f t="shared" si="46"/>
        <v>0.58227053191723621</v>
      </c>
      <c r="H122" s="104">
        <f t="shared" si="46"/>
        <v>0.61044741224563115</v>
      </c>
      <c r="I122" s="104">
        <f t="shared" si="46"/>
        <v>0.40383211866213908</v>
      </c>
      <c r="J122" s="104">
        <f t="shared" si="46"/>
        <v>0.32646652585923019</v>
      </c>
      <c r="K122" s="104">
        <f t="shared" si="46"/>
        <v>0.44174760002970481</v>
      </c>
      <c r="L122" s="104">
        <f t="shared" si="46"/>
        <v>0.47292578151555786</v>
      </c>
      <c r="M122" s="104">
        <f t="shared" si="46"/>
        <v>0.51688265370275854</v>
      </c>
      <c r="N122" s="104">
        <f t="shared" si="46"/>
        <v>0.55019981708064203</v>
      </c>
      <c r="O122" s="104">
        <f t="shared" si="46"/>
        <v>0.52930163697776678</v>
      </c>
      <c r="P122" s="104">
        <f t="shared" si="46"/>
        <v>0.51213062837012713</v>
      </c>
      <c r="Q122" s="104">
        <f t="shared" si="46"/>
        <v>0.44190244254919619</v>
      </c>
      <c r="R122" s="104">
        <f t="shared" si="46"/>
        <v>0.43861707015216561</v>
      </c>
      <c r="S122" s="104">
        <f t="shared" si="46"/>
        <v>0.48586602403388968</v>
      </c>
      <c r="T122" s="104">
        <f t="shared" si="46"/>
        <v>0.50970062913417657</v>
      </c>
      <c r="U122" s="104">
        <f t="shared" si="46"/>
        <v>0.5138051870205943</v>
      </c>
      <c r="V122" s="104">
        <f t="shared" si="46"/>
        <v>0.47996830669132939</v>
      </c>
      <c r="W122" s="104">
        <f>W106+W108+W110+W112</f>
        <v>0.48547187838019079</v>
      </c>
      <c r="X122" s="104">
        <f>X106+X108+X110+X112</f>
        <v>0.45640605567840714</v>
      </c>
      <c r="Y122" s="72"/>
      <c r="Z122" s="72"/>
    </row>
    <row r="123" spans="1:27" ht="17.45" customHeight="1">
      <c r="B123" s="72"/>
      <c r="C123" s="72"/>
      <c r="D123" s="72"/>
    </row>
    <row r="124" spans="1:27" ht="17.45" customHeight="1">
      <c r="B124" s="72"/>
      <c r="C124" s="72"/>
      <c r="D124" s="72"/>
    </row>
    <row r="125" spans="1:27" ht="17.45" customHeight="1">
      <c r="A125" s="33" t="s">
        <v>85</v>
      </c>
      <c r="B125" s="72"/>
      <c r="C125" s="72"/>
      <c r="D125" s="72"/>
    </row>
    <row r="126" spans="1:27" ht="17.45" customHeight="1">
      <c r="A126" s="27"/>
      <c r="B126" s="76"/>
      <c r="C126" s="72"/>
      <c r="D126" s="72"/>
      <c r="V126" s="32"/>
    </row>
    <row r="127" spans="1:27" ht="17.45" customHeight="1">
      <c r="A127" s="27" t="s">
        <v>68</v>
      </c>
      <c r="B127" s="94">
        <v>9.9304389502766335E-2</v>
      </c>
      <c r="C127" s="72"/>
      <c r="D127" s="104"/>
      <c r="E127" s="32"/>
      <c r="F127" s="32">
        <f t="shared" ref="F127:U127" si="47">F106</f>
        <v>0.1355192117790647</v>
      </c>
      <c r="G127" s="32">
        <f t="shared" si="47"/>
        <v>0.16563656032784183</v>
      </c>
      <c r="H127" s="34">
        <f t="shared" si="47"/>
        <v>0.1302596209423858</v>
      </c>
      <c r="I127" s="32">
        <f t="shared" si="47"/>
        <v>5.8921979517064002E-2</v>
      </c>
      <c r="J127" s="32">
        <f t="shared" si="47"/>
        <v>0</v>
      </c>
      <c r="K127" s="32">
        <f t="shared" si="47"/>
        <v>7.2261898451036047E-2</v>
      </c>
      <c r="L127" s="32">
        <f t="shared" si="47"/>
        <v>0.15771884971654018</v>
      </c>
      <c r="M127" s="32">
        <f t="shared" si="47"/>
        <v>0.17873651847335634</v>
      </c>
      <c r="N127" s="32">
        <f t="shared" si="47"/>
        <v>0.13956533252341924</v>
      </c>
      <c r="O127" s="32">
        <f t="shared" si="47"/>
        <v>0.12641400352059134</v>
      </c>
      <c r="P127" s="32">
        <f t="shared" si="47"/>
        <v>0.14806679363438299</v>
      </c>
      <c r="Q127" s="32">
        <f t="shared" si="47"/>
        <v>0.12298008087271863</v>
      </c>
      <c r="R127" s="32">
        <f t="shared" si="47"/>
        <v>0.12886874594778078</v>
      </c>
      <c r="S127" s="32">
        <f t="shared" si="47"/>
        <v>0.10231545344651539</v>
      </c>
      <c r="T127" s="32">
        <f t="shared" si="47"/>
        <v>0.11172398002648821</v>
      </c>
      <c r="U127" s="32">
        <f t="shared" si="47"/>
        <v>8.2091772916690023E-2</v>
      </c>
      <c r="V127" s="32">
        <f>V106</f>
        <v>9.3514853114299606E-2</v>
      </c>
      <c r="W127" s="32">
        <f>W106</f>
        <v>9.429768188293465E-2</v>
      </c>
      <c r="X127" s="32">
        <f>X106</f>
        <v>6.7782949615036364E-2</v>
      </c>
      <c r="Y127" s="32">
        <f>Y106</f>
        <v>8.8536708591486019E-2</v>
      </c>
    </row>
    <row r="128" spans="1:27" ht="17.45" customHeight="1">
      <c r="A128" s="27" t="s">
        <v>70</v>
      </c>
      <c r="B128" s="99">
        <v>5.7387091469731803E-2</v>
      </c>
      <c r="C128" s="72"/>
      <c r="D128" s="109"/>
      <c r="E128" s="35"/>
      <c r="F128" s="34">
        <f t="shared" ref="F128:U128" si="48">F108</f>
        <v>4.8619212508296157E-2</v>
      </c>
      <c r="G128" s="35">
        <f t="shared" si="48"/>
        <v>6.6325763053524736E-2</v>
      </c>
      <c r="H128" s="34">
        <f t="shared" si="48"/>
        <v>8.5168622022383164E-2</v>
      </c>
      <c r="I128" s="35">
        <f t="shared" si="48"/>
        <v>4.0704683388644559E-2</v>
      </c>
      <c r="J128" s="35">
        <f t="shared" si="48"/>
        <v>0</v>
      </c>
      <c r="K128" s="35">
        <f t="shared" si="48"/>
        <v>6.6501822242184632E-4</v>
      </c>
      <c r="L128" s="35">
        <f t="shared" si="48"/>
        <v>2.5639523919215255E-4</v>
      </c>
      <c r="M128" s="35">
        <f t="shared" si="48"/>
        <v>2.1177590160667142E-3</v>
      </c>
      <c r="N128" s="35">
        <f t="shared" si="48"/>
        <v>4.5110214459414606E-2</v>
      </c>
      <c r="O128" s="35">
        <f t="shared" si="48"/>
        <v>5.0982911081120803E-2</v>
      </c>
      <c r="P128" s="35">
        <f t="shared" si="48"/>
        <v>4.3844948378529494E-2</v>
      </c>
      <c r="Q128" s="35">
        <f t="shared" si="48"/>
        <v>3.3863856535687555E-2</v>
      </c>
      <c r="R128" s="35">
        <f t="shared" si="48"/>
        <v>5.2116224972799462E-2</v>
      </c>
      <c r="S128" s="35">
        <f t="shared" si="48"/>
        <v>7.6590385166698874E-2</v>
      </c>
      <c r="T128" s="35">
        <f t="shared" si="48"/>
        <v>7.6592426579184844E-2</v>
      </c>
      <c r="U128" s="35">
        <f t="shared" si="48"/>
        <v>7.4032971694498004E-2</v>
      </c>
      <c r="V128" s="35">
        <f>V108</f>
        <v>5.4143366486498166E-2</v>
      </c>
      <c r="W128" s="35">
        <f>W108</f>
        <v>3.8869467181468297E-2</v>
      </c>
      <c r="X128" s="35">
        <f>X108</f>
        <v>4.4471092946204785E-2</v>
      </c>
      <c r="Y128" s="35">
        <f>Y108</f>
        <v>4.1477247438647107E-2</v>
      </c>
    </row>
    <row r="129" spans="1:25" ht="17.45" customHeight="1">
      <c r="A129" s="27" t="s">
        <v>86</v>
      </c>
      <c r="B129" s="94">
        <v>5.793851463639374E-2</v>
      </c>
      <c r="C129" s="72"/>
      <c r="D129" s="109"/>
      <c r="E129" s="35"/>
      <c r="F129" s="34">
        <f t="shared" ref="F129:U129" si="49">F110</f>
        <v>2.4767544225946892E-2</v>
      </c>
      <c r="G129" s="35">
        <f t="shared" si="49"/>
        <v>3.708714233611396E-2</v>
      </c>
      <c r="H129" s="34">
        <f t="shared" si="49"/>
        <v>9.7816958585089889E-2</v>
      </c>
      <c r="I129" s="35">
        <f t="shared" si="49"/>
        <v>2.6845894997095616E-2</v>
      </c>
      <c r="J129" s="35">
        <f t="shared" si="49"/>
        <v>0</v>
      </c>
      <c r="K129" s="35">
        <f t="shared" si="49"/>
        <v>5.1953869373204412E-2</v>
      </c>
      <c r="L129" s="35">
        <f t="shared" si="49"/>
        <v>6.9374722223261631E-2</v>
      </c>
      <c r="M129" s="35">
        <f t="shared" si="49"/>
        <v>0.1145210050486737</v>
      </c>
      <c r="N129" s="35">
        <f t="shared" si="49"/>
        <v>0.13129530893835537</v>
      </c>
      <c r="O129" s="35">
        <f t="shared" si="49"/>
        <v>6.7427355859769361E-2</v>
      </c>
      <c r="P129" s="35">
        <f t="shared" si="49"/>
        <v>5.0882516238092861E-2</v>
      </c>
      <c r="Q129" s="35">
        <f t="shared" si="49"/>
        <v>2.7866669573706298E-2</v>
      </c>
      <c r="R129" s="35">
        <f t="shared" si="49"/>
        <v>4.9055574380810554E-2</v>
      </c>
      <c r="S129" s="35">
        <f t="shared" si="49"/>
        <v>0.10214360958963745</v>
      </c>
      <c r="T129" s="35">
        <f t="shared" si="49"/>
        <v>9.82557284788632E-2</v>
      </c>
      <c r="U129" s="35">
        <f t="shared" si="49"/>
        <v>7.4517131911711776E-2</v>
      </c>
      <c r="V129" s="35">
        <f>V110</f>
        <v>7.1187181544164604E-2</v>
      </c>
      <c r="W129" s="35">
        <f>W110</f>
        <v>7.7175837889725929E-2</v>
      </c>
      <c r="X129" s="35">
        <f>X110</f>
        <v>5.1069132107361311E-2</v>
      </c>
      <c r="Y129" s="35">
        <f>Y110</f>
        <v>7.5624104130697589E-2</v>
      </c>
    </row>
    <row r="130" spans="1:25" ht="17.45" customHeight="1">
      <c r="A130" s="27" t="s">
        <v>74</v>
      </c>
      <c r="B130" s="94">
        <v>0.27677389797789931</v>
      </c>
      <c r="C130" s="72"/>
      <c r="D130" s="104"/>
      <c r="E130" s="32"/>
      <c r="F130" s="34">
        <f t="shared" ref="F130:U130" si="50">F112</f>
        <v>0.29584155171457505</v>
      </c>
      <c r="G130" s="32">
        <f t="shared" si="50"/>
        <v>0.31322106619975565</v>
      </c>
      <c r="H130" s="34">
        <f t="shared" si="50"/>
        <v>0.29720221069577235</v>
      </c>
      <c r="I130" s="32">
        <f t="shared" si="50"/>
        <v>0.27735956075933488</v>
      </c>
      <c r="J130" s="32">
        <f t="shared" si="50"/>
        <v>0.32646652585923019</v>
      </c>
      <c r="K130" s="32">
        <f t="shared" si="50"/>
        <v>0.31686681398304251</v>
      </c>
      <c r="L130" s="32">
        <f t="shared" si="50"/>
        <v>0.24557581433656392</v>
      </c>
      <c r="M130" s="32">
        <f t="shared" si="50"/>
        <v>0.22150737116466176</v>
      </c>
      <c r="N130" s="32">
        <f t="shared" si="50"/>
        <v>0.23422896115945283</v>
      </c>
      <c r="O130" s="32">
        <f t="shared" si="50"/>
        <v>0.2844773665162853</v>
      </c>
      <c r="P130" s="32">
        <f t="shared" si="50"/>
        <v>0.26933637011912176</v>
      </c>
      <c r="Q130" s="32">
        <f t="shared" si="50"/>
        <v>0.25719183556708369</v>
      </c>
      <c r="R130" s="32">
        <f t="shared" si="50"/>
        <v>0.20857652485077482</v>
      </c>
      <c r="S130" s="32">
        <f t="shared" si="50"/>
        <v>0.20481657583103793</v>
      </c>
      <c r="T130" s="32">
        <f t="shared" si="50"/>
        <v>0.22312849404964025</v>
      </c>
      <c r="U130" s="32">
        <f t="shared" si="50"/>
        <v>0.2831633104976945</v>
      </c>
      <c r="V130" s="32">
        <f>V112</f>
        <v>0.26112290554636702</v>
      </c>
      <c r="W130" s="32">
        <f>W112</f>
        <v>0.27512889142606189</v>
      </c>
      <c r="X130" s="32">
        <f>X112</f>
        <v>0.29308288100980467</v>
      </c>
      <c r="Y130" s="32">
        <f>Y112</f>
        <v>0.289565021709211</v>
      </c>
    </row>
    <row r="131" spans="1:25" ht="17.45" customHeight="1">
      <c r="A131" s="27" t="s">
        <v>76</v>
      </c>
      <c r="B131" s="94">
        <v>1.6557693150277678E-2</v>
      </c>
      <c r="C131" s="72"/>
      <c r="D131" s="104"/>
      <c r="E131" s="32"/>
      <c r="F131" s="34">
        <f t="shared" ref="F131:U131" si="51">F114</f>
        <v>4.9410659585216954E-2</v>
      </c>
      <c r="G131" s="32">
        <f t="shared" si="51"/>
        <v>6.1311574825116955E-2</v>
      </c>
      <c r="H131" s="34">
        <f t="shared" si="51"/>
        <v>6.3689634105267054E-2</v>
      </c>
      <c r="I131" s="32">
        <f t="shared" si="51"/>
        <v>3.2213224461936092E-2</v>
      </c>
      <c r="J131" s="32">
        <f t="shared" si="51"/>
        <v>8.4388136552711865E-2</v>
      </c>
      <c r="K131" s="32">
        <f t="shared" si="51"/>
        <v>4.4498205769006816E-2</v>
      </c>
      <c r="L131" s="32">
        <f t="shared" si="51"/>
        <v>3.4714931865745383E-2</v>
      </c>
      <c r="M131" s="32">
        <f t="shared" si="51"/>
        <v>3.6053169723600176E-2</v>
      </c>
      <c r="N131" s="32">
        <f t="shared" si="51"/>
        <v>3.6821196222768304E-2</v>
      </c>
      <c r="O131" s="32">
        <f t="shared" si="51"/>
        <v>3.2472766187834456E-2</v>
      </c>
      <c r="P131" s="32">
        <f t="shared" si="51"/>
        <v>3.373289664552153E-2</v>
      </c>
      <c r="Q131" s="32">
        <f t="shared" si="51"/>
        <v>2.7637189483881983E-2</v>
      </c>
      <c r="R131" s="32">
        <f t="shared" si="51"/>
        <v>2.0198460294448776E-2</v>
      </c>
      <c r="S131" s="32">
        <f t="shared" si="51"/>
        <v>2.1666790163423481E-2</v>
      </c>
      <c r="T131" s="32">
        <f t="shared" si="51"/>
        <v>2.0513380675812858E-2</v>
      </c>
      <c r="U131" s="32">
        <f t="shared" si="51"/>
        <v>2.4400089605999504E-2</v>
      </c>
      <c r="V131" s="32">
        <f>V114</f>
        <v>1.5659070060508137E-2</v>
      </c>
      <c r="W131" s="32">
        <f>W114</f>
        <v>1.678794145310903E-2</v>
      </c>
      <c r="X131" s="32">
        <f>X114</f>
        <v>1.5327292070722413E-2</v>
      </c>
      <c r="Y131" s="32">
        <f>Y114</f>
        <v>1.5112653395890588E-2</v>
      </c>
    </row>
    <row r="132" spans="1:25" ht="17.45" customHeight="1">
      <c r="A132" s="27" t="s">
        <v>78</v>
      </c>
      <c r="B132" s="94">
        <v>7.5508127153812291E-2</v>
      </c>
      <c r="C132" s="72"/>
      <c r="D132" s="104"/>
      <c r="E132" s="32"/>
      <c r="F132" s="34">
        <f t="shared" ref="F132:U132" si="52">F116</f>
        <v>6.8987644301960305E-2</v>
      </c>
      <c r="G132" s="32">
        <f t="shared" si="52"/>
        <v>5.641537821910967E-2</v>
      </c>
      <c r="H132" s="34">
        <f t="shared" si="52"/>
        <v>6.2374742895677904E-2</v>
      </c>
      <c r="I132" s="32">
        <f t="shared" si="52"/>
        <v>4.5760678618844343E-2</v>
      </c>
      <c r="J132" s="32">
        <f t="shared" si="52"/>
        <v>2.9970261945849196E-2</v>
      </c>
      <c r="K132" s="32">
        <f t="shared" si="52"/>
        <v>3.0401922199779909E-2</v>
      </c>
      <c r="L132" s="32">
        <f t="shared" si="52"/>
        <v>2.6450305109401096E-2</v>
      </c>
      <c r="M132" s="32">
        <f t="shared" si="52"/>
        <v>2.8908229121579677E-2</v>
      </c>
      <c r="N132" s="32">
        <f t="shared" si="52"/>
        <v>3.5321997401333134E-2</v>
      </c>
      <c r="O132" s="32">
        <f t="shared" si="52"/>
        <v>5.2320749714723641E-2</v>
      </c>
      <c r="P132" s="32">
        <f t="shared" si="52"/>
        <v>6.5888009420235871E-2</v>
      </c>
      <c r="Q132" s="32">
        <f t="shared" si="52"/>
        <v>3.6230144150098086E-2</v>
      </c>
      <c r="R132" s="32">
        <f t="shared" si="52"/>
        <v>3.8959759031900042E-2</v>
      </c>
      <c r="S132" s="32">
        <f t="shared" si="52"/>
        <v>4.3116933156999313E-2</v>
      </c>
      <c r="T132" s="32">
        <f t="shared" si="52"/>
        <v>5.491374718198859E-2</v>
      </c>
      <c r="U132" s="32">
        <f t="shared" si="52"/>
        <v>8.9177923783330615E-2</v>
      </c>
      <c r="V132" s="32">
        <f>V116</f>
        <v>7.1227040230725944E-2</v>
      </c>
      <c r="W132" s="32">
        <f>W116</f>
        <v>8.1109165134544484E-2</v>
      </c>
      <c r="X132" s="32">
        <f>X116</f>
        <v>8.787216586118024E-2</v>
      </c>
      <c r="Y132" s="32">
        <f>Y116</f>
        <v>9.6237340254787113E-2</v>
      </c>
    </row>
    <row r="133" spans="1:25" ht="17.45" customHeight="1">
      <c r="A133" s="27" t="s">
        <v>80</v>
      </c>
      <c r="B133" s="71">
        <v>0.41673277055608815</v>
      </c>
      <c r="C133" s="72"/>
      <c r="D133" s="110"/>
      <c r="E133" s="34"/>
      <c r="F133" s="34">
        <f t="shared" ref="F133:U133" si="53">F118</f>
        <v>0.37685417588494008</v>
      </c>
      <c r="G133" s="34">
        <f t="shared" si="53"/>
        <v>0.3000025150385372</v>
      </c>
      <c r="H133" s="34">
        <f t="shared" si="53"/>
        <v>0.26348821075342382</v>
      </c>
      <c r="I133" s="34">
        <f t="shared" si="53"/>
        <v>0.51819397825708047</v>
      </c>
      <c r="J133" s="34">
        <f t="shared" si="53"/>
        <v>0.5591750756422087</v>
      </c>
      <c r="K133" s="34">
        <f t="shared" si="53"/>
        <v>0.48335227200150843</v>
      </c>
      <c r="L133" s="34">
        <f t="shared" si="53"/>
        <v>0.46590898150929572</v>
      </c>
      <c r="M133" s="34">
        <f t="shared" si="53"/>
        <v>0.41815594745206158</v>
      </c>
      <c r="N133" s="34">
        <f t="shared" si="53"/>
        <v>0.37765698929525648</v>
      </c>
      <c r="O133" s="34">
        <f t="shared" si="53"/>
        <v>0.3859048471196751</v>
      </c>
      <c r="P133" s="34">
        <f t="shared" si="53"/>
        <v>0.38824846556411557</v>
      </c>
      <c r="Q133" s="34">
        <f t="shared" si="53"/>
        <v>0.49423022381682369</v>
      </c>
      <c r="R133" s="34">
        <f t="shared" si="53"/>
        <v>0.50222471052148554</v>
      </c>
      <c r="S133" s="34">
        <f t="shared" si="53"/>
        <v>0.44935025264568762</v>
      </c>
      <c r="T133" s="34">
        <f t="shared" si="53"/>
        <v>0.41487224300802206</v>
      </c>
      <c r="U133" s="34">
        <f t="shared" si="53"/>
        <v>0.37261679959007565</v>
      </c>
      <c r="V133" s="34">
        <f>V118</f>
        <v>0.43314558301743655</v>
      </c>
      <c r="W133" s="34">
        <f>W118</f>
        <v>0.41663101503215577</v>
      </c>
      <c r="X133" s="34">
        <f>X118</f>
        <v>0.4403944863896902</v>
      </c>
      <c r="Y133" s="34">
        <f>Y118</f>
        <v>0.39344692447928059</v>
      </c>
    </row>
    <row r="134" spans="1:25" ht="17.45" customHeight="1">
      <c r="A134" s="27"/>
      <c r="B134" s="104">
        <f>SUM(B127:B133)</f>
        <v>1.0002024844469692</v>
      </c>
      <c r="C134" s="72"/>
      <c r="D134" s="104"/>
      <c r="E134" s="32"/>
      <c r="F134" s="32">
        <f t="shared" ref="F134:U134" si="54">SUM(F127:F133)</f>
        <v>1</v>
      </c>
      <c r="G134" s="32">
        <f t="shared" si="54"/>
        <v>1</v>
      </c>
      <c r="H134" s="32">
        <f t="shared" si="54"/>
        <v>1</v>
      </c>
      <c r="I134" s="32">
        <f t="shared" si="54"/>
        <v>1</v>
      </c>
      <c r="J134" s="32">
        <f t="shared" si="54"/>
        <v>1</v>
      </c>
      <c r="K134" s="32">
        <f t="shared" si="54"/>
        <v>1</v>
      </c>
      <c r="L134" s="32">
        <f t="shared" si="54"/>
        <v>1</v>
      </c>
      <c r="M134" s="32">
        <f t="shared" si="54"/>
        <v>1</v>
      </c>
      <c r="N134" s="32">
        <f t="shared" si="54"/>
        <v>1</v>
      </c>
      <c r="O134" s="32">
        <f t="shared" si="54"/>
        <v>1</v>
      </c>
      <c r="P134" s="32">
        <f t="shared" si="54"/>
        <v>1</v>
      </c>
      <c r="Q134" s="32">
        <f t="shared" si="54"/>
        <v>1</v>
      </c>
      <c r="R134" s="32">
        <f t="shared" si="54"/>
        <v>1</v>
      </c>
      <c r="S134" s="32">
        <f t="shared" si="54"/>
        <v>1</v>
      </c>
      <c r="T134" s="32">
        <f t="shared" si="54"/>
        <v>1</v>
      </c>
      <c r="U134" s="32">
        <f t="shared" si="54"/>
        <v>1</v>
      </c>
      <c r="V134" s="32">
        <f>SUM(V127:V133)</f>
        <v>1</v>
      </c>
      <c r="W134" s="32">
        <f>SUM(W127:W133)</f>
        <v>1</v>
      </c>
      <c r="X134" s="32">
        <f>SUM(X127:X133)</f>
        <v>1</v>
      </c>
      <c r="Y134" s="32">
        <f>SUM(Y127:Y133)</f>
        <v>1</v>
      </c>
    </row>
    <row r="135" spans="1:25" ht="17.45" customHeight="1">
      <c r="A135" s="27" t="s">
        <v>87</v>
      </c>
      <c r="B135" s="76">
        <v>878.33479064324706</v>
      </c>
      <c r="C135" s="72"/>
      <c r="D135" s="72"/>
    </row>
    <row r="136" spans="1:25" ht="17.45" customHeight="1">
      <c r="A136" s="27" t="s">
        <v>88</v>
      </c>
      <c r="B136" s="11">
        <v>974.95465421940605</v>
      </c>
    </row>
    <row r="137" spans="1:25" ht="17.45" customHeight="1"/>
    <row r="138" spans="1:25" ht="17.45" customHeight="1"/>
    <row r="139" spans="1:25" ht="17.45" customHeight="1"/>
    <row r="140" spans="1:25" ht="17.45" customHeight="1">
      <c r="A140" s="5" t="s">
        <v>89</v>
      </c>
    </row>
    <row r="141" spans="1:25" ht="17.45" customHeight="1">
      <c r="A141" s="5" t="s">
        <v>90</v>
      </c>
    </row>
    <row r="142" spans="1:25" ht="17.45" customHeight="1">
      <c r="A142" s="36" t="s">
        <v>91</v>
      </c>
    </row>
    <row r="143" spans="1:25" ht="17.45" customHeight="1">
      <c r="A143" s="5" t="s">
        <v>92</v>
      </c>
      <c r="B143" s="11"/>
    </row>
    <row r="144" spans="1:25" ht="17.45" customHeight="1">
      <c r="A144" s="5" t="s">
        <v>93</v>
      </c>
    </row>
    <row r="145" spans="1:2" ht="17.45" customHeight="1">
      <c r="B145">
        <v>2018</v>
      </c>
    </row>
    <row r="146" spans="1:2" ht="17.45" customHeight="1">
      <c r="A146" s="27" t="s">
        <v>68</v>
      </c>
      <c r="B146" s="32">
        <f t="shared" ref="B146:B152" si="55">X127</f>
        <v>6.7782949615036364E-2</v>
      </c>
    </row>
    <row r="147" spans="1:2" ht="15.75">
      <c r="A147" s="27" t="s">
        <v>70</v>
      </c>
      <c r="B147" s="32">
        <f t="shared" si="55"/>
        <v>4.4471092946204785E-2</v>
      </c>
    </row>
    <row r="148" spans="1:2" ht="15.75">
      <c r="A148" s="27" t="s">
        <v>86</v>
      </c>
      <c r="B148" s="32">
        <f t="shared" si="55"/>
        <v>5.1069132107361311E-2</v>
      </c>
    </row>
    <row r="149" spans="1:2" ht="15.75">
      <c r="A149" s="27" t="s">
        <v>74</v>
      </c>
      <c r="B149" s="32">
        <f t="shared" si="55"/>
        <v>0.29308288100980467</v>
      </c>
    </row>
    <row r="150" spans="1:2" ht="15.75">
      <c r="A150" s="27" t="s">
        <v>76</v>
      </c>
      <c r="B150" s="32">
        <f t="shared" si="55"/>
        <v>1.5327292070722413E-2</v>
      </c>
    </row>
    <row r="151" spans="1:2" ht="15.75">
      <c r="A151" s="27" t="s">
        <v>78</v>
      </c>
      <c r="B151" s="32">
        <f t="shared" si="55"/>
        <v>8.787216586118024E-2</v>
      </c>
    </row>
    <row r="152" spans="1:2" ht="15.75">
      <c r="A152" s="27" t="s">
        <v>80</v>
      </c>
      <c r="B152" s="32">
        <f t="shared" si="55"/>
        <v>0.4403944863896902</v>
      </c>
    </row>
    <row r="153" spans="1:2">
      <c r="B153" s="32"/>
    </row>
    <row r="154" spans="1:2" ht="15.75">
      <c r="A154" s="27" t="s">
        <v>94</v>
      </c>
      <c r="B154">
        <v>2019</v>
      </c>
    </row>
    <row r="155" spans="1:2" ht="15.75">
      <c r="A155" s="27" t="s">
        <v>68</v>
      </c>
      <c r="B155" s="32">
        <f t="shared" ref="B155:B161" si="56">Y127</f>
        <v>8.8536708591486019E-2</v>
      </c>
    </row>
    <row r="156" spans="1:2" ht="15.75">
      <c r="A156" s="27" t="s">
        <v>70</v>
      </c>
      <c r="B156" s="32">
        <f t="shared" si="56"/>
        <v>4.1477247438647107E-2</v>
      </c>
    </row>
    <row r="157" spans="1:2" ht="15.75">
      <c r="A157" s="27" t="s">
        <v>86</v>
      </c>
      <c r="B157" s="32">
        <f t="shared" si="56"/>
        <v>7.5624104130697589E-2</v>
      </c>
    </row>
    <row r="158" spans="1:2" ht="15.75">
      <c r="A158" s="27" t="s">
        <v>74</v>
      </c>
      <c r="B158" s="32">
        <f t="shared" si="56"/>
        <v>0.289565021709211</v>
      </c>
    </row>
    <row r="159" spans="1:2" ht="15.75">
      <c r="A159" s="27" t="s">
        <v>76</v>
      </c>
      <c r="B159" s="32">
        <f t="shared" si="56"/>
        <v>1.5112653395890588E-2</v>
      </c>
    </row>
    <row r="160" spans="1:2" ht="15.75">
      <c r="A160" s="27" t="s">
        <v>78</v>
      </c>
      <c r="B160" s="32">
        <f t="shared" si="56"/>
        <v>9.6237340254787113E-2</v>
      </c>
    </row>
    <row r="161" spans="1:2" ht="15.75">
      <c r="A161" s="27" t="s">
        <v>80</v>
      </c>
      <c r="B161" s="32">
        <f t="shared" si="56"/>
        <v>0.39344692447928059</v>
      </c>
    </row>
  </sheetData>
  <sheetProtection algorithmName="SHA-512" hashValue="CI9H2nNLL83+b7JmpplCvh8V5LKjSMdjQDunlRgnOnmdA7v5OOTLJZvH+Jdg/jAMvn2omgKO5tmJRVOIOp/puQ==" saltValue="uiYXYL29ulw5N8fnjfZ8bQ==" spinCount="100000" sheet="1" objects="1" scenario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EAAB3-4758-45AE-9717-3182D8D13E3E}">
  <dimension ref="A1:ET226"/>
  <sheetViews>
    <sheetView workbookViewId="0">
      <pane ySplit="3" topLeftCell="A109" activePane="bottomLeft" state="frozen"/>
      <selection pane="bottomLeft" activeCell="AA117" sqref="AA117"/>
    </sheetView>
  </sheetViews>
  <sheetFormatPr defaultColWidth="12.85546875" defaultRowHeight="15"/>
  <cols>
    <col min="1" max="1" width="60.7109375" customWidth="1"/>
    <col min="2" max="24" width="12.7109375" hidden="1" customWidth="1"/>
    <col min="25" max="43" width="12.5703125" customWidth="1"/>
    <col min="44" max="46" width="10.5703125" customWidth="1"/>
    <col min="47" max="49" width="10.7109375" customWidth="1"/>
    <col min="50" max="50" width="36.7109375" hidden="1" customWidth="1"/>
    <col min="51" max="54" width="10.7109375" hidden="1" customWidth="1"/>
    <col min="55" max="75" width="5.7109375" hidden="1" customWidth="1"/>
    <col min="76" max="82" width="5.7109375" customWidth="1"/>
  </cols>
  <sheetData>
    <row r="1" spans="1:82" ht="60.75" customHeight="1">
      <c r="A1" s="120" t="s">
        <v>96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82" ht="16.5" customHeight="1">
      <c r="A2" s="121" t="s">
        <v>97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AR2" s="39"/>
      <c r="AV2" s="5"/>
      <c r="AW2" s="5" t="s">
        <v>3</v>
      </c>
      <c r="AX2" s="5"/>
      <c r="AY2" s="5"/>
    </row>
    <row r="3" spans="1:82" ht="18" customHeight="1">
      <c r="A3" s="6" t="s">
        <v>5</v>
      </c>
      <c r="B3" s="40">
        <f t="shared" ref="B3:W3" si="0">C3-1</f>
        <v>1973</v>
      </c>
      <c r="C3" s="40">
        <f t="shared" si="0"/>
        <v>1974</v>
      </c>
      <c r="D3" s="40">
        <f t="shared" si="0"/>
        <v>1975</v>
      </c>
      <c r="E3" s="40">
        <f t="shared" si="0"/>
        <v>1976</v>
      </c>
      <c r="F3" s="40">
        <f t="shared" si="0"/>
        <v>1977</v>
      </c>
      <c r="G3" s="40">
        <f t="shared" si="0"/>
        <v>1978</v>
      </c>
      <c r="H3" s="40">
        <f t="shared" si="0"/>
        <v>1979</v>
      </c>
      <c r="I3" s="40">
        <f t="shared" si="0"/>
        <v>1980</v>
      </c>
      <c r="J3" s="40">
        <f t="shared" si="0"/>
        <v>1981</v>
      </c>
      <c r="K3" s="40">
        <f t="shared" si="0"/>
        <v>1982</v>
      </c>
      <c r="L3" s="40">
        <f t="shared" si="0"/>
        <v>1983</v>
      </c>
      <c r="M3" s="40">
        <f t="shared" si="0"/>
        <v>1984</v>
      </c>
      <c r="N3" s="40">
        <f t="shared" si="0"/>
        <v>1985</v>
      </c>
      <c r="O3" s="40">
        <f t="shared" si="0"/>
        <v>1986</v>
      </c>
      <c r="P3" s="40">
        <f t="shared" si="0"/>
        <v>1987</v>
      </c>
      <c r="Q3" s="40">
        <f t="shared" si="0"/>
        <v>1988</v>
      </c>
      <c r="R3" s="40">
        <f t="shared" si="0"/>
        <v>1989</v>
      </c>
      <c r="S3" s="40">
        <f t="shared" si="0"/>
        <v>1990</v>
      </c>
      <c r="T3" s="40">
        <f t="shared" si="0"/>
        <v>1991</v>
      </c>
      <c r="U3" s="40">
        <f t="shared" si="0"/>
        <v>1992</v>
      </c>
      <c r="V3" s="40">
        <f t="shared" si="0"/>
        <v>1993</v>
      </c>
      <c r="W3" s="40">
        <f t="shared" si="0"/>
        <v>1994</v>
      </c>
      <c r="X3" s="40">
        <f>Y3-1</f>
        <v>1995</v>
      </c>
      <c r="Y3" s="40">
        <v>1996</v>
      </c>
      <c r="Z3" s="40">
        <f>Y3+1</f>
        <v>1997</v>
      </c>
      <c r="AA3" s="40">
        <f t="shared" ref="AA3:AT3" si="1">Z3+1</f>
        <v>1998</v>
      </c>
      <c r="AB3" s="40">
        <f t="shared" si="1"/>
        <v>1999</v>
      </c>
      <c r="AC3" s="40">
        <f t="shared" si="1"/>
        <v>2000</v>
      </c>
      <c r="AD3" s="40">
        <f t="shared" si="1"/>
        <v>2001</v>
      </c>
      <c r="AE3" s="40">
        <f t="shared" si="1"/>
        <v>2002</v>
      </c>
      <c r="AF3" s="40">
        <f t="shared" si="1"/>
        <v>2003</v>
      </c>
      <c r="AG3" s="40">
        <f t="shared" si="1"/>
        <v>2004</v>
      </c>
      <c r="AH3" s="40">
        <f t="shared" si="1"/>
        <v>2005</v>
      </c>
      <c r="AI3" s="40">
        <f t="shared" si="1"/>
        <v>2006</v>
      </c>
      <c r="AJ3" s="40">
        <f t="shared" si="1"/>
        <v>2007</v>
      </c>
      <c r="AK3" s="40">
        <f t="shared" si="1"/>
        <v>2008</v>
      </c>
      <c r="AL3" s="40">
        <f t="shared" si="1"/>
        <v>2009</v>
      </c>
      <c r="AM3" s="40">
        <f t="shared" si="1"/>
        <v>2010</v>
      </c>
      <c r="AN3" s="40">
        <f t="shared" si="1"/>
        <v>2011</v>
      </c>
      <c r="AO3" s="40">
        <f t="shared" si="1"/>
        <v>2012</v>
      </c>
      <c r="AP3" s="40">
        <f t="shared" si="1"/>
        <v>2013</v>
      </c>
      <c r="AQ3" s="40">
        <f t="shared" si="1"/>
        <v>2014</v>
      </c>
      <c r="AR3" s="40">
        <f t="shared" si="1"/>
        <v>2015</v>
      </c>
      <c r="AS3" s="40">
        <f t="shared" si="1"/>
        <v>2016</v>
      </c>
      <c r="AT3" s="40">
        <f t="shared" si="1"/>
        <v>2017</v>
      </c>
      <c r="AU3" s="40">
        <f>AT3+1</f>
        <v>2018</v>
      </c>
      <c r="AV3" s="40">
        <f>AU3+1</f>
        <v>2019</v>
      </c>
      <c r="AW3" s="40">
        <f>AV3+1</f>
        <v>2020</v>
      </c>
      <c r="AY3" s="15"/>
      <c r="AZ3" s="15"/>
      <c r="BA3" s="15"/>
      <c r="BB3" s="15"/>
      <c r="BC3" s="15"/>
    </row>
    <row r="4" spans="1:82" ht="18" customHeight="1">
      <c r="A4" s="119" t="s">
        <v>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AY4" s="15" t="s">
        <v>8</v>
      </c>
      <c r="AZ4" s="15">
        <v>1</v>
      </c>
      <c r="BA4" s="15">
        <f>AZ4+1</f>
        <v>2</v>
      </c>
      <c r="BB4" s="15">
        <f t="shared" ref="BB4:CD4" si="2">BA4+1</f>
        <v>3</v>
      </c>
      <c r="BC4" s="15">
        <f t="shared" si="2"/>
        <v>4</v>
      </c>
      <c r="BD4" s="15">
        <f t="shared" si="2"/>
        <v>5</v>
      </c>
      <c r="BE4" s="15">
        <f t="shared" si="2"/>
        <v>6</v>
      </c>
      <c r="BF4" s="15">
        <f t="shared" si="2"/>
        <v>7</v>
      </c>
      <c r="BG4" s="15">
        <f t="shared" si="2"/>
        <v>8</v>
      </c>
      <c r="BH4" s="15">
        <f t="shared" si="2"/>
        <v>9</v>
      </c>
      <c r="BI4" s="15">
        <f t="shared" si="2"/>
        <v>10</v>
      </c>
      <c r="BJ4" s="15">
        <f t="shared" si="2"/>
        <v>11</v>
      </c>
      <c r="BK4" s="15">
        <f t="shared" si="2"/>
        <v>12</v>
      </c>
      <c r="BL4" s="15">
        <f t="shared" si="2"/>
        <v>13</v>
      </c>
      <c r="BM4" s="15">
        <f t="shared" si="2"/>
        <v>14</v>
      </c>
      <c r="BN4" s="15">
        <f t="shared" si="2"/>
        <v>15</v>
      </c>
      <c r="BO4" s="15">
        <f t="shared" si="2"/>
        <v>16</v>
      </c>
      <c r="BP4" s="15">
        <f t="shared" si="2"/>
        <v>17</v>
      </c>
      <c r="BQ4" s="15">
        <f t="shared" si="2"/>
        <v>18</v>
      </c>
      <c r="BR4" s="15">
        <f t="shared" si="2"/>
        <v>19</v>
      </c>
      <c r="BS4" s="15">
        <f t="shared" si="2"/>
        <v>20</v>
      </c>
      <c r="BT4" s="15">
        <f>BS4+1</f>
        <v>21</v>
      </c>
      <c r="BU4" s="15">
        <f t="shared" si="2"/>
        <v>22</v>
      </c>
      <c r="BV4" s="15">
        <f t="shared" si="2"/>
        <v>23</v>
      </c>
      <c r="BW4" s="15">
        <f t="shared" si="2"/>
        <v>24</v>
      </c>
      <c r="BX4" s="15">
        <f t="shared" si="2"/>
        <v>25</v>
      </c>
      <c r="BY4" s="15">
        <f t="shared" si="2"/>
        <v>26</v>
      </c>
      <c r="BZ4" s="15">
        <f t="shared" si="2"/>
        <v>27</v>
      </c>
      <c r="CA4" s="15">
        <f t="shared" si="2"/>
        <v>28</v>
      </c>
      <c r="CB4" s="15">
        <f t="shared" si="2"/>
        <v>29</v>
      </c>
      <c r="CC4" s="15">
        <f t="shared" si="2"/>
        <v>30</v>
      </c>
      <c r="CD4" s="15">
        <f t="shared" si="2"/>
        <v>31</v>
      </c>
    </row>
    <row r="5" spans="1:82" ht="18" customHeight="1">
      <c r="A5" s="5" t="s">
        <v>98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8">
        <f t="shared" ref="Y5:AS5" si="3">Y75</f>
        <v>4718.2</v>
      </c>
      <c r="Z5" s="68">
        <f t="shared" si="3"/>
        <v>4688.3999999999996</v>
      </c>
      <c r="AA5" s="68">
        <f t="shared" si="3"/>
        <v>4601.1000000000004</v>
      </c>
      <c r="AB5" s="68">
        <f t="shared" si="3"/>
        <v>4616.7</v>
      </c>
      <c r="AC5" s="68">
        <f t="shared" si="3"/>
        <v>4710.6000000000004</v>
      </c>
      <c r="AD5" s="68">
        <f t="shared" si="3"/>
        <v>4799.3</v>
      </c>
      <c r="AE5" s="68">
        <f t="shared" si="3"/>
        <v>4821.6000000000004</v>
      </c>
      <c r="AF5" s="68">
        <f t="shared" si="3"/>
        <v>4924.2</v>
      </c>
      <c r="AG5" s="68">
        <f t="shared" si="3"/>
        <v>5334.7</v>
      </c>
      <c r="AH5" s="68">
        <f t="shared" si="3"/>
        <v>5436.2</v>
      </c>
      <c r="AI5" s="68">
        <f t="shared" si="3"/>
        <v>5164.6000000000004</v>
      </c>
      <c r="AJ5" s="68">
        <f t="shared" si="3"/>
        <v>5030.2</v>
      </c>
      <c r="AK5" s="68">
        <f t="shared" si="3"/>
        <v>4767.3999999999996</v>
      </c>
      <c r="AL5" s="68">
        <f t="shared" si="3"/>
        <v>4374.8</v>
      </c>
      <c r="AM5" s="68">
        <f t="shared" si="3"/>
        <v>4096</v>
      </c>
      <c r="AN5" s="68">
        <f t="shared" si="3"/>
        <v>3944.2</v>
      </c>
      <c r="AO5" s="68">
        <f t="shared" si="3"/>
        <v>3931</v>
      </c>
      <c r="AP5" s="68">
        <f t="shared" si="3"/>
        <v>3932</v>
      </c>
      <c r="AQ5" s="68">
        <f t="shared" si="3"/>
        <v>3848</v>
      </c>
      <c r="AR5" s="68">
        <f t="shared" si="3"/>
        <v>3737</v>
      </c>
      <c r="AS5" s="68">
        <f t="shared" si="3"/>
        <v>3737</v>
      </c>
      <c r="AT5" s="68">
        <f>AT75</f>
        <v>3771</v>
      </c>
      <c r="AU5" s="68">
        <f>AU75</f>
        <v>3726</v>
      </c>
      <c r="AV5" s="68">
        <f>AV75</f>
        <v>3661</v>
      </c>
      <c r="AW5" s="68"/>
      <c r="AX5" s="72"/>
      <c r="AY5" s="15" t="str">
        <f>'[1]Supply &amp;Disposition'!AA7</f>
        <v>Feb</v>
      </c>
      <c r="AZ5" s="15">
        <f>'[1]Supply &amp;Disposition'!AB7</f>
        <v>32</v>
      </c>
      <c r="BA5" s="15">
        <f>'[1]Supply &amp;Disposition'!AC7</f>
        <v>33</v>
      </c>
      <c r="BB5" s="15">
        <f>'[1]Supply &amp;Disposition'!AD7</f>
        <v>34</v>
      </c>
      <c r="BC5" s="15">
        <f>'[1]Supply &amp;Disposition'!AE7</f>
        <v>35</v>
      </c>
      <c r="BD5" s="15">
        <f>'[1]Supply &amp;Disposition'!AF7</f>
        <v>36</v>
      </c>
      <c r="BE5" s="15">
        <f>'[1]Supply &amp;Disposition'!AG7</f>
        <v>37</v>
      </c>
      <c r="BF5" s="15">
        <f>'[1]Supply &amp;Disposition'!AH7</f>
        <v>38</v>
      </c>
      <c r="BG5" s="15">
        <f>'[1]Supply &amp;Disposition'!AI7</f>
        <v>39</v>
      </c>
      <c r="BH5" s="15">
        <f>'[1]Supply &amp;Disposition'!AJ7</f>
        <v>40</v>
      </c>
      <c r="BI5" s="15">
        <f>'[1]Supply &amp;Disposition'!AK7</f>
        <v>41</v>
      </c>
      <c r="BJ5" s="15">
        <f>'[1]Supply &amp;Disposition'!AL7</f>
        <v>42</v>
      </c>
      <c r="BK5" s="15">
        <f>'[1]Supply &amp;Disposition'!AM7</f>
        <v>43</v>
      </c>
      <c r="BL5" s="15">
        <f>'[1]Supply &amp;Disposition'!AN7</f>
        <v>44</v>
      </c>
      <c r="BM5" s="15">
        <f>'[1]Supply &amp;Disposition'!AO7</f>
        <v>45</v>
      </c>
      <c r="BN5" s="15">
        <f>'[1]Supply &amp;Disposition'!AP7</f>
        <v>46</v>
      </c>
      <c r="BO5" s="15">
        <f>'[1]Supply &amp;Disposition'!AQ7</f>
        <v>47</v>
      </c>
      <c r="BP5" s="15">
        <f>'[1]Supply &amp;Disposition'!AR7</f>
        <v>48</v>
      </c>
      <c r="BQ5" s="15">
        <f>'[1]Supply &amp;Disposition'!AS7</f>
        <v>49</v>
      </c>
      <c r="BR5" s="15">
        <f>'[1]Supply &amp;Disposition'!AT7</f>
        <v>50</v>
      </c>
      <c r="BS5" s="15">
        <f>'[1]Supply &amp;Disposition'!AU7</f>
        <v>51</v>
      </c>
      <c r="BT5" s="15">
        <f>'[1]Supply &amp;Disposition'!AV7</f>
        <v>52</v>
      </c>
      <c r="BU5" s="15">
        <f>'[1]Supply &amp;Disposition'!AW7</f>
        <v>53</v>
      </c>
      <c r="BV5" s="15">
        <f>'[1]Supply &amp;Disposition'!AX7</f>
        <v>54</v>
      </c>
      <c r="BW5" s="15">
        <f>'[1]Supply &amp;Disposition'!AY7</f>
        <v>55</v>
      </c>
      <c r="BX5" s="15">
        <f>'[1]Supply &amp;Disposition'!AZ7</f>
        <v>56</v>
      </c>
      <c r="BY5" s="15">
        <f>'[1]Supply &amp;Disposition'!BA7</f>
        <v>57</v>
      </c>
      <c r="BZ5" s="15">
        <f>'[1]Supply &amp;Disposition'!BB7</f>
        <v>58</v>
      </c>
      <c r="CA5" s="15">
        <f>'[1]Supply &amp;Disposition'!BC7</f>
        <v>59</v>
      </c>
      <c r="CB5" s="15">
        <f>'[1]Supply &amp;Disposition'!BD7</f>
        <v>0</v>
      </c>
      <c r="CC5" s="15">
        <f>'[1]Supply &amp;Disposition'!BE7</f>
        <v>0</v>
      </c>
      <c r="CD5" s="15">
        <f>'[1]Supply &amp;Disposition'!BF7</f>
        <v>0</v>
      </c>
    </row>
    <row r="6" spans="1:82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68"/>
      <c r="AK6" s="68"/>
      <c r="AL6" s="68"/>
      <c r="AM6" s="68"/>
      <c r="AN6" s="68"/>
      <c r="AO6" s="68"/>
      <c r="AP6" s="72"/>
      <c r="AQ6" s="72"/>
      <c r="AR6" s="72"/>
      <c r="AS6" s="72"/>
      <c r="AT6" s="102"/>
      <c r="AU6" s="72"/>
      <c r="AV6" s="72"/>
      <c r="AW6" s="72"/>
      <c r="AX6" s="72"/>
      <c r="AY6" s="15" t="str">
        <f>'[1]Supply &amp;Disposition'!AA8</f>
        <v>Mar</v>
      </c>
      <c r="AZ6" s="15">
        <f>'[1]Supply &amp;Disposition'!AB8</f>
        <v>60</v>
      </c>
      <c r="BA6" s="15">
        <f>'[1]Supply &amp;Disposition'!AC8</f>
        <v>61</v>
      </c>
      <c r="BB6" s="15">
        <f>'[1]Supply &amp;Disposition'!AD8</f>
        <v>62</v>
      </c>
      <c r="BC6" s="15">
        <f>'[1]Supply &amp;Disposition'!AE8</f>
        <v>63</v>
      </c>
      <c r="BD6" s="15">
        <f>'[1]Supply &amp;Disposition'!AF8</f>
        <v>64</v>
      </c>
      <c r="BE6" s="15">
        <f>'[1]Supply &amp;Disposition'!AG8</f>
        <v>65</v>
      </c>
      <c r="BF6" s="15">
        <f>'[1]Supply &amp;Disposition'!AH8</f>
        <v>66</v>
      </c>
      <c r="BG6" s="15">
        <f>'[1]Supply &amp;Disposition'!AI8</f>
        <v>67</v>
      </c>
      <c r="BH6" s="15">
        <f>'[1]Supply &amp;Disposition'!AJ8</f>
        <v>68</v>
      </c>
      <c r="BI6" s="15">
        <f>'[1]Supply &amp;Disposition'!AK8</f>
        <v>69</v>
      </c>
      <c r="BJ6" s="15">
        <f>'[1]Supply &amp;Disposition'!AL8</f>
        <v>70</v>
      </c>
      <c r="BK6" s="15">
        <f>'[1]Supply &amp;Disposition'!AM8</f>
        <v>71</v>
      </c>
      <c r="BL6" s="15">
        <f>'[1]Supply &amp;Disposition'!AN8</f>
        <v>72</v>
      </c>
      <c r="BM6" s="15">
        <f>'[1]Supply &amp;Disposition'!AO8</f>
        <v>73</v>
      </c>
      <c r="BN6" s="15">
        <f>'[1]Supply &amp;Disposition'!AP8</f>
        <v>74</v>
      </c>
      <c r="BO6" s="15">
        <f>'[1]Supply &amp;Disposition'!AQ8</f>
        <v>75</v>
      </c>
      <c r="BP6" s="15">
        <f>'[1]Supply &amp;Disposition'!AR8</f>
        <v>76</v>
      </c>
      <c r="BQ6" s="15">
        <f>'[1]Supply &amp;Disposition'!AS8</f>
        <v>77</v>
      </c>
      <c r="BR6" s="15">
        <f>'[1]Supply &amp;Disposition'!AT8</f>
        <v>78</v>
      </c>
      <c r="BS6" s="15">
        <f>'[1]Supply &amp;Disposition'!AU8</f>
        <v>79</v>
      </c>
      <c r="BT6" s="15">
        <f>'[1]Supply &amp;Disposition'!AV8</f>
        <v>80</v>
      </c>
      <c r="BU6" s="15">
        <f>'[1]Supply &amp;Disposition'!AW8</f>
        <v>81</v>
      </c>
      <c r="BV6" s="15">
        <f>'[1]Supply &amp;Disposition'!AX8</f>
        <v>82</v>
      </c>
      <c r="BW6" s="15">
        <f>'[1]Supply &amp;Disposition'!AY8</f>
        <v>83</v>
      </c>
      <c r="BX6" s="15">
        <f>'[1]Supply &amp;Disposition'!AZ8</f>
        <v>84</v>
      </c>
      <c r="BY6" s="15">
        <f>'[1]Supply &amp;Disposition'!BA8</f>
        <v>85</v>
      </c>
      <c r="BZ6" s="15">
        <f>'[1]Supply &amp;Disposition'!BB8</f>
        <v>86</v>
      </c>
      <c r="CA6" s="15">
        <f>'[1]Supply &amp;Disposition'!BC8</f>
        <v>87</v>
      </c>
      <c r="CB6" s="15">
        <f>'[1]Supply &amp;Disposition'!BD8</f>
        <v>88</v>
      </c>
      <c r="CC6" s="15">
        <f>'[1]Supply &amp;Disposition'!BE8</f>
        <v>89</v>
      </c>
      <c r="CD6" s="15">
        <f>'[1]Supply &amp;Disposition'!BF8</f>
        <v>90</v>
      </c>
    </row>
    <row r="7" spans="1:82" ht="18" customHeight="1">
      <c r="A7" s="13" t="s">
        <v>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102"/>
      <c r="AU7" s="72"/>
      <c r="AV7" s="72"/>
      <c r="AW7" s="72"/>
      <c r="AX7" s="72"/>
      <c r="AY7" s="15" t="str">
        <f>'[1]Supply &amp;Disposition'!AA9</f>
        <v>Apr</v>
      </c>
      <c r="AZ7" s="15">
        <f>'[1]Supply &amp;Disposition'!AB9</f>
        <v>91</v>
      </c>
      <c r="BA7" s="15">
        <f>'[1]Supply &amp;Disposition'!AC9</f>
        <v>92</v>
      </c>
      <c r="BB7" s="15">
        <f>'[1]Supply &amp;Disposition'!AD9</f>
        <v>93</v>
      </c>
      <c r="BC7" s="15">
        <f>'[1]Supply &amp;Disposition'!AE9</f>
        <v>94</v>
      </c>
      <c r="BD7" s="15">
        <f>'[1]Supply &amp;Disposition'!AF9</f>
        <v>95</v>
      </c>
      <c r="BE7" s="15">
        <f>'[1]Supply &amp;Disposition'!AG9</f>
        <v>96</v>
      </c>
      <c r="BF7" s="15">
        <f>'[1]Supply &amp;Disposition'!AH9</f>
        <v>97</v>
      </c>
      <c r="BG7" s="15">
        <f>'[1]Supply &amp;Disposition'!AI9</f>
        <v>98</v>
      </c>
      <c r="BH7" s="15">
        <f>'[1]Supply &amp;Disposition'!AJ9</f>
        <v>99</v>
      </c>
      <c r="BI7" s="15">
        <f>'[1]Supply &amp;Disposition'!AK9</f>
        <v>100</v>
      </c>
      <c r="BJ7" s="15">
        <f>'[1]Supply &amp;Disposition'!AL9</f>
        <v>101</v>
      </c>
      <c r="BK7" s="15">
        <f>'[1]Supply &amp;Disposition'!AM9</f>
        <v>102</v>
      </c>
      <c r="BL7" s="15">
        <f>'[1]Supply &amp;Disposition'!AN9</f>
        <v>103</v>
      </c>
      <c r="BM7" s="15">
        <f>'[1]Supply &amp;Disposition'!AO9</f>
        <v>104</v>
      </c>
      <c r="BN7" s="15">
        <f>'[1]Supply &amp;Disposition'!AP9</f>
        <v>105</v>
      </c>
      <c r="BO7" s="15">
        <f>'[1]Supply &amp;Disposition'!AQ9</f>
        <v>106</v>
      </c>
      <c r="BP7" s="15">
        <f>'[1]Supply &amp;Disposition'!AR9</f>
        <v>107</v>
      </c>
      <c r="BQ7" s="15">
        <f>'[1]Supply &amp;Disposition'!AS9</f>
        <v>108</v>
      </c>
      <c r="BR7" s="15">
        <f>'[1]Supply &amp;Disposition'!AT9</f>
        <v>109</v>
      </c>
      <c r="BS7" s="15">
        <f>'[1]Supply &amp;Disposition'!AU9</f>
        <v>110</v>
      </c>
      <c r="BT7" s="15">
        <f>'[1]Supply &amp;Disposition'!AV9</f>
        <v>111</v>
      </c>
      <c r="BU7" s="15">
        <f>'[1]Supply &amp;Disposition'!AW9</f>
        <v>112</v>
      </c>
      <c r="BV7" s="15">
        <f>'[1]Supply &amp;Disposition'!AX9</f>
        <v>113</v>
      </c>
      <c r="BW7" s="15">
        <f>'[1]Supply &amp;Disposition'!AY9</f>
        <v>114</v>
      </c>
      <c r="BX7" s="15">
        <f>'[1]Supply &amp;Disposition'!AZ9</f>
        <v>115</v>
      </c>
      <c r="BY7" s="15">
        <f>'[1]Supply &amp;Disposition'!BA9</f>
        <v>116</v>
      </c>
      <c r="BZ7" s="15">
        <f>'[1]Supply &amp;Disposition'!BB9</f>
        <v>117</v>
      </c>
      <c r="CA7" s="15">
        <f>'[1]Supply &amp;Disposition'!BC9</f>
        <v>118</v>
      </c>
      <c r="CB7" s="15">
        <f>'[1]Supply &amp;Disposition'!BD9</f>
        <v>119</v>
      </c>
      <c r="CC7" s="15">
        <f>'[1]Supply &amp;Disposition'!BE9</f>
        <v>120</v>
      </c>
      <c r="CD7" s="15">
        <f>'[1]Supply &amp;Disposition'!BF9</f>
        <v>0</v>
      </c>
    </row>
    <row r="8" spans="1:82" ht="18" customHeight="1">
      <c r="A8" s="15" t="s">
        <v>99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68">
        <v>3143</v>
      </c>
      <c r="Z8" s="68">
        <v>3257700</v>
      </c>
      <c r="AA8" s="68">
        <v>3405500</v>
      </c>
      <c r="AB8" s="68">
        <v>3587900</v>
      </c>
      <c r="AC8" s="68">
        <v>3496800</v>
      </c>
      <c r="AD8" s="68">
        <v>3461200</v>
      </c>
      <c r="AE8" s="69">
        <v>3529900</v>
      </c>
      <c r="AF8" s="68">
        <v>3224900</v>
      </c>
      <c r="AG8" s="68">
        <v>4072500</v>
      </c>
      <c r="AH8" s="123">
        <v>3657735</v>
      </c>
      <c r="AI8" s="68">
        <v>3643200</v>
      </c>
      <c r="AJ8" s="68">
        <v>3490200</v>
      </c>
      <c r="AK8" s="41">
        <v>3527100</v>
      </c>
      <c r="AL8" s="41">
        <v>3406200</v>
      </c>
      <c r="AM8" s="41">
        <v>3441400</v>
      </c>
      <c r="AN8" s="41">
        <v>3101500</v>
      </c>
      <c r="AO8" s="41">
        <v>2827300</v>
      </c>
      <c r="AP8" s="41">
        <v>2797700</v>
      </c>
      <c r="AQ8" s="41">
        <v>2903900</v>
      </c>
      <c r="AR8" s="123">
        <v>2517514</v>
      </c>
      <c r="AS8" s="123">
        <v>2649021</v>
      </c>
      <c r="AT8" s="68">
        <f>AT14</f>
        <v>2829026</v>
      </c>
      <c r="AU8" s="68">
        <f t="shared" ref="AU8:AV8" si="4">AU14</f>
        <v>3011467</v>
      </c>
      <c r="AV8" s="68">
        <f t="shared" si="4"/>
        <v>3149503</v>
      </c>
      <c r="AW8" s="75"/>
      <c r="AX8" s="72"/>
      <c r="AY8" s="15" t="str">
        <f>'[1]Supply &amp;Disposition'!AA10</f>
        <v>May</v>
      </c>
      <c r="AZ8" s="15">
        <f>'[1]Supply &amp;Disposition'!AB10</f>
        <v>121</v>
      </c>
      <c r="BA8" s="15">
        <f>'[1]Supply &amp;Disposition'!AC10</f>
        <v>122</v>
      </c>
      <c r="BB8" s="15">
        <f>'[1]Supply &amp;Disposition'!AD10</f>
        <v>123</v>
      </c>
      <c r="BC8" s="15">
        <f>'[1]Supply &amp;Disposition'!AE10</f>
        <v>124</v>
      </c>
      <c r="BD8" s="15">
        <f>'[1]Supply &amp;Disposition'!AF10</f>
        <v>125</v>
      </c>
      <c r="BE8" s="15">
        <f>'[1]Supply &amp;Disposition'!AG10</f>
        <v>126</v>
      </c>
      <c r="BF8" s="15">
        <f>'[1]Supply &amp;Disposition'!AH10</f>
        <v>127</v>
      </c>
      <c r="BG8" s="15">
        <f>'[1]Supply &amp;Disposition'!AI10</f>
        <v>128</v>
      </c>
      <c r="BH8" s="15">
        <f>'[1]Supply &amp;Disposition'!AJ10</f>
        <v>129</v>
      </c>
      <c r="BI8" s="15">
        <f>'[1]Supply &amp;Disposition'!AK10</f>
        <v>130</v>
      </c>
      <c r="BJ8" s="15">
        <f>'[1]Supply &amp;Disposition'!AL10</f>
        <v>131</v>
      </c>
      <c r="BK8" s="15">
        <f>'[1]Supply &amp;Disposition'!AM10</f>
        <v>132</v>
      </c>
      <c r="BL8" s="15">
        <f>'[1]Supply &amp;Disposition'!AN10</f>
        <v>133</v>
      </c>
      <c r="BM8" s="15">
        <f>'[1]Supply &amp;Disposition'!AO10</f>
        <v>134</v>
      </c>
      <c r="BN8" s="15">
        <f>'[1]Supply &amp;Disposition'!AP10</f>
        <v>135</v>
      </c>
      <c r="BO8" s="15">
        <f>'[1]Supply &amp;Disposition'!AQ10</f>
        <v>136</v>
      </c>
      <c r="BP8" s="15">
        <f>'[1]Supply &amp;Disposition'!AR10</f>
        <v>137</v>
      </c>
      <c r="BQ8" s="15">
        <f>'[1]Supply &amp;Disposition'!AS10</f>
        <v>138</v>
      </c>
      <c r="BR8" s="15">
        <f>'[1]Supply &amp;Disposition'!AT10</f>
        <v>139</v>
      </c>
      <c r="BS8" s="15">
        <f>'[1]Supply &amp;Disposition'!AU10</f>
        <v>140</v>
      </c>
      <c r="BT8" s="15">
        <f>'[1]Supply &amp;Disposition'!AV10</f>
        <v>141</v>
      </c>
      <c r="BU8" s="15">
        <f>'[1]Supply &amp;Disposition'!AW10</f>
        <v>142</v>
      </c>
      <c r="BV8" s="15">
        <f>'[1]Supply &amp;Disposition'!AX10</f>
        <v>143</v>
      </c>
      <c r="BW8" s="15">
        <f>'[1]Supply &amp;Disposition'!AY10</f>
        <v>144</v>
      </c>
      <c r="BX8" s="15">
        <f>'[1]Supply &amp;Disposition'!AZ10</f>
        <v>145</v>
      </c>
      <c r="BY8" s="15">
        <f>'[1]Supply &amp;Disposition'!BA10</f>
        <v>146</v>
      </c>
      <c r="BZ8" s="15">
        <f>'[1]Supply &amp;Disposition'!BB10</f>
        <v>147</v>
      </c>
      <c r="CA8" s="15">
        <f>'[1]Supply &amp;Disposition'!BC10</f>
        <v>148</v>
      </c>
      <c r="CB8" s="15">
        <f>'[1]Supply &amp;Disposition'!BD10</f>
        <v>149</v>
      </c>
      <c r="CC8" s="15">
        <f>'[1]Supply &amp;Disposition'!BE10</f>
        <v>150</v>
      </c>
      <c r="CD8" s="15">
        <f>'[1]Supply &amp;Disposition'!BF10</f>
        <v>151</v>
      </c>
    </row>
    <row r="9" spans="1:82" ht="18" customHeight="1"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102"/>
      <c r="AU9" s="75"/>
      <c r="AV9" s="75" t="s">
        <v>100</v>
      </c>
      <c r="AW9" s="75"/>
      <c r="AX9" s="72"/>
      <c r="AY9" s="15" t="str">
        <f>'[1]Supply &amp;Disposition'!AA11</f>
        <v>Jun</v>
      </c>
      <c r="AZ9" s="15">
        <f>'[1]Supply &amp;Disposition'!AB11</f>
        <v>152</v>
      </c>
      <c r="BA9" s="15">
        <f>'[1]Supply &amp;Disposition'!AC11</f>
        <v>153</v>
      </c>
      <c r="BB9" s="15">
        <f>'[1]Supply &amp;Disposition'!AD11</f>
        <v>154</v>
      </c>
      <c r="BC9" s="15">
        <f>'[1]Supply &amp;Disposition'!AE11</f>
        <v>155</v>
      </c>
      <c r="BD9" s="15">
        <f>'[1]Supply &amp;Disposition'!AF11</f>
        <v>156</v>
      </c>
      <c r="BE9" s="15">
        <f>'[1]Supply &amp;Disposition'!AG11</f>
        <v>157</v>
      </c>
      <c r="BF9" s="15">
        <f>'[1]Supply &amp;Disposition'!AH11</f>
        <v>158</v>
      </c>
      <c r="BG9" s="15">
        <f>'[1]Supply &amp;Disposition'!AI11</f>
        <v>159</v>
      </c>
      <c r="BH9" s="15">
        <f>'[1]Supply &amp;Disposition'!AJ11</f>
        <v>160</v>
      </c>
      <c r="BI9" s="15">
        <f>'[1]Supply &amp;Disposition'!AK11</f>
        <v>161</v>
      </c>
      <c r="BJ9" s="15">
        <f>'[1]Supply &amp;Disposition'!AL11</f>
        <v>162</v>
      </c>
      <c r="BK9" s="15">
        <f>'[1]Supply &amp;Disposition'!AM11</f>
        <v>163</v>
      </c>
      <c r="BL9" s="15">
        <f>'[1]Supply &amp;Disposition'!AN11</f>
        <v>164</v>
      </c>
      <c r="BM9" s="15">
        <f>'[1]Supply &amp;Disposition'!AO11</f>
        <v>165</v>
      </c>
      <c r="BN9" s="15">
        <f>'[1]Supply &amp;Disposition'!AP11</f>
        <v>166</v>
      </c>
      <c r="BO9" s="15">
        <f>'[1]Supply &amp;Disposition'!AQ11</f>
        <v>167</v>
      </c>
      <c r="BP9" s="15">
        <f>'[1]Supply &amp;Disposition'!AR11</f>
        <v>168</v>
      </c>
      <c r="BQ9" s="15">
        <f>'[1]Supply &amp;Disposition'!AS11</f>
        <v>169</v>
      </c>
      <c r="BR9" s="15">
        <f>'[1]Supply &amp;Disposition'!AT11</f>
        <v>170</v>
      </c>
      <c r="BS9" s="15">
        <f>'[1]Supply &amp;Disposition'!AU11</f>
        <v>171</v>
      </c>
      <c r="BT9" s="15">
        <f>'[1]Supply &amp;Disposition'!AV11</f>
        <v>172</v>
      </c>
      <c r="BU9" s="15">
        <f>'[1]Supply &amp;Disposition'!AW11</f>
        <v>173</v>
      </c>
      <c r="BV9" s="15">
        <f>'[1]Supply &amp;Disposition'!AX11</f>
        <v>174</v>
      </c>
      <c r="BW9" s="15">
        <f>'[1]Supply &amp;Disposition'!AY11</f>
        <v>175</v>
      </c>
      <c r="BX9" s="15">
        <f>'[1]Supply &amp;Disposition'!AZ11</f>
        <v>176</v>
      </c>
      <c r="BY9" s="15">
        <f>'[1]Supply &amp;Disposition'!BA11</f>
        <v>177</v>
      </c>
      <c r="BZ9" s="15">
        <f>'[1]Supply &amp;Disposition'!BB11</f>
        <v>178</v>
      </c>
      <c r="CA9" s="15">
        <f>'[1]Supply &amp;Disposition'!BC11</f>
        <v>179</v>
      </c>
      <c r="CB9" s="15">
        <f>'[1]Supply &amp;Disposition'!BD11</f>
        <v>180</v>
      </c>
      <c r="CC9" s="15">
        <f>'[1]Supply &amp;Disposition'!BE11</f>
        <v>181</v>
      </c>
      <c r="CD9" s="15">
        <f>'[1]Supply &amp;Disposition'!BF11</f>
        <v>0</v>
      </c>
    </row>
    <row r="10" spans="1:82" ht="18" customHeight="1">
      <c r="A10" s="5" t="s">
        <v>101</v>
      </c>
      <c r="B10" s="17">
        <f>'[2]mill lbs.'!O11</f>
        <v>1981517.0851030711</v>
      </c>
      <c r="C10" s="17">
        <f>'[2]mill lbs.'!P11</f>
        <v>2030545.0865690378</v>
      </c>
      <c r="D10" s="17">
        <f>'[2]mill lbs.'!Q11</f>
        <v>2036011.1469239357</v>
      </c>
      <c r="E10" s="17">
        <f>'[2]mill lbs.'!R11</f>
        <v>2178949.5394262248</v>
      </c>
      <c r="F10" s="17">
        <f>'[2]mill lbs.'!S11</f>
        <v>2054407.5464073531</v>
      </c>
      <c r="G10" s="17">
        <f>'[2]mill lbs.'!T11</f>
        <v>1921848.0272959727</v>
      </c>
      <c r="H10" s="17">
        <f>'[2]mill lbs.'!U11</f>
        <v>1770942.2408149699</v>
      </c>
      <c r="I10" s="17">
        <f>'[2]mill lbs.'!V11</f>
        <v>1763238.9296819104</v>
      </c>
      <c r="J10" s="17">
        <f>'[2]mill lbs.'!W11</f>
        <v>1865745.1376106937</v>
      </c>
      <c r="K10" s="17">
        <f>'[2]mill lbs.'!X11</f>
        <v>1800432.9611267662</v>
      </c>
      <c r="L10" s="17">
        <f>'[2]mill lbs.'!Y11</f>
        <v>1760194.5720283617</v>
      </c>
      <c r="M10" s="17">
        <f>'[2]mill lbs.'!Z11</f>
        <v>1645779.0031576999</v>
      </c>
      <c r="N10" s="17">
        <f>'[2]mill lbs.'!AA11</f>
        <v>1620337.5727677513</v>
      </c>
      <c r="O10" s="17">
        <f>'[2]mill lbs.'!AB11</f>
        <v>1641834.8981836787</v>
      </c>
      <c r="P10" s="17">
        <f>'[2]mill lbs.'!AC11</f>
        <v>1569317.8388445573</v>
      </c>
      <c r="Q10" s="17">
        <f>'[2]mill lbs.'!AD11</f>
        <v>1537971.0337276154</v>
      </c>
      <c r="R10" s="17">
        <f>'[2]mill lbs.'!AE11</f>
        <v>1534620.4918707863</v>
      </c>
      <c r="S10" s="17">
        <f>'[2]mill lbs.'!AF11</f>
        <v>1471846.8494246018</v>
      </c>
      <c r="T10" s="17">
        <f>'[2]mill lbs.'!AG11</f>
        <v>1411526.0025954237</v>
      </c>
      <c r="U10" s="17">
        <f>'[2]mill lbs.'!AH11</f>
        <v>1477088.6187621816</v>
      </c>
      <c r="V10" s="17">
        <f>'[2]mill lbs.'!AI11</f>
        <v>1396644.3064997236</v>
      </c>
      <c r="W10" s="17">
        <f>'[2]mill lbs.'!AJ11</f>
        <v>1462511.7602417003</v>
      </c>
      <c r="X10" s="17">
        <f>'[2]mill lbs.'!AK11</f>
        <v>1502733.1584787467</v>
      </c>
      <c r="Y10" s="69">
        <f>'[2]mill lbs.'!$AK$11</f>
        <v>1502733.1584787467</v>
      </c>
      <c r="Z10" s="69">
        <v>1461627</v>
      </c>
      <c r="AA10" s="69">
        <v>1499626</v>
      </c>
      <c r="AB10" s="69">
        <v>1644543</v>
      </c>
      <c r="AC10" s="69">
        <v>1667040</v>
      </c>
      <c r="AD10" s="69">
        <v>1624871</v>
      </c>
      <c r="AE10" s="69">
        <v>1674532</v>
      </c>
      <c r="AF10" s="69">
        <v>1592351</v>
      </c>
      <c r="AG10" s="69">
        <v>1899606</v>
      </c>
      <c r="AH10" s="69">
        <v>1812713</v>
      </c>
      <c r="AI10" s="69">
        <v>1531480</v>
      </c>
      <c r="AJ10" s="69">
        <v>1459428</v>
      </c>
      <c r="AK10" s="69">
        <v>1488588</v>
      </c>
      <c r="AL10" s="69">
        <v>1520831</v>
      </c>
      <c r="AM10" s="69">
        <v>1545105</v>
      </c>
      <c r="AN10" s="69">
        <v>1443183</v>
      </c>
      <c r="AO10" s="69">
        <v>1354578</v>
      </c>
      <c r="AP10" s="69">
        <v>1344108</v>
      </c>
      <c r="AQ10" s="69">
        <v>1413141</v>
      </c>
      <c r="AR10" s="84">
        <v>1408535</v>
      </c>
      <c r="AS10" s="84">
        <v>1465996</v>
      </c>
      <c r="AT10" s="68">
        <v>1499887</v>
      </c>
      <c r="AU10" s="69">
        <v>1598958</v>
      </c>
      <c r="AV10" s="69">
        <v>1712761</v>
      </c>
      <c r="AW10" s="69">
        <f>(202622/1.5)*12</f>
        <v>1620976</v>
      </c>
      <c r="AX10" s="124"/>
      <c r="AY10" s="15" t="str">
        <f>'[1]Supply &amp;Disposition'!AA12</f>
        <v>Jul</v>
      </c>
      <c r="AZ10" s="15">
        <f>'[1]Supply &amp;Disposition'!AB12</f>
        <v>182</v>
      </c>
      <c r="BA10" s="15">
        <f>'[1]Supply &amp;Disposition'!AC12</f>
        <v>183</v>
      </c>
      <c r="BB10" s="15">
        <f>'[1]Supply &amp;Disposition'!AD12</f>
        <v>184</v>
      </c>
      <c r="BC10" s="15">
        <f>'[1]Supply &amp;Disposition'!AE12</f>
        <v>185</v>
      </c>
      <c r="BD10" s="15">
        <f>'[1]Supply &amp;Disposition'!AF12</f>
        <v>186</v>
      </c>
      <c r="BE10" s="15">
        <f>'[1]Supply &amp;Disposition'!AG12</f>
        <v>187</v>
      </c>
      <c r="BF10" s="15">
        <f>'[1]Supply &amp;Disposition'!AH12</f>
        <v>188</v>
      </c>
      <c r="BG10" s="15">
        <f>'[1]Supply &amp;Disposition'!AI12</f>
        <v>189</v>
      </c>
      <c r="BH10" s="15">
        <f>'[1]Supply &amp;Disposition'!AJ12</f>
        <v>190</v>
      </c>
      <c r="BI10" s="15">
        <f>'[1]Supply &amp;Disposition'!AK12</f>
        <v>191</v>
      </c>
      <c r="BJ10" s="15">
        <f>'[1]Supply &amp;Disposition'!AL12</f>
        <v>192</v>
      </c>
      <c r="BK10" s="15">
        <f>'[1]Supply &amp;Disposition'!AM12</f>
        <v>193</v>
      </c>
      <c r="BL10" s="15">
        <f>'[1]Supply &amp;Disposition'!AN12</f>
        <v>194</v>
      </c>
      <c r="BM10" s="15">
        <f>'[1]Supply &amp;Disposition'!AO12</f>
        <v>195</v>
      </c>
      <c r="BN10" s="15">
        <f>'[1]Supply &amp;Disposition'!AP12</f>
        <v>196</v>
      </c>
      <c r="BO10" s="15">
        <f>'[1]Supply &amp;Disposition'!AQ12</f>
        <v>197</v>
      </c>
      <c r="BP10" s="15">
        <f>'[1]Supply &amp;Disposition'!AR12</f>
        <v>198</v>
      </c>
      <c r="BQ10" s="15">
        <f>'[1]Supply &amp;Disposition'!AS12</f>
        <v>199</v>
      </c>
      <c r="BR10" s="15">
        <f>'[1]Supply &amp;Disposition'!AT12</f>
        <v>200</v>
      </c>
      <c r="BS10" s="15">
        <f>'[1]Supply &amp;Disposition'!AU12</f>
        <v>201</v>
      </c>
      <c r="BT10" s="15">
        <f>'[1]Supply &amp;Disposition'!AV12</f>
        <v>202</v>
      </c>
      <c r="BU10" s="15">
        <f>'[1]Supply &amp;Disposition'!AW12</f>
        <v>203</v>
      </c>
      <c r="BV10" s="15">
        <f>'[1]Supply &amp;Disposition'!AX12</f>
        <v>204</v>
      </c>
      <c r="BW10" s="15">
        <f>'[1]Supply &amp;Disposition'!AY12</f>
        <v>205</v>
      </c>
      <c r="BX10" s="15">
        <f>'[1]Supply &amp;Disposition'!AZ12</f>
        <v>206</v>
      </c>
      <c r="BY10" s="15">
        <f>'[1]Supply &amp;Disposition'!BA12</f>
        <v>207</v>
      </c>
      <c r="BZ10" s="15">
        <f>'[1]Supply &amp;Disposition'!BB12</f>
        <v>208</v>
      </c>
      <c r="CA10" s="15">
        <f>'[1]Supply &amp;Disposition'!BC12</f>
        <v>209</v>
      </c>
      <c r="CB10" s="15">
        <f>'[1]Supply &amp;Disposition'!BD12</f>
        <v>210</v>
      </c>
      <c r="CC10" s="15">
        <f>'[1]Supply &amp;Disposition'!BE12</f>
        <v>211</v>
      </c>
      <c r="CD10" s="15">
        <f>'[1]Supply &amp;Disposition'!BF12</f>
        <v>212</v>
      </c>
    </row>
    <row r="11" spans="1:82" ht="18" customHeight="1">
      <c r="A11" s="5" t="s">
        <v>102</v>
      </c>
      <c r="B11" s="17">
        <f>'[2]mill lbs.'!O12</f>
        <v>661076.36816473573</v>
      </c>
      <c r="C11" s="17">
        <f>'[2]mill lbs.'!P12</f>
        <v>810692.78847300902</v>
      </c>
      <c r="D11" s="17">
        <f>'[2]mill lbs.'!Q12</f>
        <v>1105554.5848072791</v>
      </c>
      <c r="E11" s="17">
        <f>'[2]mill lbs.'!R12</f>
        <v>1222280.081000271</v>
      </c>
      <c r="F11" s="17">
        <f>'[2]mill lbs.'!S12</f>
        <v>1294686.7043793844</v>
      </c>
      <c r="G11" s="17">
        <f>'[2]mill lbs.'!T12</f>
        <v>1163881.7135643081</v>
      </c>
      <c r="H11" s="17">
        <f>'[2]mill lbs.'!U12</f>
        <v>975967.11681003869</v>
      </c>
      <c r="I11" s="17">
        <f>'[2]mill lbs.'!V12</f>
        <v>1029369.5295577717</v>
      </c>
      <c r="J11" s="17">
        <f>'[2]mill lbs.'!W12</f>
        <v>1061346.9310134605</v>
      </c>
      <c r="K11" s="17">
        <f>'[2]mill lbs.'!X12</f>
        <v>1116201.9948949732</v>
      </c>
      <c r="L11" s="17">
        <f>'[2]mill lbs.'!Y12</f>
        <v>1086691.1749503321</v>
      </c>
      <c r="M11" s="17">
        <f>'[2]mill lbs.'!Z12</f>
        <v>1018294.8010617961</v>
      </c>
      <c r="N11" s="17">
        <f>'[2]mill lbs.'!AA12</f>
        <v>1013429.9181474494</v>
      </c>
      <c r="O11" s="17">
        <f>'[2]mill lbs.'!AB12</f>
        <v>1003145.6341689121</v>
      </c>
      <c r="P11" s="17">
        <f>'[2]mill lbs.'!AC12</f>
        <v>863405.56107820373</v>
      </c>
      <c r="Q11" s="17">
        <f>'[2]mill lbs.'!AD12</f>
        <v>863153.51398821815</v>
      </c>
      <c r="R11" s="17">
        <f>'[2]mill lbs.'!AE12</f>
        <v>824912.26954769157</v>
      </c>
      <c r="S11" s="17">
        <f>'[2]mill lbs.'!AF12</f>
        <v>785935.3510039096</v>
      </c>
      <c r="T11" s="17">
        <f>'[2]mill lbs.'!AG12</f>
        <v>684206.74431694776</v>
      </c>
      <c r="U11" s="17">
        <f>'[2]mill lbs.'!AH12</f>
        <v>725648.48646670533</v>
      </c>
      <c r="V11" s="17">
        <f>'[2]mill lbs.'!AI12</f>
        <v>723580.44720077596</v>
      </c>
      <c r="W11" s="17">
        <f>'[2]mill lbs.'!AJ12</f>
        <v>725402.13956842048</v>
      </c>
      <c r="X11" s="17">
        <f>'[2]mill lbs.'!AK12</f>
        <v>730926.71000871493</v>
      </c>
      <c r="Y11" s="69">
        <f>'[2]mill lbs.'!$AK$12</f>
        <v>730926.71000871493</v>
      </c>
      <c r="Z11" s="69">
        <v>918097</v>
      </c>
      <c r="AA11" s="69">
        <v>1004415</v>
      </c>
      <c r="AB11" s="69">
        <v>1159994</v>
      </c>
      <c r="AC11" s="69">
        <v>1113925</v>
      </c>
      <c r="AD11" s="69">
        <v>1097565</v>
      </c>
      <c r="AE11" s="69">
        <v>1116291</v>
      </c>
      <c r="AF11" s="69">
        <v>986120</v>
      </c>
      <c r="AG11" s="69">
        <v>1324089</v>
      </c>
      <c r="AH11" s="69">
        <v>1255235</v>
      </c>
      <c r="AI11" s="69">
        <v>1064577</v>
      </c>
      <c r="AJ11" s="69">
        <v>1009653</v>
      </c>
      <c r="AK11" s="69">
        <v>994068</v>
      </c>
      <c r="AL11" s="69">
        <v>999361</v>
      </c>
      <c r="AM11" s="69">
        <v>1062659</v>
      </c>
      <c r="AN11" s="69">
        <v>919997</v>
      </c>
      <c r="AO11" s="69">
        <v>830364</v>
      </c>
      <c r="AP11" s="69">
        <v>780515</v>
      </c>
      <c r="AQ11" s="69">
        <v>843330</v>
      </c>
      <c r="AR11" s="84">
        <v>746106</v>
      </c>
      <c r="AS11" s="84">
        <v>777629</v>
      </c>
      <c r="AT11" s="68">
        <v>866047</v>
      </c>
      <c r="AU11" s="69">
        <v>889953</v>
      </c>
      <c r="AV11" s="69">
        <v>913450</v>
      </c>
      <c r="AW11" s="69">
        <f>(116277/1.5)*12</f>
        <v>930216</v>
      </c>
      <c r="AX11" s="124"/>
      <c r="AY11" s="15" t="str">
        <f>'[1]Supply &amp;Disposition'!AA13</f>
        <v>Aug</v>
      </c>
      <c r="AZ11" s="15">
        <f>'[1]Supply &amp;Disposition'!AB13</f>
        <v>213</v>
      </c>
      <c r="BA11" s="15">
        <f>'[1]Supply &amp;Disposition'!AC13</f>
        <v>214</v>
      </c>
      <c r="BB11" s="15">
        <f>'[1]Supply &amp;Disposition'!AD13</f>
        <v>215</v>
      </c>
      <c r="BC11" s="15">
        <f>'[1]Supply &amp;Disposition'!AE13</f>
        <v>216</v>
      </c>
      <c r="BD11" s="15">
        <f>'[1]Supply &amp;Disposition'!AF13</f>
        <v>217</v>
      </c>
      <c r="BE11" s="15">
        <f>'[1]Supply &amp;Disposition'!AG13</f>
        <v>218</v>
      </c>
      <c r="BF11" s="15">
        <f>'[1]Supply &amp;Disposition'!AH13</f>
        <v>219</v>
      </c>
      <c r="BG11" s="15">
        <f>'[1]Supply &amp;Disposition'!AI13</f>
        <v>220</v>
      </c>
      <c r="BH11" s="15">
        <f>'[1]Supply &amp;Disposition'!AJ13</f>
        <v>221</v>
      </c>
      <c r="BI11" s="15">
        <f>'[1]Supply &amp;Disposition'!AK13</f>
        <v>222</v>
      </c>
      <c r="BJ11" s="15">
        <f>'[1]Supply &amp;Disposition'!AL13</f>
        <v>223</v>
      </c>
      <c r="BK11" s="15">
        <f>'[1]Supply &amp;Disposition'!AM13</f>
        <v>224</v>
      </c>
      <c r="BL11" s="15">
        <f>'[1]Supply &amp;Disposition'!AN13</f>
        <v>225</v>
      </c>
      <c r="BM11" s="15">
        <f>'[1]Supply &amp;Disposition'!AO13</f>
        <v>226</v>
      </c>
      <c r="BN11" s="15">
        <f>'[1]Supply &amp;Disposition'!AP13</f>
        <v>227</v>
      </c>
      <c r="BO11" s="15">
        <f>'[1]Supply &amp;Disposition'!AQ13</f>
        <v>228</v>
      </c>
      <c r="BP11" s="15">
        <f>'[1]Supply &amp;Disposition'!AR13</f>
        <v>229</v>
      </c>
      <c r="BQ11" s="15">
        <f>'[1]Supply &amp;Disposition'!AS13</f>
        <v>230</v>
      </c>
      <c r="BR11" s="15">
        <f>'[1]Supply &amp;Disposition'!AT13</f>
        <v>231</v>
      </c>
      <c r="BS11" s="15">
        <f>'[1]Supply &amp;Disposition'!AU13</f>
        <v>232</v>
      </c>
      <c r="BT11" s="15">
        <f>'[1]Supply &amp;Disposition'!AV13</f>
        <v>233</v>
      </c>
      <c r="BU11" s="15">
        <f>'[1]Supply &amp;Disposition'!AW13</f>
        <v>234</v>
      </c>
      <c r="BV11" s="15">
        <f>'[1]Supply &amp;Disposition'!AX13</f>
        <v>235</v>
      </c>
      <c r="BW11" s="15">
        <f>'[1]Supply &amp;Disposition'!AY13</f>
        <v>236</v>
      </c>
      <c r="BX11" s="15">
        <f>'[1]Supply &amp;Disposition'!AZ13</f>
        <v>237</v>
      </c>
      <c r="BY11" s="15">
        <f>'[1]Supply &amp;Disposition'!BA13</f>
        <v>238</v>
      </c>
      <c r="BZ11" s="15">
        <f>'[1]Supply &amp;Disposition'!BB13</f>
        <v>239</v>
      </c>
      <c r="CA11" s="15">
        <f>'[1]Supply &amp;Disposition'!BC13</f>
        <v>240</v>
      </c>
      <c r="CB11" s="15">
        <f>'[1]Supply &amp;Disposition'!BD13</f>
        <v>241</v>
      </c>
      <c r="CC11" s="15">
        <f>'[1]Supply &amp;Disposition'!BE13</f>
        <v>242</v>
      </c>
      <c r="CD11" s="15">
        <f>'[1]Supply &amp;Disposition'!BF13</f>
        <v>243</v>
      </c>
    </row>
    <row r="12" spans="1:82" ht="18" customHeight="1">
      <c r="A12" s="5" t="s">
        <v>103</v>
      </c>
      <c r="B12" s="17">
        <f>'[2]mill lbs.'!O13</f>
        <v>730224.72369854792</v>
      </c>
      <c r="C12" s="17">
        <f>'[2]mill lbs.'!P13</f>
        <v>742276.58017099742</v>
      </c>
      <c r="D12" s="17">
        <f>'[2]mill lbs.'!Q13</f>
        <v>1007658.9702386339</v>
      </c>
      <c r="E12" s="17">
        <f>'[2]mill lbs.'!R13</f>
        <v>1008230.6000026113</v>
      </c>
      <c r="F12" s="17">
        <f>'[2]mill lbs.'!S13</f>
        <v>961263.76726442866</v>
      </c>
      <c r="G12" s="17">
        <f>'[2]mill lbs.'!T13</f>
        <v>848686.06059810892</v>
      </c>
      <c r="H12" s="17">
        <f>'[2]mill lbs.'!U13</f>
        <v>637690.53798541659</v>
      </c>
      <c r="I12" s="17">
        <f>'[2]mill lbs.'!V13</f>
        <v>669411.93989311263</v>
      </c>
      <c r="J12" s="17">
        <f>'[2]mill lbs.'!W13</f>
        <v>691196.24091720814</v>
      </c>
      <c r="K12" s="17">
        <f>'[2]mill lbs.'!X13</f>
        <v>799844.61672489147</v>
      </c>
      <c r="L12" s="17">
        <f>'[2]mill lbs.'!Y13</f>
        <v>804507.87603403011</v>
      </c>
      <c r="M12" s="17">
        <f>'[2]mill lbs.'!Z13</f>
        <v>841935.91814090812</v>
      </c>
      <c r="N12" s="17">
        <f>'[2]mill lbs.'!AA13</f>
        <v>909712.12574981095</v>
      </c>
      <c r="O12" s="17">
        <f>'[2]mill lbs.'!AB13</f>
        <v>806102.44906926877</v>
      </c>
      <c r="P12" s="17">
        <f>'[2]mill lbs.'!AC13</f>
        <v>708082.09578645905</v>
      </c>
      <c r="Q12" s="17">
        <f>'[2]mill lbs.'!AD13</f>
        <v>635551.19601176446</v>
      </c>
      <c r="R12" s="17">
        <f>'[2]mill lbs.'!AE13</f>
        <v>708782.74228292087</v>
      </c>
      <c r="S12" s="17">
        <f>'[2]mill lbs.'!AF13</f>
        <v>591607.36213637271</v>
      </c>
      <c r="T12" s="17">
        <f>'[2]mill lbs.'!AG13</f>
        <v>591921.34391321533</v>
      </c>
      <c r="U12" s="17">
        <f>'[2]mill lbs.'!AH13</f>
        <v>589763.6056483126</v>
      </c>
      <c r="V12" s="17">
        <f>'[2]mill lbs.'!AI13</f>
        <v>526737.10202548595</v>
      </c>
      <c r="W12" s="17">
        <f>'[2]mill lbs.'!AJ13</f>
        <v>503632.39118299977</v>
      </c>
      <c r="X12" s="17">
        <f>'[2]mill lbs.'!AK13</f>
        <v>516303.18069700018</v>
      </c>
      <c r="Y12" s="69">
        <f>'[2]mill lbs.'!$AK$13</f>
        <v>516303.18069700018</v>
      </c>
      <c r="Z12" s="69">
        <v>588446</v>
      </c>
      <c r="AA12" s="69">
        <v>523466</v>
      </c>
      <c r="AB12" s="69">
        <v>507316</v>
      </c>
      <c r="AC12" s="69">
        <v>459969</v>
      </c>
      <c r="AD12" s="69">
        <v>475723</v>
      </c>
      <c r="AE12" s="69">
        <v>497002</v>
      </c>
      <c r="AF12" s="69">
        <v>330525</v>
      </c>
      <c r="AG12" s="69">
        <v>406798</v>
      </c>
      <c r="AH12" s="69">
        <v>545211</v>
      </c>
      <c r="AI12" s="69">
        <v>676259</v>
      </c>
      <c r="AJ12" s="69">
        <v>684442</v>
      </c>
      <c r="AK12" s="69">
        <v>750838</v>
      </c>
      <c r="AL12" s="69">
        <v>602855</v>
      </c>
      <c r="AM12" s="69">
        <v>573247</v>
      </c>
      <c r="AN12" s="69">
        <v>501212</v>
      </c>
      <c r="AO12" s="69">
        <v>412390</v>
      </c>
      <c r="AP12" s="69">
        <v>456177</v>
      </c>
      <c r="AQ12" s="69">
        <v>409933</v>
      </c>
      <c r="AR12" s="84">
        <v>352508</v>
      </c>
      <c r="AS12" s="84">
        <v>391840</v>
      </c>
      <c r="AT12" s="68">
        <v>444862</v>
      </c>
      <c r="AU12" s="69">
        <v>505159</v>
      </c>
      <c r="AV12" s="69">
        <v>507299</v>
      </c>
      <c r="AW12" s="69">
        <f>(74453/1.5)*12</f>
        <v>595624</v>
      </c>
      <c r="AX12" s="124"/>
      <c r="AY12" s="15" t="str">
        <f>'[1]Supply &amp;Disposition'!AA14</f>
        <v>Sep</v>
      </c>
      <c r="AZ12" s="15">
        <f>'[1]Supply &amp;Disposition'!AB14</f>
        <v>244</v>
      </c>
      <c r="BA12" s="15">
        <f>'[1]Supply &amp;Disposition'!AC14</f>
        <v>245</v>
      </c>
      <c r="BB12" s="15">
        <f>'[1]Supply &amp;Disposition'!AD14</f>
        <v>246</v>
      </c>
      <c r="BC12" s="15">
        <f>'[1]Supply &amp;Disposition'!AE14</f>
        <v>247</v>
      </c>
      <c r="BD12" s="15">
        <f>'[1]Supply &amp;Disposition'!AF14</f>
        <v>248</v>
      </c>
      <c r="BE12" s="15">
        <f>'[1]Supply &amp;Disposition'!AG14</f>
        <v>249</v>
      </c>
      <c r="BF12" s="15">
        <f>'[1]Supply &amp;Disposition'!AH14</f>
        <v>250</v>
      </c>
      <c r="BG12" s="15">
        <f>'[1]Supply &amp;Disposition'!AI14</f>
        <v>251</v>
      </c>
      <c r="BH12" s="15">
        <f>'[1]Supply &amp;Disposition'!AJ14</f>
        <v>252</v>
      </c>
      <c r="BI12" s="15">
        <f>'[1]Supply &amp;Disposition'!AK14</f>
        <v>253</v>
      </c>
      <c r="BJ12" s="15">
        <f>'[1]Supply &amp;Disposition'!AL14</f>
        <v>254</v>
      </c>
      <c r="BK12" s="15">
        <f>'[1]Supply &amp;Disposition'!AM14</f>
        <v>255</v>
      </c>
      <c r="BL12" s="15">
        <f>'[1]Supply &amp;Disposition'!AN14</f>
        <v>256</v>
      </c>
      <c r="BM12" s="15">
        <f>'[1]Supply &amp;Disposition'!AO14</f>
        <v>257</v>
      </c>
      <c r="BN12" s="15">
        <f>'[1]Supply &amp;Disposition'!AP14</f>
        <v>258</v>
      </c>
      <c r="BO12" s="15">
        <f>'[1]Supply &amp;Disposition'!AQ14</f>
        <v>259</v>
      </c>
      <c r="BP12" s="15">
        <f>'[1]Supply &amp;Disposition'!AR14</f>
        <v>260</v>
      </c>
      <c r="BQ12" s="15">
        <f>'[1]Supply &amp;Disposition'!AS14</f>
        <v>261</v>
      </c>
      <c r="BR12" s="15">
        <f>'[1]Supply &amp;Disposition'!AT14</f>
        <v>262</v>
      </c>
      <c r="BS12" s="15">
        <f>'[1]Supply &amp;Disposition'!AU14</f>
        <v>263</v>
      </c>
      <c r="BT12" s="15">
        <f>'[1]Supply &amp;Disposition'!AV14</f>
        <v>264</v>
      </c>
      <c r="BU12" s="15">
        <f>'[1]Supply &amp;Disposition'!AW14</f>
        <v>265</v>
      </c>
      <c r="BV12" s="15">
        <f>'[1]Supply &amp;Disposition'!AX14</f>
        <v>266</v>
      </c>
      <c r="BW12" s="15">
        <f>'[1]Supply &amp;Disposition'!AY14</f>
        <v>267</v>
      </c>
      <c r="BX12" s="15">
        <f>'[1]Supply &amp;Disposition'!AZ14</f>
        <v>268</v>
      </c>
      <c r="BY12" s="15">
        <f>'[1]Supply &amp;Disposition'!BA14</f>
        <v>269</v>
      </c>
      <c r="BZ12" s="15">
        <f>'[1]Supply &amp;Disposition'!BB14</f>
        <v>270</v>
      </c>
      <c r="CA12" s="15">
        <f>'[1]Supply &amp;Disposition'!BC14</f>
        <v>271</v>
      </c>
      <c r="CB12" s="15">
        <f>'[1]Supply &amp;Disposition'!BD14</f>
        <v>272</v>
      </c>
      <c r="CC12" s="15">
        <f>'[1]Supply &amp;Disposition'!BE14</f>
        <v>273</v>
      </c>
      <c r="CD12" s="15">
        <f>'[1]Supply &amp;Disposition'!BF14</f>
        <v>0</v>
      </c>
    </row>
    <row r="13" spans="1:82" ht="18" customHeight="1">
      <c r="A13" s="5" t="s">
        <v>104</v>
      </c>
      <c r="B13" s="17">
        <f>'[2]mill lbs.'!O14</f>
        <v>70381.8230336454</v>
      </c>
      <c r="C13" s="17">
        <f>'[2]mill lbs.'!P14</f>
        <v>92285.544786955448</v>
      </c>
      <c r="D13" s="17">
        <f>'[2]mill lbs.'!Q14</f>
        <v>88475.298030151491</v>
      </c>
      <c r="E13" s="17">
        <f>'[2]mill lbs.'!R14</f>
        <v>66839.779570892788</v>
      </c>
      <c r="F13" s="17">
        <f>'[2]mill lbs.'!S14</f>
        <v>64341.981948833673</v>
      </c>
      <c r="G13" s="17">
        <f>'[2]mill lbs.'!T14</f>
        <v>58084.198541610174</v>
      </c>
      <c r="H13" s="17">
        <f>'[2]mill lbs.'!U14</f>
        <v>49200.104389574852</v>
      </c>
      <c r="I13" s="17">
        <f>'[2]mill lbs.'!V14</f>
        <v>63679.600867205343</v>
      </c>
      <c r="J13" s="17">
        <f>'[2]mill lbs.'!W14</f>
        <v>73011.690458637517</v>
      </c>
      <c r="K13" s="17">
        <f>'[2]mill lbs.'!X14</f>
        <v>71620.427253369096</v>
      </c>
      <c r="L13" s="17">
        <f>'[2]mill lbs.'!Y14</f>
        <v>57406.376987275988</v>
      </c>
      <c r="M13" s="17">
        <f>'[2]mill lbs.'!Z14</f>
        <v>59890.27763959601</v>
      </c>
      <c r="N13" s="17">
        <f>'[2]mill lbs.'!AA14</f>
        <v>59520.383334988124</v>
      </c>
      <c r="O13" s="17">
        <f>'[2]mill lbs.'!AB14</f>
        <v>60317.018578140145</v>
      </c>
      <c r="P13" s="17">
        <f>'[2]mill lbs.'!AC14</f>
        <v>53694.504290779965</v>
      </c>
      <c r="Q13" s="17">
        <f>'[2]mill lbs.'!AD14</f>
        <v>49624.256272402054</v>
      </c>
      <c r="R13" s="17">
        <f>'[2]mill lbs.'!AE14</f>
        <v>52684.496298601669</v>
      </c>
      <c r="S13" s="17">
        <f>'[2]mill lbs.'!AF14</f>
        <v>42610.437435115862</v>
      </c>
      <c r="T13" s="17">
        <f>'[2]mill lbs.'!AG14</f>
        <v>38445.90917441318</v>
      </c>
      <c r="U13" s="17">
        <f>'[2]mill lbs.'!AH14</f>
        <v>42299.289122800379</v>
      </c>
      <c r="V13" s="17">
        <f>'[2]mill lbs.'!AI14</f>
        <v>38038.144274014754</v>
      </c>
      <c r="W13" s="17">
        <f>'[2]mill lbs.'!AJ14</f>
        <v>35853.709006879428</v>
      </c>
      <c r="X13" s="17">
        <f>'[2]mill lbs.'!AK14</f>
        <v>41336.950815538206</v>
      </c>
      <c r="Y13" s="69">
        <f>'[2]mill lbs.'!$AK$14</f>
        <v>41336.950815538206</v>
      </c>
      <c r="Z13" s="69">
        <v>24801</v>
      </c>
      <c r="AA13" s="69">
        <v>23277</v>
      </c>
      <c r="AB13" s="69">
        <v>28131</v>
      </c>
      <c r="AC13" s="69">
        <v>18120</v>
      </c>
      <c r="AD13" s="69">
        <v>12040</v>
      </c>
      <c r="AE13" s="69">
        <v>9843</v>
      </c>
      <c r="AF13" s="69">
        <v>14631</v>
      </c>
      <c r="AG13" s="69">
        <v>32983</v>
      </c>
      <c r="AH13" s="69">
        <v>46995</v>
      </c>
      <c r="AI13" s="69">
        <v>44415</v>
      </c>
      <c r="AJ13" s="69">
        <v>45591</v>
      </c>
      <c r="AK13" s="69">
        <v>20390</v>
      </c>
      <c r="AL13" s="69">
        <v>15992</v>
      </c>
      <c r="AM13" s="69">
        <v>29294</v>
      </c>
      <c r="AN13" s="69">
        <v>25235</v>
      </c>
      <c r="AO13" s="69">
        <v>13821</v>
      </c>
      <c r="AP13" s="69">
        <v>4890</v>
      </c>
      <c r="AQ13" s="69">
        <v>6358</v>
      </c>
      <c r="AR13" s="84">
        <v>10364</v>
      </c>
      <c r="AS13" s="84">
        <v>13556</v>
      </c>
      <c r="AT13" s="68">
        <v>18230</v>
      </c>
      <c r="AU13" s="69">
        <v>17397</v>
      </c>
      <c r="AV13" s="69">
        <v>15993</v>
      </c>
      <c r="AW13" s="69">
        <f>(1650/1.5)*12</f>
        <v>13200</v>
      </c>
      <c r="AX13" s="124"/>
      <c r="AY13" s="15" t="str">
        <f>'[1]Supply &amp;Disposition'!AA15</f>
        <v>Oct</v>
      </c>
      <c r="AZ13" s="15">
        <f>'[1]Supply &amp;Disposition'!AB15</f>
        <v>274</v>
      </c>
      <c r="BA13" s="15">
        <f>'[1]Supply &amp;Disposition'!AC15</f>
        <v>275</v>
      </c>
      <c r="BB13" s="15">
        <f>'[1]Supply &amp;Disposition'!AD15</f>
        <v>276</v>
      </c>
      <c r="BC13" s="15">
        <f>'[1]Supply &amp;Disposition'!AE15</f>
        <v>277</v>
      </c>
      <c r="BD13" s="15">
        <f>'[1]Supply &amp;Disposition'!AF15</f>
        <v>278</v>
      </c>
      <c r="BE13" s="15">
        <f>'[1]Supply &amp;Disposition'!AG15</f>
        <v>279</v>
      </c>
      <c r="BF13" s="15">
        <f>'[1]Supply &amp;Disposition'!AH15</f>
        <v>280</v>
      </c>
      <c r="BG13" s="15">
        <f>'[1]Supply &amp;Disposition'!AI15</f>
        <v>281</v>
      </c>
      <c r="BH13" s="15">
        <f>'[1]Supply &amp;Disposition'!AJ15</f>
        <v>282</v>
      </c>
      <c r="BI13" s="15">
        <f>'[1]Supply &amp;Disposition'!AK15</f>
        <v>283</v>
      </c>
      <c r="BJ13" s="15">
        <f>'[1]Supply &amp;Disposition'!AL15</f>
        <v>284</v>
      </c>
      <c r="BK13" s="15">
        <f>'[1]Supply &amp;Disposition'!AM15</f>
        <v>285</v>
      </c>
      <c r="BL13" s="15">
        <f>'[1]Supply &amp;Disposition'!AN15</f>
        <v>286</v>
      </c>
      <c r="BM13" s="15">
        <f>'[1]Supply &amp;Disposition'!AO15</f>
        <v>287</v>
      </c>
      <c r="BN13" s="15">
        <f>'[1]Supply &amp;Disposition'!AP15</f>
        <v>288</v>
      </c>
      <c r="BO13" s="15">
        <f>'[1]Supply &amp;Disposition'!AQ15</f>
        <v>289</v>
      </c>
      <c r="BP13" s="15">
        <f>'[1]Supply &amp;Disposition'!AR15</f>
        <v>290</v>
      </c>
      <c r="BQ13" s="15">
        <f>'[1]Supply &amp;Disposition'!AS15</f>
        <v>291</v>
      </c>
      <c r="BR13" s="15">
        <f>'[1]Supply &amp;Disposition'!AT15</f>
        <v>292</v>
      </c>
      <c r="BS13" s="15">
        <f>'[1]Supply &amp;Disposition'!AU15</f>
        <v>293</v>
      </c>
      <c r="BT13" s="15">
        <f>'[1]Supply &amp;Disposition'!AV15</f>
        <v>294</v>
      </c>
      <c r="BU13" s="15">
        <f>'[1]Supply &amp;Disposition'!AW15</f>
        <v>295</v>
      </c>
      <c r="BV13" s="15">
        <f>'[1]Supply &amp;Disposition'!AX15</f>
        <v>296</v>
      </c>
      <c r="BW13" s="15">
        <f>'[1]Supply &amp;Disposition'!AY15</f>
        <v>297</v>
      </c>
      <c r="BX13" s="15">
        <f>'[1]Supply &amp;Disposition'!AZ15</f>
        <v>298</v>
      </c>
      <c r="BY13" s="15">
        <f>'[1]Supply &amp;Disposition'!BA15</f>
        <v>299</v>
      </c>
      <c r="BZ13" s="15">
        <f>'[1]Supply &amp;Disposition'!BB15</f>
        <v>300</v>
      </c>
      <c r="CA13" s="15">
        <f>'[1]Supply &amp;Disposition'!BC15</f>
        <v>301</v>
      </c>
      <c r="CB13" s="15">
        <f>'[1]Supply &amp;Disposition'!BD15</f>
        <v>302</v>
      </c>
      <c r="CC13" s="15">
        <f>'[1]Supply &amp;Disposition'!BE15</f>
        <v>303</v>
      </c>
      <c r="CD13" s="15">
        <f>'[1]Supply &amp;Disposition'!BF15</f>
        <v>304</v>
      </c>
    </row>
    <row r="14" spans="1:82" ht="18" customHeight="1">
      <c r="A14" s="18" t="s">
        <v>18</v>
      </c>
      <c r="B14" s="42">
        <f t="shared" ref="B14:W14" si="5">SUM(B10:B13)</f>
        <v>3443200</v>
      </c>
      <c r="C14" s="42">
        <f t="shared" si="5"/>
        <v>3675799.9999999995</v>
      </c>
      <c r="D14" s="42">
        <f t="shared" si="5"/>
        <v>4237700</v>
      </c>
      <c r="E14" s="42">
        <f t="shared" si="5"/>
        <v>4476299.9999999991</v>
      </c>
      <c r="F14" s="42">
        <f t="shared" si="5"/>
        <v>4374700</v>
      </c>
      <c r="G14" s="42">
        <f t="shared" si="5"/>
        <v>3992499.9999999995</v>
      </c>
      <c r="H14" s="42">
        <f t="shared" si="5"/>
        <v>3433800</v>
      </c>
      <c r="I14" s="42">
        <f t="shared" si="5"/>
        <v>3525700</v>
      </c>
      <c r="J14" s="42">
        <f t="shared" si="5"/>
        <v>3691300</v>
      </c>
      <c r="K14" s="42">
        <f t="shared" si="5"/>
        <v>3788100</v>
      </c>
      <c r="L14" s="42">
        <f t="shared" si="5"/>
        <v>3708800</v>
      </c>
      <c r="M14" s="42">
        <f t="shared" si="5"/>
        <v>3565900</v>
      </c>
      <c r="N14" s="42">
        <f t="shared" si="5"/>
        <v>3603000</v>
      </c>
      <c r="O14" s="42">
        <f t="shared" si="5"/>
        <v>3511400</v>
      </c>
      <c r="P14" s="42">
        <f t="shared" si="5"/>
        <v>3194500</v>
      </c>
      <c r="Q14" s="42">
        <f t="shared" si="5"/>
        <v>3086300</v>
      </c>
      <c r="R14" s="42">
        <f t="shared" si="5"/>
        <v>3121000.0000000005</v>
      </c>
      <c r="S14" s="42">
        <f t="shared" si="5"/>
        <v>2892000</v>
      </c>
      <c r="T14" s="42">
        <f t="shared" si="5"/>
        <v>2726099.9999999995</v>
      </c>
      <c r="U14" s="42">
        <f t="shared" si="5"/>
        <v>2834800</v>
      </c>
      <c r="V14" s="42">
        <f t="shared" si="5"/>
        <v>2685000.0000000005</v>
      </c>
      <c r="W14" s="42">
        <f t="shared" si="5"/>
        <v>2727400</v>
      </c>
      <c r="X14" s="42">
        <f>SUM(X10:X13)</f>
        <v>2791300</v>
      </c>
      <c r="Y14" s="70">
        <f>'[2]mill lbs.'!$AK$15</f>
        <v>2791300</v>
      </c>
      <c r="Z14" s="70">
        <f t="shared" ref="Z14:AW14" si="6">SUM(Z10:Z13)</f>
        <v>2992971</v>
      </c>
      <c r="AA14" s="70">
        <f t="shared" si="6"/>
        <v>3050784</v>
      </c>
      <c r="AB14" s="70">
        <f t="shared" si="6"/>
        <v>3339984</v>
      </c>
      <c r="AC14" s="70">
        <f t="shared" si="6"/>
        <v>3259054</v>
      </c>
      <c r="AD14" s="70">
        <f t="shared" si="6"/>
        <v>3210199</v>
      </c>
      <c r="AE14" s="70">
        <f t="shared" si="6"/>
        <v>3297668</v>
      </c>
      <c r="AF14" s="70">
        <f t="shared" si="6"/>
        <v>2923627</v>
      </c>
      <c r="AG14" s="70">
        <f t="shared" si="6"/>
        <v>3663476</v>
      </c>
      <c r="AH14" s="70">
        <f t="shared" si="6"/>
        <v>3660154</v>
      </c>
      <c r="AI14" s="70">
        <f t="shared" si="6"/>
        <v>3316731</v>
      </c>
      <c r="AJ14" s="70">
        <f t="shared" si="6"/>
        <v>3199114</v>
      </c>
      <c r="AK14" s="70">
        <f t="shared" si="6"/>
        <v>3253884</v>
      </c>
      <c r="AL14" s="70">
        <f t="shared" si="6"/>
        <v>3139039</v>
      </c>
      <c r="AM14" s="70">
        <f t="shared" si="6"/>
        <v>3210305</v>
      </c>
      <c r="AN14" s="70">
        <f t="shared" si="6"/>
        <v>2889627</v>
      </c>
      <c r="AO14" s="70">
        <f t="shared" si="6"/>
        <v>2611153</v>
      </c>
      <c r="AP14" s="70">
        <f t="shared" si="6"/>
        <v>2585690</v>
      </c>
      <c r="AQ14" s="70">
        <f t="shared" si="6"/>
        <v>2672762</v>
      </c>
      <c r="AR14" s="70">
        <f t="shared" si="6"/>
        <v>2517513</v>
      </c>
      <c r="AS14" s="70">
        <f t="shared" si="6"/>
        <v>2649021</v>
      </c>
      <c r="AT14" s="70">
        <f t="shared" si="6"/>
        <v>2829026</v>
      </c>
      <c r="AU14" s="70">
        <f t="shared" si="6"/>
        <v>3011467</v>
      </c>
      <c r="AV14" s="70">
        <f t="shared" si="6"/>
        <v>3149503</v>
      </c>
      <c r="AW14" s="70">
        <f t="shared" si="6"/>
        <v>3160016</v>
      </c>
      <c r="AX14" s="106"/>
      <c r="AY14" s="15" t="str">
        <f>'[1]Supply &amp;Disposition'!AA16</f>
        <v>Nov</v>
      </c>
      <c r="AZ14" s="15">
        <f>'[1]Supply &amp;Disposition'!AB16</f>
        <v>305</v>
      </c>
      <c r="BA14" s="15">
        <f>'[1]Supply &amp;Disposition'!AC16</f>
        <v>306</v>
      </c>
      <c r="BB14" s="15">
        <f>'[1]Supply &amp;Disposition'!AD16</f>
        <v>307</v>
      </c>
      <c r="BC14" s="15">
        <f>'[1]Supply &amp;Disposition'!AE16</f>
        <v>308</v>
      </c>
      <c r="BD14" s="15">
        <f>'[1]Supply &amp;Disposition'!AF16</f>
        <v>309</v>
      </c>
      <c r="BE14" s="15">
        <f>'[1]Supply &amp;Disposition'!AG16</f>
        <v>310</v>
      </c>
      <c r="BF14" s="15">
        <f>'[1]Supply &amp;Disposition'!AH16</f>
        <v>311</v>
      </c>
      <c r="BG14" s="15">
        <f>'[1]Supply &amp;Disposition'!AI16</f>
        <v>312</v>
      </c>
      <c r="BH14" s="15">
        <f>'[1]Supply &amp;Disposition'!AJ16</f>
        <v>313</v>
      </c>
      <c r="BI14" s="15">
        <f>'[1]Supply &amp;Disposition'!AK16</f>
        <v>314</v>
      </c>
      <c r="BJ14" s="15">
        <f>'[1]Supply &amp;Disposition'!AL16</f>
        <v>315</v>
      </c>
      <c r="BK14" s="15">
        <f>'[1]Supply &amp;Disposition'!AM16</f>
        <v>316</v>
      </c>
      <c r="BL14" s="15">
        <f>'[1]Supply &amp;Disposition'!AN16</f>
        <v>317</v>
      </c>
      <c r="BM14" s="15">
        <f>'[1]Supply &amp;Disposition'!AO16</f>
        <v>318</v>
      </c>
      <c r="BN14" s="15">
        <f>'[1]Supply &amp;Disposition'!AP16</f>
        <v>319</v>
      </c>
      <c r="BO14" s="15">
        <f>'[1]Supply &amp;Disposition'!AQ16</f>
        <v>320</v>
      </c>
      <c r="BP14" s="15">
        <f>'[1]Supply &amp;Disposition'!AR16</f>
        <v>321</v>
      </c>
      <c r="BQ14" s="15">
        <f>'[1]Supply &amp;Disposition'!AS16</f>
        <v>322</v>
      </c>
      <c r="BR14" s="15">
        <f>'[1]Supply &amp;Disposition'!AT16</f>
        <v>323</v>
      </c>
      <c r="BS14" s="15">
        <f>'[1]Supply &amp;Disposition'!AU16</f>
        <v>324</v>
      </c>
      <c r="BT14" s="15">
        <f>'[1]Supply &amp;Disposition'!AV16</f>
        <v>325</v>
      </c>
      <c r="BU14" s="15">
        <f>'[1]Supply &amp;Disposition'!AW16</f>
        <v>326</v>
      </c>
      <c r="BV14" s="15">
        <f>'[1]Supply &amp;Disposition'!AX16</f>
        <v>327</v>
      </c>
      <c r="BW14" s="15">
        <f>'[1]Supply &amp;Disposition'!AY16</f>
        <v>328</v>
      </c>
      <c r="BX14" s="15">
        <f>'[1]Supply &amp;Disposition'!AZ16</f>
        <v>329</v>
      </c>
      <c r="BY14" s="15">
        <f>'[1]Supply &amp;Disposition'!BA16</f>
        <v>330</v>
      </c>
      <c r="BZ14" s="15">
        <f>'[1]Supply &amp;Disposition'!BB16</f>
        <v>331</v>
      </c>
      <c r="CA14" s="15">
        <f>'[1]Supply &amp;Disposition'!BC16</f>
        <v>332</v>
      </c>
      <c r="CB14" s="15">
        <f>'[1]Supply &amp;Disposition'!BD16</f>
        <v>333</v>
      </c>
      <c r="CC14" s="15">
        <f>'[1]Supply &amp;Disposition'!BE16</f>
        <v>334</v>
      </c>
      <c r="CD14" s="15">
        <f>'[1]Supply &amp;Disposition'!BF16</f>
        <v>0</v>
      </c>
    </row>
    <row r="15" spans="1:82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125"/>
      <c r="AL15" s="125"/>
      <c r="AM15" s="125"/>
      <c r="AN15" s="125"/>
      <c r="AO15" s="125"/>
      <c r="AP15" s="125" t="s">
        <v>105</v>
      </c>
      <c r="AQ15" s="125"/>
      <c r="AR15" s="125"/>
      <c r="AS15" s="125"/>
      <c r="AT15" s="102"/>
      <c r="AU15" s="75"/>
      <c r="AV15" s="75"/>
      <c r="AW15" s="75"/>
      <c r="AX15" s="72"/>
      <c r="AY15" s="15" t="str">
        <f>'[1]Supply &amp;Disposition'!AA17</f>
        <v>Dec</v>
      </c>
      <c r="AZ15" s="15">
        <f>'[1]Supply &amp;Disposition'!AB17</f>
        <v>335</v>
      </c>
      <c r="BA15" s="15">
        <f>'[1]Supply &amp;Disposition'!AC17</f>
        <v>336</v>
      </c>
      <c r="BB15" s="15">
        <f>'[1]Supply &amp;Disposition'!AD17</f>
        <v>337</v>
      </c>
      <c r="BC15" s="15">
        <f>'[1]Supply &amp;Disposition'!AE17</f>
        <v>338</v>
      </c>
      <c r="BD15" s="15">
        <f>'[1]Supply &amp;Disposition'!AF17</f>
        <v>339</v>
      </c>
      <c r="BE15" s="15">
        <f>'[1]Supply &amp;Disposition'!AG17</f>
        <v>340</v>
      </c>
      <c r="BF15" s="15">
        <f>'[1]Supply &amp;Disposition'!AH17</f>
        <v>341</v>
      </c>
      <c r="BG15" s="15">
        <f>'[1]Supply &amp;Disposition'!AI17</f>
        <v>342</v>
      </c>
      <c r="BH15" s="15">
        <f>'[1]Supply &amp;Disposition'!AJ17</f>
        <v>343</v>
      </c>
      <c r="BI15" s="15">
        <f>'[1]Supply &amp;Disposition'!AK17</f>
        <v>344</v>
      </c>
      <c r="BJ15" s="15">
        <f>'[1]Supply &amp;Disposition'!AL17</f>
        <v>345</v>
      </c>
      <c r="BK15" s="15">
        <f>'[1]Supply &amp;Disposition'!AM17</f>
        <v>346</v>
      </c>
      <c r="BL15" s="15">
        <f>'[1]Supply &amp;Disposition'!AN17</f>
        <v>347</v>
      </c>
      <c r="BM15" s="15">
        <f>'[1]Supply &amp;Disposition'!AO17</f>
        <v>348</v>
      </c>
      <c r="BN15" s="15">
        <f>'[1]Supply &amp;Disposition'!AP17</f>
        <v>349</v>
      </c>
      <c r="BO15" s="15">
        <f>'[1]Supply &amp;Disposition'!AQ17</f>
        <v>350</v>
      </c>
      <c r="BP15" s="15">
        <f>'[1]Supply &amp;Disposition'!AR17</f>
        <v>351</v>
      </c>
      <c r="BQ15" s="15">
        <f>'[1]Supply &amp;Disposition'!AS17</f>
        <v>352</v>
      </c>
      <c r="BR15" s="15">
        <f>'[1]Supply &amp;Disposition'!AT17</f>
        <v>353</v>
      </c>
      <c r="BS15" s="15">
        <f>'[1]Supply &amp;Disposition'!AU17</f>
        <v>354</v>
      </c>
      <c r="BT15" s="15">
        <f>'[1]Supply &amp;Disposition'!AV17</f>
        <v>355</v>
      </c>
      <c r="BU15" s="15">
        <f>'[1]Supply &amp;Disposition'!AW17</f>
        <v>356</v>
      </c>
      <c r="BV15" s="15">
        <f>'[1]Supply &amp;Disposition'!AX17</f>
        <v>357</v>
      </c>
      <c r="BW15" s="15">
        <f>'[1]Supply &amp;Disposition'!AY17</f>
        <v>358</v>
      </c>
      <c r="BX15" s="15">
        <f>'[1]Supply &amp;Disposition'!AZ17</f>
        <v>359</v>
      </c>
      <c r="BY15" s="15">
        <f>'[1]Supply &amp;Disposition'!BA17</f>
        <v>360</v>
      </c>
      <c r="BZ15" s="15">
        <f>'[1]Supply &amp;Disposition'!BB17</f>
        <v>361</v>
      </c>
      <c r="CA15" s="15">
        <f>'[1]Supply &amp;Disposition'!BC17</f>
        <v>362</v>
      </c>
      <c r="CB15" s="15">
        <f>'[1]Supply &amp;Disposition'!BD17</f>
        <v>363</v>
      </c>
      <c r="CC15" s="15">
        <f>'[1]Supply &amp;Disposition'!BE17</f>
        <v>364</v>
      </c>
      <c r="CD15" s="15">
        <f>'[1]Supply &amp;Disposition'!BF17</f>
        <v>365</v>
      </c>
    </row>
    <row r="16" spans="1:82" ht="18" customHeight="1">
      <c r="A16" s="15" t="s">
        <v>21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69" t="s">
        <v>106</v>
      </c>
      <c r="Z16" s="69">
        <v>184927</v>
      </c>
      <c r="AA16" s="69">
        <v>159798</v>
      </c>
      <c r="AB16" s="69">
        <v>162260</v>
      </c>
      <c r="AC16" s="69">
        <v>158557</v>
      </c>
      <c r="AD16" s="69">
        <v>165407</v>
      </c>
      <c r="AE16" s="69">
        <v>174400</v>
      </c>
      <c r="AF16" s="69">
        <v>185079</v>
      </c>
      <c r="AG16" s="69">
        <v>248017</v>
      </c>
      <c r="AH16" s="69">
        <v>273825</v>
      </c>
      <c r="AI16" s="69">
        <v>232181</v>
      </c>
      <c r="AJ16" s="69">
        <v>222581</v>
      </c>
      <c r="AK16" s="69">
        <v>222627</v>
      </c>
      <c r="AL16" s="69">
        <v>215998</v>
      </c>
      <c r="AM16" s="69">
        <v>194535</v>
      </c>
      <c r="AN16" s="69">
        <v>168023</v>
      </c>
      <c r="AO16" s="69">
        <v>170885</v>
      </c>
      <c r="AP16" s="69">
        <v>163547</v>
      </c>
      <c r="AQ16" s="69">
        <v>160220</v>
      </c>
      <c r="AR16" s="69">
        <v>155292</v>
      </c>
      <c r="AS16" s="84">
        <v>148885</v>
      </c>
      <c r="AT16" s="68">
        <f>AT14*0.063</f>
        <v>178228.63800000001</v>
      </c>
      <c r="AU16" s="68">
        <f>AU14*0.063</f>
        <v>189722.421</v>
      </c>
      <c r="AV16" s="68">
        <f>AV14*0.063</f>
        <v>198418.68900000001</v>
      </c>
      <c r="AW16" s="68"/>
      <c r="AX16" s="126"/>
      <c r="AY16" s="45"/>
      <c r="AZ16" s="45"/>
      <c r="BA16" s="45"/>
      <c r="BB16" s="45"/>
      <c r="BC16" s="45"/>
    </row>
    <row r="17" spans="1:55" ht="18" customHeight="1">
      <c r="A17" s="46" t="s">
        <v>107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127" t="s">
        <v>11</v>
      </c>
      <c r="Z17" s="127">
        <f t="shared" ref="Z17:AV17" si="7">Z16/Z14</f>
        <v>6.1787100509827858E-2</v>
      </c>
      <c r="AA17" s="127">
        <f t="shared" si="7"/>
        <v>5.2379322823248059E-2</v>
      </c>
      <c r="AB17" s="127">
        <f t="shared" si="7"/>
        <v>4.8581071047046932E-2</v>
      </c>
      <c r="AC17" s="127">
        <f t="shared" si="7"/>
        <v>4.8651234376601307E-2</v>
      </c>
      <c r="AD17" s="127">
        <f t="shared" si="7"/>
        <v>5.1525466178264964E-2</v>
      </c>
      <c r="AE17" s="127">
        <f t="shared" si="7"/>
        <v>5.2885857521133117E-2</v>
      </c>
      <c r="AF17" s="127">
        <f t="shared" si="7"/>
        <v>6.3304587076258356E-2</v>
      </c>
      <c r="AG17" s="127">
        <f t="shared" si="7"/>
        <v>6.7699911231846474E-2</v>
      </c>
      <c r="AH17" s="127">
        <f t="shared" si="7"/>
        <v>7.481242592524795E-2</v>
      </c>
      <c r="AI17" s="127">
        <f t="shared" si="7"/>
        <v>7.0002963761607431E-2</v>
      </c>
      <c r="AJ17" s="127">
        <f t="shared" si="7"/>
        <v>6.9575826306908728E-2</v>
      </c>
      <c r="AK17" s="127">
        <f t="shared" si="7"/>
        <v>6.8418849596359299E-2</v>
      </c>
      <c r="AL17" s="127">
        <f t="shared" si="7"/>
        <v>6.8810231411588069E-2</v>
      </c>
      <c r="AM17" s="127">
        <f t="shared" si="7"/>
        <v>6.0597046075061403E-2</v>
      </c>
      <c r="AN17" s="127">
        <f t="shared" si="7"/>
        <v>5.8146951146289816E-2</v>
      </c>
      <c r="AO17" s="127">
        <f t="shared" si="7"/>
        <v>6.5444269255765561E-2</v>
      </c>
      <c r="AP17" s="127">
        <f t="shared" si="7"/>
        <v>6.3250815062903906E-2</v>
      </c>
      <c r="AQ17" s="127">
        <f t="shared" si="7"/>
        <v>5.9945479619958678E-2</v>
      </c>
      <c r="AR17" s="127">
        <f t="shared" si="7"/>
        <v>6.1684686434588423E-2</v>
      </c>
      <c r="AS17" s="127">
        <f t="shared" si="7"/>
        <v>5.620378245397073E-2</v>
      </c>
      <c r="AT17" s="127">
        <f t="shared" si="7"/>
        <v>6.3E-2</v>
      </c>
      <c r="AU17" s="127">
        <f t="shared" si="7"/>
        <v>6.3E-2</v>
      </c>
      <c r="AV17" s="127">
        <f t="shared" si="7"/>
        <v>6.3E-2</v>
      </c>
      <c r="AW17" s="127"/>
      <c r="AX17" s="126"/>
      <c r="AY17" s="45"/>
      <c r="AZ17" s="45"/>
      <c r="BA17" s="45"/>
      <c r="BB17" s="45"/>
      <c r="BC17" s="45"/>
    </row>
    <row r="18" spans="1:55" ht="18" customHeight="1">
      <c r="A18" s="18" t="s">
        <v>25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70" t="s">
        <v>106</v>
      </c>
      <c r="Z18" s="70">
        <f t="shared" ref="Z18:AV18" si="8">SUM(Z14:Z16)</f>
        <v>3177898</v>
      </c>
      <c r="AA18" s="70">
        <f t="shared" si="8"/>
        <v>3210582</v>
      </c>
      <c r="AB18" s="70">
        <f t="shared" si="8"/>
        <v>3502244</v>
      </c>
      <c r="AC18" s="70">
        <f t="shared" si="8"/>
        <v>3417611</v>
      </c>
      <c r="AD18" s="70">
        <f t="shared" si="8"/>
        <v>3375606</v>
      </c>
      <c r="AE18" s="70">
        <f t="shared" si="8"/>
        <v>3472068</v>
      </c>
      <c r="AF18" s="70">
        <f t="shared" si="8"/>
        <v>3108706</v>
      </c>
      <c r="AG18" s="70">
        <f t="shared" si="8"/>
        <v>3911493</v>
      </c>
      <c r="AH18" s="70">
        <f t="shared" si="8"/>
        <v>3933979</v>
      </c>
      <c r="AI18" s="70">
        <f t="shared" si="8"/>
        <v>3548912</v>
      </c>
      <c r="AJ18" s="70">
        <f t="shared" si="8"/>
        <v>3421695</v>
      </c>
      <c r="AK18" s="70">
        <f t="shared" si="8"/>
        <v>3476511</v>
      </c>
      <c r="AL18" s="70">
        <f t="shared" si="8"/>
        <v>3355037</v>
      </c>
      <c r="AM18" s="70">
        <f t="shared" si="8"/>
        <v>3404840</v>
      </c>
      <c r="AN18" s="70">
        <f t="shared" si="8"/>
        <v>3057650</v>
      </c>
      <c r="AO18" s="70">
        <f t="shared" si="8"/>
        <v>2782038</v>
      </c>
      <c r="AP18" s="70">
        <f t="shared" si="8"/>
        <v>2749237</v>
      </c>
      <c r="AQ18" s="70">
        <f t="shared" si="8"/>
        <v>2832982</v>
      </c>
      <c r="AR18" s="70">
        <f t="shared" si="8"/>
        <v>2672805</v>
      </c>
      <c r="AS18" s="70">
        <f t="shared" si="8"/>
        <v>2797906</v>
      </c>
      <c r="AT18" s="70">
        <f t="shared" si="8"/>
        <v>3007254.6379999998</v>
      </c>
      <c r="AU18" s="70">
        <f t="shared" si="8"/>
        <v>3201189.4210000001</v>
      </c>
      <c r="AV18" s="70">
        <f t="shared" si="8"/>
        <v>3347921.6890000002</v>
      </c>
      <c r="AW18" s="70"/>
      <c r="AX18" s="126"/>
      <c r="AY18" s="47">
        <f>(3166.8-3011.5)/3011.5</f>
        <v>5.1568985555371136E-2</v>
      </c>
      <c r="AZ18" s="45"/>
      <c r="BA18" s="45"/>
      <c r="BB18" s="45"/>
      <c r="BC18" s="45"/>
    </row>
    <row r="19" spans="1:55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27"/>
      <c r="Z19" s="127">
        <f t="shared" ref="Z19:AH19" si="9">Z16/(Z14+Z16)</f>
        <v>5.8191609674067578E-2</v>
      </c>
      <c r="AA19" s="127">
        <f t="shared" si="9"/>
        <v>4.9772284277430072E-2</v>
      </c>
      <c r="AB19" s="127">
        <f t="shared" si="9"/>
        <v>4.6330295661867076E-2</v>
      </c>
      <c r="AC19" s="127">
        <f t="shared" si="9"/>
        <v>4.6394103951561488E-2</v>
      </c>
      <c r="AD19" s="127">
        <f t="shared" si="9"/>
        <v>4.9000683136598285E-2</v>
      </c>
      <c r="AE19" s="127">
        <f t="shared" si="9"/>
        <v>5.0229430990406873E-2</v>
      </c>
      <c r="AF19" s="127">
        <f t="shared" si="9"/>
        <v>5.9535703923111416E-2</v>
      </c>
      <c r="AG19" s="127">
        <f t="shared" si="9"/>
        <v>6.3407246286775923E-2</v>
      </c>
      <c r="AH19" s="127">
        <f t="shared" si="9"/>
        <v>6.9605099569672341E-2</v>
      </c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6"/>
      <c r="AY19" s="45"/>
      <c r="AZ19" s="45"/>
      <c r="BA19" s="45"/>
      <c r="BB19" s="45"/>
      <c r="BC19" s="45"/>
    </row>
    <row r="20" spans="1:55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98"/>
      <c r="AT20" s="102"/>
      <c r="AU20" s="69"/>
      <c r="AV20" s="75"/>
      <c r="AW20" s="75"/>
      <c r="AX20" s="126"/>
      <c r="AY20" s="45"/>
      <c r="AZ20" s="45"/>
      <c r="BA20" s="45"/>
      <c r="BB20" s="45"/>
      <c r="BC20" s="45"/>
    </row>
    <row r="21" spans="1:55" ht="18" customHeight="1">
      <c r="A21" s="19" t="s">
        <v>26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128"/>
      <c r="AT21" s="129"/>
      <c r="AU21" s="69"/>
      <c r="AV21" s="75"/>
      <c r="AW21" s="75"/>
      <c r="AX21" s="126"/>
      <c r="AY21" s="45"/>
      <c r="AZ21" s="45"/>
      <c r="BA21" s="45"/>
      <c r="BB21" s="45"/>
      <c r="BC21" s="45"/>
    </row>
    <row r="22" spans="1:55" ht="18" customHeight="1">
      <c r="A22" s="5" t="s">
        <v>101</v>
      </c>
      <c r="Y22" s="69">
        <f>Y10</f>
        <v>1502733.1584787467</v>
      </c>
      <c r="Z22" s="69">
        <f t="shared" ref="Z22:AV25" si="10">Z10+(Z$16*(Z10/Z$14))</f>
        <v>1551936.6943568781</v>
      </c>
      <c r="AA22" s="69">
        <f t="shared" si="10"/>
        <v>1578175.3943681363</v>
      </c>
      <c r="AB22" s="69">
        <f t="shared" si="10"/>
        <v>1724436.6603229237</v>
      </c>
      <c r="AC22" s="69">
        <f t="shared" si="10"/>
        <v>1748143.5537551695</v>
      </c>
      <c r="AD22" s="69">
        <f t="shared" si="10"/>
        <v>1708593.2357545434</v>
      </c>
      <c r="AE22" s="69">
        <f t="shared" si="10"/>
        <v>1763091.0607665782</v>
      </c>
      <c r="AF22" s="69">
        <f t="shared" si="10"/>
        <v>1693154.1225354671</v>
      </c>
      <c r="AG22" s="69">
        <f t="shared" si="10"/>
        <v>2028209.157575483</v>
      </c>
      <c r="AH22" s="69">
        <f t="shared" si="10"/>
        <v>1948326.457036234</v>
      </c>
      <c r="AI22" s="69">
        <f t="shared" si="10"/>
        <v>1638688.1389416265</v>
      </c>
      <c r="AJ22" s="69">
        <f t="shared" si="10"/>
        <v>1560968.9090354391</v>
      </c>
      <c r="AK22" s="69">
        <f t="shared" si="10"/>
        <v>1590435.4784829454</v>
      </c>
      <c r="AL22" s="69">
        <f t="shared" si="10"/>
        <v>1625479.7330479168</v>
      </c>
      <c r="AM22" s="69">
        <f t="shared" si="10"/>
        <v>1638733.7988758078</v>
      </c>
      <c r="AN22" s="69">
        <f t="shared" si="10"/>
        <v>1527099.6913961559</v>
      </c>
      <c r="AO22" s="69">
        <f t="shared" si="10"/>
        <v>1443227.3673599365</v>
      </c>
      <c r="AP22" s="69">
        <f t="shared" si="10"/>
        <v>1429123.9265325696</v>
      </c>
      <c r="AQ22" s="69">
        <f t="shared" si="10"/>
        <v>1497852.4150156281</v>
      </c>
      <c r="AR22" s="69">
        <f t="shared" si="10"/>
        <v>1495420.0398071429</v>
      </c>
      <c r="AS22" s="69">
        <f t="shared" si="10"/>
        <v>1548390.5202623913</v>
      </c>
      <c r="AT22" s="69">
        <f t="shared" si="10"/>
        <v>1594379.8810000001</v>
      </c>
      <c r="AU22" s="69">
        <f t="shared" si="10"/>
        <v>1699692.3540000001</v>
      </c>
      <c r="AV22" s="69">
        <f t="shared" si="10"/>
        <v>1820664.943</v>
      </c>
      <c r="AW22" s="130">
        <f>(AV22-AU22)/AU22</f>
        <v>7.1173226563799624E-2</v>
      </c>
      <c r="AX22" s="126"/>
      <c r="AY22" s="45"/>
      <c r="AZ22" s="45"/>
      <c r="BA22" s="45"/>
      <c r="BB22" s="45"/>
      <c r="BC22" s="45"/>
    </row>
    <row r="23" spans="1:55" ht="18" customHeight="1">
      <c r="A23" s="5" t="s">
        <v>102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69">
        <f t="shared" ref="Y23:Y25" si="11">Y11</f>
        <v>730926.71000871493</v>
      </c>
      <c r="Z23" s="69">
        <f t="shared" si="10"/>
        <v>974823.55161677138</v>
      </c>
      <c r="AA23" s="69">
        <f t="shared" si="10"/>
        <v>1057025.5775335126</v>
      </c>
      <c r="AB23" s="69">
        <f t="shared" si="10"/>
        <v>1216347.7509281482</v>
      </c>
      <c r="AC23" s="69">
        <f t="shared" si="10"/>
        <v>1168118.8262529557</v>
      </c>
      <c r="AD23" s="69">
        <f t="shared" si="10"/>
        <v>1154117.5482859474</v>
      </c>
      <c r="AE23" s="69">
        <f t="shared" si="10"/>
        <v>1175327.0067781233</v>
      </c>
      <c r="AF23" s="69">
        <f t="shared" si="10"/>
        <v>1048545.9194076399</v>
      </c>
      <c r="AG23" s="69">
        <f t="shared" si="10"/>
        <v>1413729.7077630644</v>
      </c>
      <c r="AH23" s="69">
        <f t="shared" si="10"/>
        <v>1349142.1754562785</v>
      </c>
      <c r="AI23" s="69">
        <f t="shared" si="10"/>
        <v>1139100.5451524407</v>
      </c>
      <c r="AJ23" s="69">
        <f t="shared" si="10"/>
        <v>1079900.4417582494</v>
      </c>
      <c r="AK23" s="69">
        <f t="shared" si="10"/>
        <v>1062080.9889805538</v>
      </c>
      <c r="AL23" s="69">
        <f t="shared" si="10"/>
        <v>1068127.2616737161</v>
      </c>
      <c r="AM23" s="69">
        <f t="shared" si="10"/>
        <v>1127052.9963850786</v>
      </c>
      <c r="AN23" s="69">
        <f t="shared" si="10"/>
        <v>973492.02061373321</v>
      </c>
      <c r="AO23" s="69">
        <f t="shared" si="10"/>
        <v>884706.56519629457</v>
      </c>
      <c r="AP23" s="69">
        <f t="shared" si="10"/>
        <v>829883.20991882239</v>
      </c>
      <c r="AQ23" s="69">
        <f t="shared" si="10"/>
        <v>893883.8213278997</v>
      </c>
      <c r="AR23" s="69">
        <f t="shared" si="10"/>
        <v>792129.31465696509</v>
      </c>
      <c r="AS23" s="69">
        <f t="shared" si="10"/>
        <v>821334.69114589877</v>
      </c>
      <c r="AT23" s="69">
        <f t="shared" si="10"/>
        <v>920607.96100000001</v>
      </c>
      <c r="AU23" s="69">
        <f t="shared" si="10"/>
        <v>946020.03899999999</v>
      </c>
      <c r="AV23" s="69">
        <f t="shared" si="10"/>
        <v>970997.35</v>
      </c>
      <c r="AW23" s="69"/>
      <c r="AX23" s="126"/>
      <c r="AY23" s="47"/>
      <c r="AZ23" s="48"/>
      <c r="BA23" s="45"/>
      <c r="BB23" s="45"/>
      <c r="BC23" s="45"/>
    </row>
    <row r="24" spans="1:55" ht="18" customHeight="1">
      <c r="A24" s="5" t="s">
        <v>103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69">
        <f t="shared" si="11"/>
        <v>516303.18069700018</v>
      </c>
      <c r="Z24" s="69">
        <f t="shared" si="10"/>
        <v>624804.37214660621</v>
      </c>
      <c r="AA24" s="69">
        <f t="shared" si="10"/>
        <v>550884.79460099433</v>
      </c>
      <c r="AB24" s="69">
        <f t="shared" si="10"/>
        <v>531961.95463930361</v>
      </c>
      <c r="AC24" s="69">
        <f t="shared" si="10"/>
        <v>482347.05962497095</v>
      </c>
      <c r="AD24" s="69">
        <f t="shared" si="10"/>
        <v>500234.84934672277</v>
      </c>
      <c r="AE24" s="69">
        <f t="shared" si="10"/>
        <v>523286.37695971818</v>
      </c>
      <c r="AF24" s="69">
        <f t="shared" si="10"/>
        <v>351448.7486433803</v>
      </c>
      <c r="AG24" s="69">
        <f t="shared" si="10"/>
        <v>434338.18848929269</v>
      </c>
      <c r="AH24" s="69">
        <f t="shared" si="10"/>
        <v>585999.55755113042</v>
      </c>
      <c r="AI24" s="69">
        <f t="shared" si="10"/>
        <v>723599.13427046093</v>
      </c>
      <c r="AJ24" s="69">
        <f t="shared" si="10"/>
        <v>732062.61770915322</v>
      </c>
      <c r="AK24" s="69">
        <f t="shared" si="10"/>
        <v>802209.47219323122</v>
      </c>
      <c r="AL24" s="69">
        <f t="shared" si="10"/>
        <v>644337.59205763298</v>
      </c>
      <c r="AM24" s="69">
        <f t="shared" si="10"/>
        <v>607984.07487139071</v>
      </c>
      <c r="AN24" s="69">
        <f t="shared" si="10"/>
        <v>530355.94967793417</v>
      </c>
      <c r="AO24" s="69">
        <f t="shared" si="10"/>
        <v>439378.56219838513</v>
      </c>
      <c r="AP24" s="69">
        <f t="shared" si="10"/>
        <v>485030.56706295034</v>
      </c>
      <c r="AQ24" s="69">
        <f t="shared" si="10"/>
        <v>434506.63029704854</v>
      </c>
      <c r="AR24" s="69">
        <f t="shared" si="10"/>
        <v>374252.34544568392</v>
      </c>
      <c r="AS24" s="69">
        <f t="shared" si="10"/>
        <v>413862.89011676388</v>
      </c>
      <c r="AT24" s="69">
        <f t="shared" si="10"/>
        <v>472888.30599999998</v>
      </c>
      <c r="AU24" s="69">
        <f t="shared" si="10"/>
        <v>536984.01699999999</v>
      </c>
      <c r="AV24" s="69">
        <f t="shared" si="10"/>
        <v>539258.83700000006</v>
      </c>
      <c r="AW24" s="69"/>
      <c r="AX24" s="126"/>
      <c r="AY24" s="47"/>
      <c r="AZ24" s="48"/>
      <c r="BA24" s="45"/>
      <c r="BB24" s="45"/>
      <c r="BC24" s="45"/>
    </row>
    <row r="25" spans="1:55" ht="18" customHeight="1">
      <c r="A25" s="5" t="s">
        <v>104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69">
        <f t="shared" si="11"/>
        <v>41336.950815538206</v>
      </c>
      <c r="Z25" s="69">
        <f t="shared" si="10"/>
        <v>26333.38187974424</v>
      </c>
      <c r="AA25" s="69">
        <f t="shared" si="10"/>
        <v>24496.233497356745</v>
      </c>
      <c r="AB25" s="69">
        <f t="shared" si="10"/>
        <v>29497.634109624476</v>
      </c>
      <c r="AC25" s="69">
        <f t="shared" si="10"/>
        <v>19001.560366904014</v>
      </c>
      <c r="AD25" s="69">
        <f t="shared" si="10"/>
        <v>12660.366612786311</v>
      </c>
      <c r="AE25" s="69">
        <f t="shared" si="10"/>
        <v>10363.555495580513</v>
      </c>
      <c r="AF25" s="69">
        <f t="shared" si="10"/>
        <v>15557.209413512735</v>
      </c>
      <c r="AG25" s="69">
        <f t="shared" si="10"/>
        <v>35215.946172159995</v>
      </c>
      <c r="AH25" s="69">
        <f t="shared" si="10"/>
        <v>50510.809956357029</v>
      </c>
      <c r="AI25" s="69">
        <f t="shared" si="10"/>
        <v>47524.181635471796</v>
      </c>
      <c r="AJ25" s="69">
        <f t="shared" si="10"/>
        <v>48763.031497158277</v>
      </c>
      <c r="AK25" s="69">
        <f t="shared" si="10"/>
        <v>21785.060343269768</v>
      </c>
      <c r="AL25" s="69">
        <f t="shared" si="10"/>
        <v>17092.413220734117</v>
      </c>
      <c r="AM25" s="69">
        <f t="shared" si="10"/>
        <v>31069.129867722848</v>
      </c>
      <c r="AN25" s="69">
        <f t="shared" si="10"/>
        <v>26702.338312176624</v>
      </c>
      <c r="AO25" s="69">
        <f t="shared" si="10"/>
        <v>14725.505245383936</v>
      </c>
      <c r="AP25" s="69">
        <f t="shared" si="10"/>
        <v>5199.2964856576</v>
      </c>
      <c r="AQ25" s="69">
        <f t="shared" si="10"/>
        <v>6739.1333594236976</v>
      </c>
      <c r="AR25" s="69">
        <f t="shared" si="10"/>
        <v>11003.300090208075</v>
      </c>
      <c r="AS25" s="69">
        <f t="shared" si="10"/>
        <v>14317.898474946027</v>
      </c>
      <c r="AT25" s="69">
        <f t="shared" si="10"/>
        <v>19378.490000000002</v>
      </c>
      <c r="AU25" s="69">
        <f t="shared" si="10"/>
        <v>18493.010999999999</v>
      </c>
      <c r="AV25" s="69">
        <f t="shared" si="10"/>
        <v>17000.559000000001</v>
      </c>
      <c r="AW25" s="69"/>
      <c r="AX25" s="126"/>
      <c r="AY25" s="47"/>
      <c r="AZ25" s="48"/>
      <c r="BA25" s="45"/>
      <c r="BB25" s="45"/>
      <c r="BC25" s="45"/>
    </row>
    <row r="26" spans="1:55" ht="18" customHeight="1">
      <c r="A26" s="18" t="s">
        <v>108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70">
        <f t="shared" ref="Y26:AS26" si="12">SUM(Y22:Y25)</f>
        <v>2791300</v>
      </c>
      <c r="Z26" s="70">
        <f t="shared" si="12"/>
        <v>3177898</v>
      </c>
      <c r="AA26" s="70">
        <f t="shared" si="12"/>
        <v>3210581.9999999995</v>
      </c>
      <c r="AB26" s="70">
        <f t="shared" si="12"/>
        <v>3502244</v>
      </c>
      <c r="AC26" s="70">
        <f t="shared" si="12"/>
        <v>3417611</v>
      </c>
      <c r="AD26" s="70">
        <f t="shared" si="12"/>
        <v>3375606.0000000005</v>
      </c>
      <c r="AE26" s="70">
        <f t="shared" si="12"/>
        <v>3472068.0000000005</v>
      </c>
      <c r="AF26" s="70">
        <f t="shared" si="12"/>
        <v>3108705.9999999995</v>
      </c>
      <c r="AG26" s="70">
        <f t="shared" si="12"/>
        <v>3911493</v>
      </c>
      <c r="AH26" s="70">
        <f t="shared" si="12"/>
        <v>3933979</v>
      </c>
      <c r="AI26" s="70">
        <f t="shared" si="12"/>
        <v>3548912</v>
      </c>
      <c r="AJ26" s="70">
        <f t="shared" si="12"/>
        <v>3421695</v>
      </c>
      <c r="AK26" s="70">
        <f t="shared" si="12"/>
        <v>3476511</v>
      </c>
      <c r="AL26" s="70">
        <f t="shared" si="12"/>
        <v>3355037</v>
      </c>
      <c r="AM26" s="70">
        <f t="shared" si="12"/>
        <v>3404840</v>
      </c>
      <c r="AN26" s="70">
        <f t="shared" si="12"/>
        <v>3057649.9999999995</v>
      </c>
      <c r="AO26" s="70">
        <f t="shared" si="12"/>
        <v>2782038</v>
      </c>
      <c r="AP26" s="70">
        <f t="shared" si="12"/>
        <v>2749237</v>
      </c>
      <c r="AQ26" s="70">
        <f t="shared" si="12"/>
        <v>2832982</v>
      </c>
      <c r="AR26" s="70">
        <f t="shared" si="12"/>
        <v>2672805.0000000005</v>
      </c>
      <c r="AS26" s="70">
        <f t="shared" si="12"/>
        <v>2797906</v>
      </c>
      <c r="AT26" s="70">
        <f t="shared" ref="AT26:AV26" si="13">SUM(AT22:AT25)</f>
        <v>3007254.6380000003</v>
      </c>
      <c r="AU26" s="70">
        <f t="shared" si="13"/>
        <v>3201189.4210000001</v>
      </c>
      <c r="AV26" s="70">
        <f t="shared" si="13"/>
        <v>3347921.6889999998</v>
      </c>
      <c r="AW26" s="70"/>
      <c r="AX26" s="126"/>
      <c r="AY26" s="47">
        <f>(AV26-AU26)/AU26</f>
        <v>4.5836796484902444E-2</v>
      </c>
      <c r="AZ26" s="45"/>
      <c r="BA26" s="45"/>
      <c r="BB26" s="45"/>
      <c r="BC26" s="45"/>
    </row>
    <row r="27" spans="1:55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02"/>
      <c r="AU27" s="94"/>
      <c r="AV27" s="94"/>
      <c r="AW27" s="94"/>
      <c r="AX27" s="126"/>
      <c r="AY27" s="47"/>
      <c r="AZ27" s="45"/>
      <c r="BA27" s="45"/>
      <c r="BB27" s="45"/>
      <c r="BC27" s="45"/>
    </row>
    <row r="28" spans="1:55" ht="18" customHeight="1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02"/>
      <c r="Z28" s="68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32"/>
      <c r="AT28" s="133"/>
      <c r="AU28" s="133"/>
      <c r="AV28" s="133"/>
      <c r="AW28" s="126"/>
      <c r="AX28" s="126"/>
      <c r="AY28" s="45"/>
      <c r="AZ28" s="45"/>
      <c r="BA28" s="45"/>
      <c r="BB28" s="45"/>
      <c r="BC28" s="45"/>
    </row>
    <row r="29" spans="1:55" ht="18" customHeight="1">
      <c r="A29" s="5" t="s">
        <v>110</v>
      </c>
      <c r="B29" s="17">
        <f>'[2]mill lbs.'!O18/2.2046</f>
        <v>271.52249708529808</v>
      </c>
      <c r="C29" s="17">
        <f>'[2]mill lbs.'!P18/2.2046</f>
        <v>267.72805572560861</v>
      </c>
      <c r="D29" s="17">
        <f>'[2]mill lbs.'!Q18/2.2046</f>
        <v>277.37458042275239</v>
      </c>
      <c r="E29" s="17">
        <f>'[2]mill lbs.'!R18/2.2046</f>
        <v>287.53515376939123</v>
      </c>
      <c r="F29" s="17">
        <f>'[2]mill lbs.'!S18/2.2046</f>
        <v>287.53515376939123</v>
      </c>
      <c r="G29" s="17">
        <f>'[2]mill lbs.'!T18/2.2046</f>
        <v>293.70407330127915</v>
      </c>
      <c r="H29" s="17">
        <f>'[2]mill lbs.'!U18/2.2046</f>
        <v>304.45432277964255</v>
      </c>
      <c r="I29" s="17">
        <f>'[2]mill lbs.'!V18/2.2046</f>
        <v>303.09353170643203</v>
      </c>
      <c r="J29" s="17">
        <f>'[2]mill lbs.'!W18/2.2046</f>
        <v>302.0048988478635</v>
      </c>
      <c r="K29" s="17">
        <f>'[2]mill lbs.'!X18/2.2046</f>
        <v>296.01741812573709</v>
      </c>
      <c r="L29" s="17">
        <f>'[2]mill lbs.'!Y18/2.2046</f>
        <v>300.64410777465298</v>
      </c>
      <c r="M29" s="17">
        <f>'[2]mill lbs.'!Z18/2.2046</f>
        <v>298.73900027215819</v>
      </c>
      <c r="N29" s="17">
        <f>'[2]mill lbs.'!AA18/2.2046</f>
        <v>306.81302730654085</v>
      </c>
      <c r="O29" s="17">
        <f>'[2]mill lbs.'!AB18/2.2046</f>
        <v>307.1305452236233</v>
      </c>
      <c r="P29" s="17">
        <f>'[2]mill lbs.'!AC18/2.2046</f>
        <v>310.80468112129182</v>
      </c>
      <c r="Q29" s="17">
        <f>'[2]mill lbs.'!AD18/2.2046</f>
        <v>317.3818379751429</v>
      </c>
      <c r="R29" s="17">
        <f>'[2]mill lbs.'!AE18/2.2046</f>
        <v>315.56744987752882</v>
      </c>
      <c r="S29" s="17">
        <f>'[2]mill lbs.'!AF18/2.2046</f>
        <v>320.23949922888505</v>
      </c>
      <c r="T29" s="17">
        <f>'[2]mill lbs.'!AG18/2.2046</f>
        <v>327.99600834618525</v>
      </c>
      <c r="U29" s="17">
        <f>'[2]mill lbs.'!AH18/2.2046</f>
        <v>328.99392179987296</v>
      </c>
      <c r="V29" s="17">
        <f>'[2]mill lbs.'!AI18/2.2046</f>
        <v>330.17327406332214</v>
      </c>
      <c r="W29" s="17">
        <f>'[2]mill lbs.'!AJ18/2.2046</f>
        <v>344.96053705887687</v>
      </c>
      <c r="X29" s="17">
        <f>'[2]mill lbs.'!AK18/2.2046</f>
        <v>348.13571622970153</v>
      </c>
      <c r="Y29" s="126">
        <v>342.91935044906103</v>
      </c>
      <c r="Z29" s="126">
        <v>347.0017236686927</v>
      </c>
      <c r="AA29" s="126">
        <v>358.79524630318423</v>
      </c>
      <c r="AB29" s="126">
        <v>361.06323142520182</v>
      </c>
      <c r="AC29" s="126">
        <v>368.77438084006167</v>
      </c>
      <c r="AD29" s="126">
        <v>372.40315703528984</v>
      </c>
      <c r="AE29" s="134">
        <v>377.39272430372853</v>
      </c>
      <c r="AF29" s="126">
        <v>378.75351537693911</v>
      </c>
      <c r="AG29" s="126">
        <v>378.2999183525356</v>
      </c>
      <c r="AH29" s="126">
        <v>375.12473918171094</v>
      </c>
      <c r="AI29" s="126">
        <v>381.4750975233602</v>
      </c>
      <c r="AJ29" s="126">
        <v>381</v>
      </c>
      <c r="AK29" s="69">
        <v>381.92869454776377</v>
      </c>
      <c r="AL29" s="69">
        <v>383.74308264537785</v>
      </c>
      <c r="AM29" s="69">
        <f>849/2.2046</f>
        <v>385.10387371858837</v>
      </c>
      <c r="AN29" s="126">
        <f>856/2.2046</f>
        <v>388.27905288941304</v>
      </c>
      <c r="AO29" s="126">
        <v>398.25818742629048</v>
      </c>
      <c r="AP29" s="49">
        <v>396.44379932867639</v>
      </c>
      <c r="AQ29" s="49">
        <f>285/0.73</f>
        <v>390.41095890410958</v>
      </c>
      <c r="AR29" s="49">
        <f>296/0.73</f>
        <v>405.47945205479454</v>
      </c>
      <c r="AS29" s="108">
        <v>416.85566542683478</v>
      </c>
      <c r="AT29" s="105">
        <v>405.5</v>
      </c>
      <c r="AU29" s="126">
        <f>896/2.2046</f>
        <v>406.42293386555383</v>
      </c>
      <c r="AV29" s="126">
        <v>412</v>
      </c>
      <c r="AW29" s="94">
        <f>(AV29-AU29)/AU29</f>
        <v>1.3722321428571459E-2</v>
      </c>
      <c r="AX29" s="49"/>
      <c r="AY29" s="50">
        <f>AV29*2.2046</f>
        <v>908.29520000000002</v>
      </c>
      <c r="AZ29" s="45"/>
      <c r="BA29" s="45"/>
      <c r="BB29" s="45"/>
      <c r="BC29" s="45"/>
    </row>
    <row r="30" spans="1:55" ht="18" customHeight="1">
      <c r="A30" s="5" t="s">
        <v>102</v>
      </c>
      <c r="B30" s="17">
        <f>'[2]mill lbs.'!O19/2.2046</f>
        <v>238.11763060889365</v>
      </c>
      <c r="C30" s="17">
        <f>'[2]mill lbs.'!P19/2.2046</f>
        <v>234.37233407712145</v>
      </c>
      <c r="D30" s="17">
        <f>'[2]mill lbs.'!Q19/2.2046</f>
        <v>215.594665698993</v>
      </c>
      <c r="E30" s="17">
        <f>'[2]mill lbs.'!R19/2.2046</f>
        <v>229.1118570262179</v>
      </c>
      <c r="F30" s="17">
        <f>'[2]mill lbs.'!S19/2.2046</f>
        <v>225.52844053343009</v>
      </c>
      <c r="G30" s="17">
        <f>'[2]mill lbs.'!T19/2.2046</f>
        <v>237.23124376304091</v>
      </c>
      <c r="H30" s="17">
        <f>'[2]mill lbs.'!U19/2.2046</f>
        <v>247.34645740723937</v>
      </c>
      <c r="I30" s="17">
        <f>'[2]mill lbs.'!V19/2.2046</f>
        <v>248.25365145604641</v>
      </c>
      <c r="J30" s="17">
        <f>'[2]mill lbs.'!W19/2.2046</f>
        <v>245.89494692914815</v>
      </c>
      <c r="K30" s="17">
        <f>'[2]mill lbs.'!X19/2.2046</f>
        <v>242.5836886510024</v>
      </c>
      <c r="L30" s="17">
        <f>'[2]mill lbs.'!Y19/2.2046</f>
        <v>247.84541413408326</v>
      </c>
      <c r="M30" s="17">
        <f>'[2]mill lbs.'!Z19/2.2046</f>
        <v>248.43509026580787</v>
      </c>
      <c r="N30" s="17">
        <f>'[2]mill lbs.'!AA19/2.2046</f>
        <v>256.6905561099519</v>
      </c>
      <c r="O30" s="17">
        <f>'[2]mill lbs.'!AB19/2.2046</f>
        <v>261.77084278327135</v>
      </c>
      <c r="P30" s="17">
        <f>'[2]mill lbs.'!AC19/2.2046</f>
        <v>267.3500861834346</v>
      </c>
      <c r="Q30" s="17">
        <f>'[2]mill lbs.'!AD19/2.2046</f>
        <v>276.46738637394537</v>
      </c>
      <c r="R30" s="17">
        <f>'[2]mill lbs.'!AE19/2.2046</f>
        <v>275.96842964710152</v>
      </c>
      <c r="S30" s="17">
        <f>'[2]mill lbs.'!AF19/2.2046</f>
        <v>283.45278054975955</v>
      </c>
      <c r="T30" s="17">
        <f>'[2]mill lbs.'!AG19/2.2046</f>
        <v>291.88968520366507</v>
      </c>
      <c r="U30" s="17">
        <f>'[2]mill lbs.'!AH19/2.2046</f>
        <v>295.29166288669143</v>
      </c>
      <c r="V30" s="17">
        <f>'[2]mill lbs.'!AI19/2.2046</f>
        <v>301.09770479905649</v>
      </c>
      <c r="W30" s="17">
        <f>'[2]mill lbs.'!AJ19/2.2046</f>
        <v>313.20874535063047</v>
      </c>
      <c r="X30" s="17">
        <f>'[2]mill lbs.'!AK19/2.2046</f>
        <v>316.74680214097793</v>
      </c>
      <c r="Y30" s="126">
        <v>311.16755874081463</v>
      </c>
      <c r="Z30" s="126">
        <v>317.97151410686746</v>
      </c>
      <c r="AA30" s="126">
        <v>331.57942483897301</v>
      </c>
      <c r="AB30" s="126">
        <v>335.66179805860475</v>
      </c>
      <c r="AC30" s="126">
        <v>345.64093259548218</v>
      </c>
      <c r="AD30" s="126">
        <v>349.2697087907103</v>
      </c>
      <c r="AE30" s="134">
        <v>352.44488796153496</v>
      </c>
      <c r="AF30" s="126">
        <v>354.25927605914904</v>
      </c>
      <c r="AG30" s="126">
        <v>353.35208201034197</v>
      </c>
      <c r="AH30" s="126">
        <v>350.17690283951737</v>
      </c>
      <c r="AI30" s="126">
        <v>353.35208201034197</v>
      </c>
      <c r="AJ30" s="126">
        <v>355.16647010795606</v>
      </c>
      <c r="AK30" s="69">
        <v>358</v>
      </c>
      <c r="AL30" s="69">
        <v>356.98085820557014</v>
      </c>
      <c r="AM30" s="69">
        <f>786/2.2046</f>
        <v>356.52726118116664</v>
      </c>
      <c r="AN30" s="126">
        <f>784/2.2046</f>
        <v>355.62006713235957</v>
      </c>
      <c r="AO30" s="126">
        <v>371.49596298648277</v>
      </c>
      <c r="AP30" s="49">
        <v>368.32078381565816</v>
      </c>
      <c r="AQ30" s="49">
        <f>263/0.73</f>
        <v>360.27397260273972</v>
      </c>
      <c r="AR30" s="49">
        <f>273/0.73</f>
        <v>373.97260273972603</v>
      </c>
      <c r="AS30" s="108">
        <v>381.47509752336026</v>
      </c>
      <c r="AT30" s="68">
        <v>373.3</v>
      </c>
      <c r="AU30" s="126">
        <f>827/2.2046</f>
        <v>375.12473918171094</v>
      </c>
      <c r="AV30" s="126">
        <f>836/2.2046</f>
        <v>379.20711240134261</v>
      </c>
      <c r="AW30" s="94">
        <f t="shared" ref="AW30:AW33" si="14">(AV30-AU30)/AU30</f>
        <v>1.0882708585247879E-2</v>
      </c>
      <c r="AX30" s="49"/>
      <c r="AY30" s="50"/>
      <c r="AZ30" s="45"/>
      <c r="BA30" s="45"/>
      <c r="BB30" s="45"/>
      <c r="BC30" s="45"/>
    </row>
    <row r="31" spans="1:55" ht="18" customHeight="1">
      <c r="A31" s="5" t="s">
        <v>103</v>
      </c>
      <c r="B31" s="17">
        <f>'[2]mill lbs.'!O20/2.2046</f>
        <v>238.11763060889365</v>
      </c>
      <c r="C31" s="17">
        <f>'[2]mill lbs.'!P20/2.2046</f>
        <v>234.37233407712145</v>
      </c>
      <c r="D31" s="17">
        <f>'[2]mill lbs.'!Q20/2.2046</f>
        <v>233.01279143608818</v>
      </c>
      <c r="E31" s="17">
        <f>'[2]mill lbs.'!R20/2.2046</f>
        <v>239.18171096797602</v>
      </c>
      <c r="F31" s="17">
        <f>'[2]mill lbs.'!S20/2.2046</f>
        <v>235.00861834346367</v>
      </c>
      <c r="G31" s="17">
        <f>'[2]mill lbs.'!T20/2.2046</f>
        <v>245.89494692914815</v>
      </c>
      <c r="H31" s="17">
        <f>'[2]mill lbs.'!U20/2.2046</f>
        <v>257.46167105143792</v>
      </c>
      <c r="I31" s="17">
        <f>'[2]mill lbs.'!V20/2.2046</f>
        <v>258.82246212464844</v>
      </c>
      <c r="J31" s="17">
        <f>'[2]mill lbs.'!W20/2.2046</f>
        <v>253.78753515376937</v>
      </c>
      <c r="K31" s="17">
        <f>'[2]mill lbs.'!X20/2.2046</f>
        <v>251.29275151955002</v>
      </c>
      <c r="L31" s="17">
        <f>'[2]mill lbs.'!Y20/2.2046</f>
        <v>251.74634854395353</v>
      </c>
      <c r="M31" s="17">
        <f>'[2]mill lbs.'!Z20/2.2046</f>
        <v>251.02059330490789</v>
      </c>
      <c r="N31" s="17">
        <f>'[2]mill lbs.'!AA20/2.2046</f>
        <v>253.60609634400799</v>
      </c>
      <c r="O31" s="17">
        <f>'[2]mill lbs.'!AB20/2.2046</f>
        <v>261.8162024857117</v>
      </c>
      <c r="P31" s="17">
        <f>'[2]mill lbs.'!AC20/2.2046</f>
        <v>265.12746076385736</v>
      </c>
      <c r="Q31" s="17">
        <f>'[2]mill lbs.'!AD20/2.2046</f>
        <v>269.89022952009435</v>
      </c>
      <c r="R31" s="17">
        <f>'[2]mill lbs.'!AE20/2.2046</f>
        <v>269.61807130545219</v>
      </c>
      <c r="S31" s="17">
        <f>'[2]mill lbs.'!AF20/2.2046</f>
        <v>270.93350267622242</v>
      </c>
      <c r="T31" s="17">
        <f>'[2]mill lbs.'!AG20/2.2046</f>
        <v>273.29220720312071</v>
      </c>
      <c r="U31" s="17">
        <f>'[2]mill lbs.'!AH20/2.2046</f>
        <v>275.01587589585409</v>
      </c>
      <c r="V31" s="17">
        <f>'[2]mill lbs.'!AI20/2.2046</f>
        <v>280.91263721309986</v>
      </c>
      <c r="W31" s="17">
        <f>'[2]mill lbs.'!AJ20/2.2046</f>
        <v>286.17436269618071</v>
      </c>
      <c r="X31" s="17">
        <f>'[2]mill lbs.'!AK20/2.2046</f>
        <v>284.67749251564908</v>
      </c>
      <c r="Y31" s="126">
        <v>275.33339381293655</v>
      </c>
      <c r="Z31" s="126">
        <v>278.05497595935771</v>
      </c>
      <c r="AA31" s="126">
        <v>288.94130454504216</v>
      </c>
      <c r="AB31" s="126">
        <v>296.652453959902</v>
      </c>
      <c r="AC31" s="126">
        <v>310.26036469200761</v>
      </c>
      <c r="AD31" s="126">
        <v>314.7963349360428</v>
      </c>
      <c r="AE31" s="134">
        <v>319.33230518007798</v>
      </c>
      <c r="AF31" s="126">
        <v>318.42511113127097</v>
      </c>
      <c r="AG31" s="126">
        <v>298.9204390819196</v>
      </c>
      <c r="AH31" s="126">
        <v>300.73482717953368</v>
      </c>
      <c r="AI31" s="126">
        <v>304.36360337476185</v>
      </c>
      <c r="AJ31" s="126">
        <v>305.27079742356887</v>
      </c>
      <c r="AK31" s="69">
        <v>308</v>
      </c>
      <c r="AL31" s="69">
        <v>305.72439444797243</v>
      </c>
      <c r="AM31" s="69">
        <f>672/2.2046</f>
        <v>304.81720039916536</v>
      </c>
      <c r="AN31" s="126">
        <f>669/2.2046</f>
        <v>303.45640932595478</v>
      </c>
      <c r="AO31" s="126">
        <v>306.63158849677944</v>
      </c>
      <c r="AP31" s="49">
        <v>303.91000635035834</v>
      </c>
      <c r="AQ31" s="49">
        <f>226/0.73</f>
        <v>309.58904109589042</v>
      </c>
      <c r="AR31" s="49">
        <f>240/0.73</f>
        <v>328.76712328767127</v>
      </c>
      <c r="AS31" s="108">
        <v>338.83697722942935</v>
      </c>
      <c r="AT31" s="68">
        <v>331.6</v>
      </c>
      <c r="AU31" s="126">
        <f>728/2.2046</f>
        <v>330.21863376576249</v>
      </c>
      <c r="AV31" s="126">
        <f>727/2.2046</f>
        <v>329.76503674135898</v>
      </c>
      <c r="AW31" s="94">
        <f t="shared" si="14"/>
        <v>-1.3736263736263347E-3</v>
      </c>
      <c r="AX31" s="49"/>
      <c r="AY31" s="50"/>
      <c r="AZ31" s="45"/>
      <c r="BA31" s="45"/>
      <c r="BB31" s="45"/>
      <c r="BC31" s="45"/>
    </row>
    <row r="32" spans="1:55" ht="18" customHeight="1">
      <c r="A32" s="5" t="s">
        <v>104</v>
      </c>
      <c r="B32" s="17">
        <f>'[2]mill lbs.'!O21/2.2046</f>
        <v>346.06428981825883</v>
      </c>
      <c r="C32" s="17">
        <f>'[2]mill lbs.'!P21/2.2046</f>
        <v>340.62112552541657</v>
      </c>
      <c r="D32" s="17">
        <f>'[2]mill lbs.'!Q21/2.2046</f>
        <v>340.96888324412595</v>
      </c>
      <c r="E32" s="17">
        <f>'[2]mill lbs.'!R21/2.2046</f>
        <v>359.38492243490879</v>
      </c>
      <c r="F32" s="17">
        <f>'[2]mill lbs.'!S21/2.2046</f>
        <v>348.36251474190328</v>
      </c>
      <c r="G32" s="17">
        <f>'[2]mill lbs.'!T21/2.2046</f>
        <v>372.13099882064773</v>
      </c>
      <c r="H32" s="17">
        <f>'[2]mill lbs.'!U21/2.2046</f>
        <v>384.15131996734101</v>
      </c>
      <c r="I32" s="17">
        <f>'[2]mill lbs.'!V21/2.2046</f>
        <v>377.57416311348993</v>
      </c>
      <c r="J32" s="17">
        <f>'[2]mill lbs.'!W21/2.2046</f>
        <v>353.57888052254373</v>
      </c>
      <c r="K32" s="17">
        <f>'[2]mill lbs.'!X21/2.2046</f>
        <v>350.94801778100339</v>
      </c>
      <c r="L32" s="17">
        <f>'[2]mill lbs.'!Y21/2.2046</f>
        <v>359.11276422026674</v>
      </c>
      <c r="M32" s="17">
        <f>'[2]mill lbs.'!Z21/2.2046</f>
        <v>378.93495418670051</v>
      </c>
      <c r="N32" s="17">
        <f>'[2]mill lbs.'!AA21/2.2046</f>
        <v>384.1059602649006</v>
      </c>
      <c r="O32" s="17">
        <f>'[2]mill lbs.'!AB21/2.2046</f>
        <v>389.68520366506397</v>
      </c>
      <c r="P32" s="17">
        <f>'[2]mill lbs.'!AC21/2.2046</f>
        <v>404.56318606549939</v>
      </c>
      <c r="Q32" s="17">
        <f>'[2]mill lbs.'!AD21/2.2046</f>
        <v>412.31969518279959</v>
      </c>
      <c r="R32" s="17">
        <f>'[2]mill lbs.'!AE21/2.2046</f>
        <v>414.67839970969789</v>
      </c>
      <c r="S32" s="17">
        <f>'[2]mill lbs.'!AF21/2.2046</f>
        <v>421.16483715866821</v>
      </c>
      <c r="T32" s="17">
        <f>'[2]mill lbs.'!AG21/2.2046</f>
        <v>397.84995010432732</v>
      </c>
      <c r="U32" s="17">
        <f>'[2]mill lbs.'!AH21/2.2046</f>
        <v>395.99020230427288</v>
      </c>
      <c r="V32" s="17">
        <f>'[2]mill lbs.'!AI21/2.2046</f>
        <v>401.16120838247298</v>
      </c>
      <c r="W32" s="17">
        <f>'[2]mill lbs.'!AJ21/2.2046</f>
        <v>389.54912455774286</v>
      </c>
      <c r="X32" s="17">
        <f>'[2]mill lbs.'!AK21/2.2046</f>
        <v>404.24566814841694</v>
      </c>
      <c r="Y32" s="69">
        <f>'[2]mill lbs.'!AK$21/2.2046</f>
        <v>404.24566814841694</v>
      </c>
      <c r="Z32" s="69">
        <f>'[2]mill lbs.'!AL$21/2.2046</f>
        <v>383.28948562097429</v>
      </c>
      <c r="AA32" s="126">
        <v>400.52617254830807</v>
      </c>
      <c r="AB32" s="126">
        <v>411.86609815839608</v>
      </c>
      <c r="AC32" s="126">
        <v>417.76285947564179</v>
      </c>
      <c r="AD32" s="126">
        <v>413.68048625601011</v>
      </c>
      <c r="AE32" s="134">
        <v>414.13408328041368</v>
      </c>
      <c r="AF32" s="126">
        <v>447.2466660618706</v>
      </c>
      <c r="AG32" s="126">
        <v>460.4009797695727</v>
      </c>
      <c r="AH32" s="126">
        <v>470.83371133085365</v>
      </c>
      <c r="AI32" s="126">
        <v>466.29774108681846</v>
      </c>
      <c r="AJ32" s="126">
        <v>463.1225619159938</v>
      </c>
      <c r="AK32" s="69">
        <v>454</v>
      </c>
      <c r="AL32" s="69">
        <v>432.27796425655447</v>
      </c>
      <c r="AM32" s="69">
        <f>1010/2.2046</f>
        <v>458.13299464755511</v>
      </c>
      <c r="AN32" s="126">
        <f>996/2.2046</f>
        <v>451.78263630590578</v>
      </c>
      <c r="AO32" s="126">
        <v>452.23623333030935</v>
      </c>
      <c r="AP32" s="49">
        <v>394.1758142066588</v>
      </c>
      <c r="AQ32" s="49">
        <f>307/0.73</f>
        <v>420.54794520547944</v>
      </c>
      <c r="AR32" s="49">
        <f>332/0.73</f>
        <v>454.79452054794524</v>
      </c>
      <c r="AS32" s="108">
        <v>460.85457679397621</v>
      </c>
      <c r="AT32" s="68">
        <v>464</v>
      </c>
      <c r="AU32" s="126">
        <f>971/2.2046</f>
        <v>440.44271069581782</v>
      </c>
      <c r="AV32" s="126">
        <f>957/2.2046</f>
        <v>434.09235235416855</v>
      </c>
      <c r="AW32" s="94">
        <f t="shared" si="14"/>
        <v>-1.4418125643666301E-2</v>
      </c>
      <c r="AX32" s="49"/>
      <c r="AY32" s="45"/>
      <c r="AZ32" s="45"/>
      <c r="BA32" s="45"/>
      <c r="BB32" s="45"/>
      <c r="BC32" s="45"/>
    </row>
    <row r="33" spans="1:56" ht="18" customHeight="1">
      <c r="A33" s="18" t="s">
        <v>111</v>
      </c>
      <c r="B33" s="42">
        <f>'[2]mill lbs.'!O22/2.2046</f>
        <v>259.54821736369411</v>
      </c>
      <c r="C33" s="42">
        <f>'[2]mill lbs.'!P22/2.2046</f>
        <v>255.46584414406243</v>
      </c>
      <c r="D33" s="42">
        <f>'[2]mill lbs.'!Q22/2.2046</f>
        <v>252.03628425148975</v>
      </c>
      <c r="E33" s="42">
        <f>'[2]mill lbs.'!R22/2.2046</f>
        <v>261.76417554550358</v>
      </c>
      <c r="F33" s="42">
        <f>'[2]mill lbs.'!S22/2.2046</f>
        <v>258.53719515004565</v>
      </c>
      <c r="G33" s="42">
        <f>'[2]mill lbs.'!T22/2.2046</f>
        <v>268.21947276995405</v>
      </c>
      <c r="H33" s="42">
        <f>'[2]mill lbs.'!U22/2.2046</f>
        <v>280.63783157589455</v>
      </c>
      <c r="I33" s="42">
        <f>'[2]mill lbs.'!V22/2.2046</f>
        <v>280.02203174220097</v>
      </c>
      <c r="J33" s="42">
        <f>'[2]mill lbs.'!W22/2.2046</f>
        <v>277.86319207388516</v>
      </c>
      <c r="K33" s="42">
        <f>'[2]mill lbs.'!X22/2.2046</f>
        <v>271.86772138131175</v>
      </c>
      <c r="L33" s="42">
        <f>'[2]mill lbs.'!Y22/2.2046</f>
        <v>275.47207554973647</v>
      </c>
      <c r="M33" s="42">
        <f>'[2]mill lbs.'!Z22/2.2046</f>
        <v>274.45422143112893</v>
      </c>
      <c r="N33" s="42">
        <f>'[2]mill lbs.'!AA22/2.2046</f>
        <v>280.55765757190602</v>
      </c>
      <c r="O33" s="42">
        <f>'[2]mill lbs.'!AB22/2.2046</f>
        <v>285.18746290252335</v>
      </c>
      <c r="P33" s="42">
        <f>'[2]mill lbs.'!AC22/2.2046</f>
        <v>290.51110015459443</v>
      </c>
      <c r="Q33" s="42">
        <f>'[2]mill lbs.'!AD22/2.2046</f>
        <v>297.68589763539046</v>
      </c>
      <c r="R33" s="42">
        <f>'[2]mill lbs.'!AE22/2.2046</f>
        <v>296.33892256862924</v>
      </c>
      <c r="S33" s="42">
        <f>'[2]mill lbs.'!AF22/2.2046</f>
        <v>301.64292232089355</v>
      </c>
      <c r="T33" s="42">
        <f>'[2]mill lbs.'!AG22/2.2046</f>
        <v>308.04115012526341</v>
      </c>
      <c r="U33" s="42">
        <f>'[2]mill lbs.'!AH22/2.2046</f>
        <v>310.13672372245804</v>
      </c>
      <c r="V33" s="42">
        <f>'[2]mill lbs.'!AI22/2.2046</f>
        <v>313.67954250953284</v>
      </c>
      <c r="W33" s="42">
        <f>'[2]mill lbs.'!AJ22/2.2046</f>
        <v>326.24646029644157</v>
      </c>
      <c r="X33" s="42">
        <f>'[2]mill lbs.'!AK22/2.2046</f>
        <v>329.00940801208327</v>
      </c>
      <c r="Y33" s="79">
        <f t="shared" ref="Y33:AV33" si="15">((Y10*Y29)+(Y11*Y30)+(Y12*Y31)+(Y13*Y32))/Y14</f>
        <v>323.01176829972746</v>
      </c>
      <c r="Z33" s="79">
        <f t="shared" si="15"/>
        <v>324.84179848850488</v>
      </c>
      <c r="AA33" s="79">
        <f t="shared" si="15"/>
        <v>338.16750863898523</v>
      </c>
      <c r="AB33" s="79">
        <f t="shared" si="15"/>
        <v>342.88560158231422</v>
      </c>
      <c r="AC33" s="79">
        <f t="shared" si="15"/>
        <v>352.88145958236828</v>
      </c>
      <c r="AD33" s="79">
        <f t="shared" si="15"/>
        <v>356.11183855059005</v>
      </c>
      <c r="AE33" s="79">
        <f t="shared" si="15"/>
        <v>360.30684894964543</v>
      </c>
      <c r="AF33" s="79">
        <f t="shared" si="15"/>
        <v>364.01422688299397</v>
      </c>
      <c r="AG33" s="79">
        <f t="shared" si="15"/>
        <v>361.20778242094809</v>
      </c>
      <c r="AH33" s="79">
        <f t="shared" si="15"/>
        <v>356.71683817058863</v>
      </c>
      <c r="AI33" s="79">
        <f t="shared" si="15"/>
        <v>357.86176870852159</v>
      </c>
      <c r="AJ33" s="79">
        <f t="shared" si="15"/>
        <v>357.8151125262815</v>
      </c>
      <c r="AK33" s="79">
        <f t="shared" si="15"/>
        <v>358.01091236180105</v>
      </c>
      <c r="AL33" s="79">
        <f t="shared" si="15"/>
        <v>360.48663064688031</v>
      </c>
      <c r="AM33" s="79">
        <f t="shared" si="15"/>
        <v>361.9746152667434</v>
      </c>
      <c r="AN33" s="79">
        <f t="shared" si="15"/>
        <v>363.72301751953836</v>
      </c>
      <c r="AO33" s="79">
        <f t="shared" si="15"/>
        <v>375.56237056115924</v>
      </c>
      <c r="AP33" s="79">
        <f t="shared" si="15"/>
        <v>371.62515750391771</v>
      </c>
      <c r="AQ33" s="79">
        <f t="shared" si="15"/>
        <v>368.577595165959</v>
      </c>
      <c r="AR33" s="79">
        <f t="shared" si="15"/>
        <v>385.60346431044263</v>
      </c>
      <c r="AS33" s="79">
        <f t="shared" si="15"/>
        <v>395.1543088958789</v>
      </c>
      <c r="AT33" s="79">
        <f t="shared" si="15"/>
        <v>384.39890011615302</v>
      </c>
      <c r="AU33" s="79">
        <f t="shared" si="15"/>
        <v>384.58727429164367</v>
      </c>
      <c r="AV33" s="79">
        <f t="shared" si="15"/>
        <v>389.35545741282397</v>
      </c>
      <c r="AW33" s="94">
        <f t="shared" si="14"/>
        <v>1.2398182259053243E-2</v>
      </c>
      <c r="AX33" s="49"/>
      <c r="AY33" s="45"/>
      <c r="AZ33" s="45"/>
      <c r="BA33" s="45"/>
      <c r="BB33" s="45"/>
      <c r="BC33" s="45"/>
    </row>
    <row r="34" spans="1:56" ht="18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02"/>
      <c r="AU34" s="106"/>
      <c r="AV34" s="106"/>
      <c r="AW34" s="106"/>
      <c r="AX34" s="49"/>
      <c r="AY34" s="45"/>
      <c r="AZ34" s="45"/>
      <c r="BA34" s="45"/>
      <c r="BB34" s="45"/>
      <c r="BC34" s="45"/>
    </row>
    <row r="35" spans="1:56" ht="18" customHeight="1">
      <c r="A35" s="19" t="s">
        <v>29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72"/>
      <c r="Z35" s="72"/>
      <c r="AA35" s="72"/>
      <c r="AB35" s="72"/>
      <c r="AC35" s="72"/>
      <c r="AD35" s="72"/>
      <c r="AE35" s="135"/>
      <c r="AF35" s="72"/>
      <c r="AG35" s="72"/>
      <c r="AH35" s="72"/>
      <c r="AI35" s="72"/>
      <c r="AJ35" s="72"/>
      <c r="AK35" s="135"/>
      <c r="AL35" s="68"/>
      <c r="AM35" s="72"/>
      <c r="AN35" s="72"/>
      <c r="AO35" s="72"/>
      <c r="AP35" s="72"/>
      <c r="AQ35" s="72"/>
      <c r="AR35" s="72"/>
      <c r="AS35" s="72"/>
      <c r="AT35" s="102"/>
      <c r="AU35" s="72"/>
      <c r="AV35" s="72"/>
      <c r="AW35" s="72"/>
      <c r="AX35" s="72"/>
      <c r="AY35" s="45"/>
      <c r="AZ35" s="45"/>
      <c r="BA35" s="45"/>
      <c r="BB35" s="45"/>
      <c r="BC35" s="45"/>
    </row>
    <row r="36" spans="1:56" ht="18" customHeight="1">
      <c r="A36" s="5" t="s">
        <v>28</v>
      </c>
      <c r="B36" s="17">
        <f t="shared" ref="B36:X40" si="16">(B10*B29)/1000</f>
        <v>538026.46696436696</v>
      </c>
      <c r="C36" s="17">
        <f t="shared" si="16"/>
        <v>543633.88809031609</v>
      </c>
      <c r="D36" s="17">
        <f t="shared" si="16"/>
        <v>564737.73761407356</v>
      </c>
      <c r="E36" s="17">
        <f t="shared" si="16"/>
        <v>626524.59087466367</v>
      </c>
      <c r="F36" s="17">
        <f t="shared" si="16"/>
        <v>590714.38976123603</v>
      </c>
      <c r="G36" s="17">
        <f t="shared" si="16"/>
        <v>564454.59388285503</v>
      </c>
      <c r="H36" s="17">
        <f t="shared" si="16"/>
        <v>539171.02060918428</v>
      </c>
      <c r="I36" s="17">
        <f t="shared" si="16"/>
        <v>534426.31443955936</v>
      </c>
      <c r="J36" s="17">
        <f t="shared" si="16"/>
        <v>563464.17156001064</v>
      </c>
      <c r="K36" s="17">
        <f t="shared" si="16"/>
        <v>532959.51666122093</v>
      </c>
      <c r="L36" s="17">
        <f t="shared" si="16"/>
        <v>529192.12661725399</v>
      </c>
      <c r="M36" s="17">
        <f t="shared" si="16"/>
        <v>491658.37407224037</v>
      </c>
      <c r="N36" s="17">
        <f t="shared" si="16"/>
        <v>497140.67595940619</v>
      </c>
      <c r="O36" s="17">
        <f t="shared" si="16"/>
        <v>504257.64744632528</v>
      </c>
      <c r="P36" s="17">
        <f t="shared" si="16"/>
        <v>487751.33048003743</v>
      </c>
      <c r="Q36" s="17">
        <f t="shared" si="16"/>
        <v>488124.07343700103</v>
      </c>
      <c r="R36" s="17">
        <f t="shared" si="16"/>
        <v>484276.27514946298</v>
      </c>
      <c r="S36" s="17">
        <f t="shared" si="16"/>
        <v>471343.49800134666</v>
      </c>
      <c r="T36" s="17">
        <f t="shared" si="16"/>
        <v>462974.89452814608</v>
      </c>
      <c r="U36" s="17">
        <f t="shared" si="16"/>
        <v>485953.17753252754</v>
      </c>
      <c r="V36" s="17">
        <f t="shared" si="16"/>
        <v>461134.62337891175</v>
      </c>
      <c r="W36" s="17">
        <f t="shared" si="16"/>
        <v>504508.8422679003</v>
      </c>
      <c r="X36" s="17">
        <f t="shared" si="16"/>
        <v>523155.08442912006</v>
      </c>
      <c r="Y36" s="76">
        <f t="shared" ref="Y36:AN39" si="17">(Y22*Y29)/1000000</f>
        <v>515.31627860379763</v>
      </c>
      <c r="Z36" s="76">
        <f t="shared" si="17"/>
        <v>538.52470796652983</v>
      </c>
      <c r="AA36" s="76">
        <f t="shared" si="17"/>
        <v>566.24182933194038</v>
      </c>
      <c r="AB36" s="76">
        <f t="shared" si="17"/>
        <v>622.63067296427801</v>
      </c>
      <c r="AC36" s="76">
        <f t="shared" si="17"/>
        <v>644.6705566556077</v>
      </c>
      <c r="AD36" s="76">
        <f t="shared" si="17"/>
        <v>636.28551508413329</v>
      </c>
      <c r="AE36" s="76">
        <f>(AE22*AE29)/1000000</f>
        <v>665.37773861824951</v>
      </c>
      <c r="AF36" s="76">
        <f t="shared" ref="AF36:AV39" si="18">(AF22*AF29)/1000000</f>
        <v>641.28807598526487</v>
      </c>
      <c r="AG36" s="76">
        <f t="shared" si="18"/>
        <v>767.27135871267024</v>
      </c>
      <c r="AH36" s="76">
        <f t="shared" si="18"/>
        <v>730.86545403654418</v>
      </c>
      <c r="AI36" s="76">
        <f t="shared" si="18"/>
        <v>625.11871761313057</v>
      </c>
      <c r="AJ36" s="76">
        <f t="shared" si="18"/>
        <v>594.7291543425024</v>
      </c>
      <c r="AK36" s="76">
        <f t="shared" si="18"/>
        <v>607.43294605943925</v>
      </c>
      <c r="AL36" s="76">
        <f t="shared" si="18"/>
        <v>623.76660353739351</v>
      </c>
      <c r="AM36" s="76">
        <f t="shared" si="18"/>
        <v>631.08273394065168</v>
      </c>
      <c r="AN36" s="76">
        <f t="shared" si="18"/>
        <v>592.94082184301431</v>
      </c>
      <c r="AO36" s="76">
        <f t="shared" si="18"/>
        <v>574.77711536878542</v>
      </c>
      <c r="AP36" s="76">
        <f t="shared" si="18"/>
        <v>566.56731914608815</v>
      </c>
      <c r="AQ36" s="76">
        <f t="shared" si="18"/>
        <v>584.77799764308759</v>
      </c>
      <c r="AR36" s="76">
        <f t="shared" si="18"/>
        <v>606.36209833275939</v>
      </c>
      <c r="AS36" s="76">
        <f t="shared" si="18"/>
        <v>645.45536066458203</v>
      </c>
      <c r="AT36" s="126">
        <f t="shared" si="18"/>
        <v>646.52104174549993</v>
      </c>
      <c r="AU36" s="126">
        <f t="shared" si="18"/>
        <v>690.79395318152956</v>
      </c>
      <c r="AV36" s="126">
        <f t="shared" si="18"/>
        <v>750.11395651600003</v>
      </c>
      <c r="AW36" s="126"/>
      <c r="AX36" s="76"/>
      <c r="AY36" s="26">
        <f t="shared" ref="AY36:AY39" si="19">(AV36-AU36)/AU36</f>
        <v>8.5872209884388095E-2</v>
      </c>
    </row>
    <row r="37" spans="1:56" ht="18" customHeight="1">
      <c r="A37" s="5" t="s">
        <v>102</v>
      </c>
      <c r="B37" s="17">
        <f t="shared" si="16"/>
        <v>157413.93843891952</v>
      </c>
      <c r="C37" s="17">
        <f t="shared" si="16"/>
        <v>190003.96105390921</v>
      </c>
      <c r="D37" s="17">
        <f t="shared" si="16"/>
        <v>238351.67112351433</v>
      </c>
      <c r="E37" s="17">
        <f t="shared" si="16"/>
        <v>280038.85916412814</v>
      </c>
      <c r="F37" s="17">
        <f t="shared" si="16"/>
        <v>291988.67341804854</v>
      </c>
      <c r="G37" s="17">
        <f t="shared" si="16"/>
        <v>276109.10650192015</v>
      </c>
      <c r="H37" s="17">
        <f t="shared" si="16"/>
        <v>241402.00888892045</v>
      </c>
      <c r="I37" s="17">
        <f t="shared" si="16"/>
        <v>255544.74441030953</v>
      </c>
      <c r="J37" s="17">
        <f t="shared" si="16"/>
        <v>260979.84727496913</v>
      </c>
      <c r="K37" s="17">
        <f t="shared" si="16"/>
        <v>270772.39720122999</v>
      </c>
      <c r="L37" s="17">
        <f t="shared" si="16"/>
        <v>269331.42429141863</v>
      </c>
      <c r="M37" s="17">
        <f t="shared" si="16"/>
        <v>252980.1608189902</v>
      </c>
      <c r="N37" s="17">
        <f t="shared" si="16"/>
        <v>260137.88926773181</v>
      </c>
      <c r="O37" s="17">
        <f t="shared" si="16"/>
        <v>262594.27809075534</v>
      </c>
      <c r="P37" s="17">
        <f t="shared" si="16"/>
        <v>230831.55116551448</v>
      </c>
      <c r="Q37" s="17">
        <f t="shared" si="16"/>
        <v>238633.79605180936</v>
      </c>
      <c r="R37" s="17">
        <f t="shared" si="16"/>
        <v>227649.74362370296</v>
      </c>
      <c r="S37" s="17">
        <f t="shared" si="16"/>
        <v>222775.56057440944</v>
      </c>
      <c r="T37" s="17">
        <f t="shared" si="16"/>
        <v>199712.89121289842</v>
      </c>
      <c r="U37" s="17">
        <f t="shared" si="16"/>
        <v>214277.94823996423</v>
      </c>
      <c r="V37" s="17">
        <f t="shared" si="16"/>
        <v>217868.41188962854</v>
      </c>
      <c r="W37" s="17">
        <f t="shared" si="16"/>
        <v>227202.29400888793</v>
      </c>
      <c r="X37" s="17">
        <f t="shared" si="16"/>
        <v>231518.6979946864</v>
      </c>
      <c r="Y37" s="76">
        <f t="shared" si="17"/>
        <v>227.44067997186718</v>
      </c>
      <c r="Z37" s="76">
        <f t="shared" si="17"/>
        <v>309.96612069461889</v>
      </c>
      <c r="AA37" s="76">
        <f t="shared" si="17"/>
        <v>350.48793303864539</v>
      </c>
      <c r="AB37" s="76">
        <f t="shared" si="17"/>
        <v>408.28147314108213</v>
      </c>
      <c r="AC37" s="76">
        <f t="shared" si="17"/>
        <v>403.74968048841163</v>
      </c>
      <c r="AD37" s="76">
        <f t="shared" si="17"/>
        <v>403.09830000008134</v>
      </c>
      <c r="AE37" s="76">
        <f t="shared" si="17"/>
        <v>414.23799522208191</v>
      </c>
      <c r="AF37" s="76">
        <f t="shared" si="17"/>
        <v>371.45711832412536</v>
      </c>
      <c r="AG37" s="76">
        <f t="shared" si="17"/>
        <v>499.54433563795112</v>
      </c>
      <c r="AH37" s="76">
        <f t="shared" si="17"/>
        <v>472.43842849144835</v>
      </c>
      <c r="AI37" s="76">
        <f t="shared" si="17"/>
        <v>402.50354924873051</v>
      </c>
      <c r="AJ37" s="76">
        <f t="shared" si="17"/>
        <v>383.54442796729984</v>
      </c>
      <c r="AK37" s="76">
        <f t="shared" si="17"/>
        <v>380.22499405503828</v>
      </c>
      <c r="AL37" s="76">
        <f t="shared" si="17"/>
        <v>381.30098654504877</v>
      </c>
      <c r="AM37" s="76">
        <f t="shared" si="17"/>
        <v>401.82511800719942</v>
      </c>
      <c r="AN37" s="76">
        <f t="shared" si="17"/>
        <v>346.1932977234722</v>
      </c>
      <c r="AO37" s="76">
        <f t="shared" si="18"/>
        <v>328.66491739806099</v>
      </c>
      <c r="AP37" s="76">
        <f t="shared" si="18"/>
        <v>305.66323435275507</v>
      </c>
      <c r="AQ37" s="76">
        <f t="shared" si="18"/>
        <v>322.04307535511998</v>
      </c>
      <c r="AR37" s="76">
        <f t="shared" si="18"/>
        <v>296.2346615087007</v>
      </c>
      <c r="AS37" s="76">
        <f t="shared" si="18"/>
        <v>313.31873140420072</v>
      </c>
      <c r="AT37" s="126">
        <f t="shared" si="18"/>
        <v>343.66295184130001</v>
      </c>
      <c r="AU37" s="126">
        <f t="shared" si="18"/>
        <v>354.87552039054697</v>
      </c>
      <c r="AV37" s="126">
        <f t="shared" si="18"/>
        <v>368.20910124285581</v>
      </c>
      <c r="AW37" s="126"/>
      <c r="AX37" s="76"/>
      <c r="AY37" s="26">
        <f t="shared" si="19"/>
        <v>3.7572557379091667E-2</v>
      </c>
    </row>
    <row r="38" spans="1:56" ht="18" customHeight="1">
      <c r="A38" s="5" t="s">
        <v>103</v>
      </c>
      <c r="B38" s="17">
        <f t="shared" si="16"/>
        <v>173879.38101913227</v>
      </c>
      <c r="C38" s="17">
        <f t="shared" si="16"/>
        <v>173969.09462546025</v>
      </c>
      <c r="D38" s="17">
        <f t="shared" si="16"/>
        <v>234797.42947091817</v>
      </c>
      <c r="E38" s="17">
        <f t="shared" si="16"/>
        <v>241150.31995889364</v>
      </c>
      <c r="F38" s="17">
        <f t="shared" si="16"/>
        <v>225905.2698084462</v>
      </c>
      <c r="G38" s="17">
        <f t="shared" si="16"/>
        <v>208687.61383027979</v>
      </c>
      <c r="H38" s="17">
        <f t="shared" si="16"/>
        <v>164180.87152341582</v>
      </c>
      <c r="I38" s="17">
        <f t="shared" si="16"/>
        <v>173258.84645877258</v>
      </c>
      <c r="J38" s="17">
        <f t="shared" si="16"/>
        <v>175416.99028992921</v>
      </c>
      <c r="K38" s="17">
        <f t="shared" si="16"/>
        <v>200995.15452489787</v>
      </c>
      <c r="L38" s="17">
        <f t="shared" si="16"/>
        <v>202531.92016641871</v>
      </c>
      <c r="M38" s="17">
        <f t="shared" si="16"/>
        <v>211343.25369644311</v>
      </c>
      <c r="N38" s="17">
        <f t="shared" si="16"/>
        <v>230708.54100821889</v>
      </c>
      <c r="O38" s="17">
        <f t="shared" si="16"/>
        <v>211050.68202974778</v>
      </c>
      <c r="P38" s="17">
        <f t="shared" si="16"/>
        <v>187732.00806821429</v>
      </c>
      <c r="Q38" s="17">
        <f t="shared" si="16"/>
        <v>171529.05816338558</v>
      </c>
      <c r="R38" s="17">
        <f t="shared" si="16"/>
        <v>191100.63594891049</v>
      </c>
      <c r="S38" s="17">
        <f t="shared" si="16"/>
        <v>160286.25483264783</v>
      </c>
      <c r="T38" s="17">
        <f t="shared" si="16"/>
        <v>161767.49056868011</v>
      </c>
      <c r="U38" s="17">
        <f t="shared" si="16"/>
        <v>162194.35457886776</v>
      </c>
      <c r="V38" s="17">
        <f t="shared" si="16"/>
        <v>147967.10844796491</v>
      </c>
      <c r="W38" s="17">
        <f t="shared" si="16"/>
        <v>144126.67857994855</v>
      </c>
      <c r="X38" s="17">
        <f t="shared" si="16"/>
        <v>146979.89485867607</v>
      </c>
      <c r="Y38" s="76">
        <f t="shared" si="17"/>
        <v>142.15550697771889</v>
      </c>
      <c r="Z38" s="76">
        <f t="shared" si="17"/>
        <v>173.72996467652618</v>
      </c>
      <c r="AA38" s="76">
        <f t="shared" si="17"/>
        <v>159.17337120603889</v>
      </c>
      <c r="AB38" s="76">
        <f t="shared" si="17"/>
        <v>157.80781925705548</v>
      </c>
      <c r="AC38" s="76">
        <f t="shared" si="17"/>
        <v>149.65317462736104</v>
      </c>
      <c r="AD38" s="76">
        <f t="shared" si="17"/>
        <v>157.47209718163185</v>
      </c>
      <c r="AE38" s="76">
        <f t="shared" si="17"/>
        <v>167.10224502387806</v>
      </c>
      <c r="AF38" s="76">
        <f t="shared" si="17"/>
        <v>111.91010684371449</v>
      </c>
      <c r="AG38" s="76">
        <f t="shared" si="17"/>
        <v>129.83256201326492</v>
      </c>
      <c r="AH38" s="76">
        <f t="shared" si="17"/>
        <v>176.23047566742241</v>
      </c>
      <c r="AI38" s="76">
        <f t="shared" si="17"/>
        <v>220.23723990541563</v>
      </c>
      <c r="AJ38" s="76">
        <f t="shared" si="17"/>
        <v>223.47733907205844</v>
      </c>
      <c r="AK38" s="76">
        <f t="shared" si="17"/>
        <v>247.08051743551522</v>
      </c>
      <c r="AL38" s="76">
        <f t="shared" si="17"/>
        <v>196.98972015188451</v>
      </c>
      <c r="AM38" s="76">
        <f t="shared" si="17"/>
        <v>185.32400358957386</v>
      </c>
      <c r="AN38" s="76">
        <f t="shared" si="17"/>
        <v>160.93991215392268</v>
      </c>
      <c r="AO38" s="76">
        <f t="shared" si="18"/>
        <v>134.72734647832186</v>
      </c>
      <c r="AP38" s="76">
        <f t="shared" si="18"/>
        <v>147.40564271621915</v>
      </c>
      <c r="AQ38" s="76">
        <f t="shared" si="18"/>
        <v>134.51849102346983</v>
      </c>
      <c r="AR38" s="76">
        <f t="shared" si="18"/>
        <v>123.0418669958413</v>
      </c>
      <c r="AS38" s="76">
        <f t="shared" si="18"/>
        <v>140.23205067459975</v>
      </c>
      <c r="AT38" s="126">
        <f t="shared" si="18"/>
        <v>156.80976226960001</v>
      </c>
      <c r="AU38" s="126">
        <f t="shared" si="18"/>
        <v>177.32212844779099</v>
      </c>
      <c r="AV38" s="126">
        <f t="shared" si="18"/>
        <v>177.82871019640751</v>
      </c>
      <c r="AW38" s="126"/>
      <c r="AX38" s="76"/>
      <c r="AY38" s="26">
        <f t="shared" si="19"/>
        <v>2.8568445069487134E-3</v>
      </c>
    </row>
    <row r="39" spans="1:56" ht="18" customHeight="1">
      <c r="A39" s="5" t="s">
        <v>104</v>
      </c>
      <c r="B39" s="17">
        <f t="shared" si="16"/>
        <v>24356.635604252868</v>
      </c>
      <c r="C39" s="17">
        <f t="shared" si="16"/>
        <v>31434.406135059005</v>
      </c>
      <c r="D39" s="17">
        <f t="shared" si="16"/>
        <v>30167.323564031969</v>
      </c>
      <c r="E39" s="17">
        <f t="shared" si="16"/>
        <v>24021.208996651705</v>
      </c>
      <c r="F39" s="17">
        <f t="shared" si="16"/>
        <v>22414.334635173847</v>
      </c>
      <c r="G39" s="17">
        <f t="shared" si="16"/>
        <v>21614.930818986202</v>
      </c>
      <c r="H39" s="17">
        <f t="shared" si="16"/>
        <v>18900.285043786149</v>
      </c>
      <c r="I39" s="17">
        <f t="shared" si="16"/>
        <v>24043.772004836123</v>
      </c>
      <c r="J39" s="17">
        <f t="shared" si="16"/>
        <v>25815.391777423541</v>
      </c>
      <c r="K39" s="17">
        <f t="shared" si="16"/>
        <v>25135.046977198435</v>
      </c>
      <c r="L39" s="17">
        <f t="shared" si="16"/>
        <v>20615.362723771388</v>
      </c>
      <c r="M39" s="17">
        <f t="shared" si="16"/>
        <v>22694.519613589091</v>
      </c>
      <c r="N39" s="17">
        <f t="shared" si="16"/>
        <v>22862.1339962206</v>
      </c>
      <c r="O39" s="17">
        <f t="shared" si="16"/>
        <v>23504.649669091988</v>
      </c>
      <c r="P39" s="17">
        <f t="shared" si="16"/>
        <v>21722.819730085572</v>
      </c>
      <c r="Q39" s="17">
        <f t="shared" si="16"/>
        <v>20461.058219909944</v>
      </c>
      <c r="R39" s="17">
        <f t="shared" si="16"/>
        <v>21847.12261461564</v>
      </c>
      <c r="S39" s="17">
        <f t="shared" si="16"/>
        <v>17946.017943620191</v>
      </c>
      <c r="T39" s="17">
        <f t="shared" si="16"/>
        <v>15295.703046755783</v>
      </c>
      <c r="U39" s="17">
        <f t="shared" si="16"/>
        <v>16750.104057064651</v>
      </c>
      <c r="V39" s="17">
        <f t="shared" si="16"/>
        <v>15259.427921590604</v>
      </c>
      <c r="W39" s="17">
        <f t="shared" si="16"/>
        <v>13966.780955777942</v>
      </c>
      <c r="X39" s="17">
        <f t="shared" si="16"/>
        <v>16710.28330164549</v>
      </c>
      <c r="Y39" s="76">
        <f t="shared" si="17"/>
        <v>16.710283301645493</v>
      </c>
      <c r="Z39" s="76">
        <f t="shared" si="17"/>
        <v>10.093308395347854</v>
      </c>
      <c r="AA39" s="76">
        <f t="shared" si="17"/>
        <v>9.8113826445459527</v>
      </c>
      <c r="AB39" s="76">
        <f t="shared" si="17"/>
        <v>12.149075465635047</v>
      </c>
      <c r="AC39" s="76">
        <f t="shared" si="17"/>
        <v>7.9381461933768458</v>
      </c>
      <c r="AD39" s="76">
        <f t="shared" si="17"/>
        <v>5.2373466165567972</v>
      </c>
      <c r="AE39" s="76">
        <f t="shared" si="17"/>
        <v>4.2919015546879296</v>
      </c>
      <c r="AF39" s="76">
        <f t="shared" si="17"/>
        <v>6.9579100434199201</v>
      </c>
      <c r="AG39" s="76">
        <f t="shared" si="17"/>
        <v>16.213456121174996</v>
      </c>
      <c r="AH39" s="76">
        <f t="shared" si="17"/>
        <v>23.782192114079013</v>
      </c>
      <c r="AI39" s="76">
        <f t="shared" si="17"/>
        <v>22.16041854362016</v>
      </c>
      <c r="AJ39" s="76">
        <f t="shared" si="17"/>
        <v>22.583260073754239</v>
      </c>
      <c r="AK39" s="76">
        <f t="shared" si="17"/>
        <v>9.8904173958444748</v>
      </c>
      <c r="AL39" s="76">
        <f t="shared" si="17"/>
        <v>7.388673591290762</v>
      </c>
      <c r="AM39" s="76">
        <f t="shared" si="17"/>
        <v>14.233793507393665</v>
      </c>
      <c r="AN39" s="76">
        <f t="shared" si="17"/>
        <v>12.063652798207347</v>
      </c>
      <c r="AO39" s="76">
        <f t="shared" si="18"/>
        <v>6.6594070260581439</v>
      </c>
      <c r="AP39" s="76">
        <f t="shared" si="18"/>
        <v>2.0494369255359044</v>
      </c>
      <c r="AQ39" s="76">
        <f t="shared" si="18"/>
        <v>2.8341286867713356</v>
      </c>
      <c r="AR39" s="76">
        <f t="shared" si="18"/>
        <v>5.0042405889713439</v>
      </c>
      <c r="AS39" s="76">
        <f t="shared" si="18"/>
        <v>6.5984690422503691</v>
      </c>
      <c r="AT39" s="126">
        <f t="shared" si="18"/>
        <v>8.9916193600000014</v>
      </c>
      <c r="AU39" s="126">
        <f t="shared" si="18"/>
        <v>8.1451118937675755</v>
      </c>
      <c r="AV39" s="73">
        <f t="shared" si="18"/>
        <v>7.3798126476458323</v>
      </c>
      <c r="AW39" s="126"/>
      <c r="AX39" s="76"/>
      <c r="AY39" s="26">
        <f t="shared" si="19"/>
        <v>-9.3958101018517606E-2</v>
      </c>
    </row>
    <row r="40" spans="1:56" ht="18" customHeight="1">
      <c r="A40" s="18" t="s">
        <v>30</v>
      </c>
      <c r="B40" s="42">
        <f t="shared" si="16"/>
        <v>893676.42202667159</v>
      </c>
      <c r="C40" s="42">
        <f t="shared" si="16"/>
        <v>939041.34990474454</v>
      </c>
      <c r="D40" s="42">
        <f t="shared" si="16"/>
        <v>1068054.161772538</v>
      </c>
      <c r="E40" s="42">
        <f t="shared" si="16"/>
        <v>1171734.9789943374</v>
      </c>
      <c r="F40" s="42">
        <f t="shared" si="16"/>
        <v>1131022.6676229048</v>
      </c>
      <c r="G40" s="42">
        <f t="shared" si="16"/>
        <v>1070866.2450340413</v>
      </c>
      <c r="H40" s="42">
        <f t="shared" si="16"/>
        <v>963654.18606530665</v>
      </c>
      <c r="I40" s="42">
        <f t="shared" si="16"/>
        <v>987273.67731347797</v>
      </c>
      <c r="J40" s="42">
        <f t="shared" si="16"/>
        <v>1025676.4009023323</v>
      </c>
      <c r="K40" s="42">
        <f t="shared" si="16"/>
        <v>1029862.115364547</v>
      </c>
      <c r="L40" s="42">
        <f t="shared" si="16"/>
        <v>1021670.8337988625</v>
      </c>
      <c r="M40" s="42">
        <f t="shared" si="16"/>
        <v>978676.30820126261</v>
      </c>
      <c r="N40" s="42">
        <f t="shared" si="16"/>
        <v>1010849.2402315774</v>
      </c>
      <c r="O40" s="42">
        <f t="shared" si="16"/>
        <v>1001407.2572359205</v>
      </c>
      <c r="P40" s="42">
        <f t="shared" si="16"/>
        <v>928037.70944385196</v>
      </c>
      <c r="Q40" s="42">
        <f t="shared" si="16"/>
        <v>918747.98587210558</v>
      </c>
      <c r="R40" s="42">
        <f t="shared" si="16"/>
        <v>924873.77733669197</v>
      </c>
      <c r="S40" s="42">
        <f t="shared" si="16"/>
        <v>872351.33135202411</v>
      </c>
      <c r="T40" s="42">
        <f t="shared" si="16"/>
        <v>839750.97935648053</v>
      </c>
      <c r="U40" s="42">
        <f t="shared" si="16"/>
        <v>879175.58440842398</v>
      </c>
      <c r="V40" s="42">
        <f t="shared" si="16"/>
        <v>842229.57163809589</v>
      </c>
      <c r="W40" s="42">
        <f t="shared" si="16"/>
        <v>889804.59581251477</v>
      </c>
      <c r="X40" s="42">
        <f t="shared" si="16"/>
        <v>918363.96058412804</v>
      </c>
      <c r="Y40" s="136">
        <f t="shared" ref="Y40:AE40" si="20">SUM(Y36:Y39)</f>
        <v>901.62274885502927</v>
      </c>
      <c r="Z40" s="136">
        <f t="shared" si="20"/>
        <v>1032.3141017330227</v>
      </c>
      <c r="AA40" s="136">
        <f t="shared" si="20"/>
        <v>1085.7145162211707</v>
      </c>
      <c r="AB40" s="136">
        <f t="shared" si="20"/>
        <v>1200.8690408280506</v>
      </c>
      <c r="AC40" s="136">
        <f t="shared" si="20"/>
        <v>1206.0115579647572</v>
      </c>
      <c r="AD40" s="136">
        <f t="shared" si="20"/>
        <v>1202.0932588824032</v>
      </c>
      <c r="AE40" s="137">
        <f t="shared" si="20"/>
        <v>1251.0098804188974</v>
      </c>
      <c r="AF40" s="137">
        <f t="shared" ref="AF40:AV40" si="21">SUM(AF36:AF39)</f>
        <v>1131.6132111965244</v>
      </c>
      <c r="AG40" s="137">
        <f t="shared" si="21"/>
        <v>1412.8617124850614</v>
      </c>
      <c r="AH40" s="137">
        <f t="shared" si="21"/>
        <v>1403.3165503094938</v>
      </c>
      <c r="AI40" s="137">
        <f t="shared" si="21"/>
        <v>1270.019925310897</v>
      </c>
      <c r="AJ40" s="137">
        <f t="shared" si="21"/>
        <v>1224.334181455615</v>
      </c>
      <c r="AK40" s="137">
        <f t="shared" si="21"/>
        <v>1244.6288749458372</v>
      </c>
      <c r="AL40" s="137">
        <f t="shared" si="21"/>
        <v>1209.4459838256178</v>
      </c>
      <c r="AM40" s="137">
        <f t="shared" si="21"/>
        <v>1232.4656490448185</v>
      </c>
      <c r="AN40" s="137">
        <f t="shared" si="21"/>
        <v>1112.1376845186167</v>
      </c>
      <c r="AO40" s="137">
        <f t="shared" si="21"/>
        <v>1044.8287862712264</v>
      </c>
      <c r="AP40" s="137">
        <f t="shared" si="21"/>
        <v>1021.6856331405983</v>
      </c>
      <c r="AQ40" s="137">
        <f t="shared" si="21"/>
        <v>1044.1736927084487</v>
      </c>
      <c r="AR40" s="137">
        <f t="shared" si="21"/>
        <v>1030.6428674262727</v>
      </c>
      <c r="AS40" s="137">
        <f t="shared" si="21"/>
        <v>1105.6046117856329</v>
      </c>
      <c r="AT40" s="70">
        <f t="shared" si="21"/>
        <v>1155.9853752163999</v>
      </c>
      <c r="AU40" s="70">
        <f t="shared" si="21"/>
        <v>1231.136713913635</v>
      </c>
      <c r="AV40" s="70">
        <f t="shared" si="21"/>
        <v>1303.5315806029091</v>
      </c>
      <c r="AW40" s="70"/>
      <c r="AX40" s="76"/>
      <c r="AY40" s="26">
        <f>(AV40-AU40)/AU40</f>
        <v>5.8803271700946617E-2</v>
      </c>
    </row>
    <row r="41" spans="1:56" ht="18" customHeight="1">
      <c r="X41" s="17"/>
      <c r="Y41" s="76"/>
      <c r="Z41" s="76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138"/>
      <c r="AS41" s="99"/>
      <c r="AT41" s="102"/>
      <c r="AU41" s="76"/>
      <c r="AV41" s="76" t="s">
        <v>112</v>
      </c>
      <c r="AW41" s="76"/>
      <c r="AX41" s="76"/>
    </row>
    <row r="42" spans="1:56" ht="30" customHeight="1" thickBot="1">
      <c r="A42" s="13" t="s">
        <v>31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9">
        <f t="shared" ref="Y42:AV42" si="22">Y3</f>
        <v>1996</v>
      </c>
      <c r="Z42" s="139">
        <f t="shared" si="22"/>
        <v>1997</v>
      </c>
      <c r="AA42" s="139">
        <f t="shared" si="22"/>
        <v>1998</v>
      </c>
      <c r="AB42" s="139">
        <f t="shared" si="22"/>
        <v>1999</v>
      </c>
      <c r="AC42" s="139">
        <f t="shared" si="22"/>
        <v>2000</v>
      </c>
      <c r="AD42" s="139">
        <f t="shared" si="22"/>
        <v>2001</v>
      </c>
      <c r="AE42" s="139">
        <f t="shared" si="22"/>
        <v>2002</v>
      </c>
      <c r="AF42" s="139">
        <f t="shared" si="22"/>
        <v>2003</v>
      </c>
      <c r="AG42" s="139">
        <f t="shared" si="22"/>
        <v>2004</v>
      </c>
      <c r="AH42" s="139">
        <f t="shared" si="22"/>
        <v>2005</v>
      </c>
      <c r="AI42" s="139">
        <f t="shared" si="22"/>
        <v>2006</v>
      </c>
      <c r="AJ42" s="139">
        <f t="shared" si="22"/>
        <v>2007</v>
      </c>
      <c r="AK42" s="139">
        <f t="shared" si="22"/>
        <v>2008</v>
      </c>
      <c r="AL42" s="139">
        <f t="shared" si="22"/>
        <v>2009</v>
      </c>
      <c r="AM42" s="139">
        <f t="shared" si="22"/>
        <v>2010</v>
      </c>
      <c r="AN42" s="139">
        <f t="shared" si="22"/>
        <v>2011</v>
      </c>
      <c r="AO42" s="139">
        <f t="shared" si="22"/>
        <v>2012</v>
      </c>
      <c r="AP42" s="139">
        <f t="shared" si="22"/>
        <v>2013</v>
      </c>
      <c r="AQ42" s="139">
        <f t="shared" si="22"/>
        <v>2014</v>
      </c>
      <c r="AR42" s="139">
        <f t="shared" si="22"/>
        <v>2015</v>
      </c>
      <c r="AS42" s="139">
        <f t="shared" si="22"/>
        <v>2016</v>
      </c>
      <c r="AT42" s="139">
        <f t="shared" si="22"/>
        <v>2017</v>
      </c>
      <c r="AU42" s="139">
        <f t="shared" si="22"/>
        <v>2018</v>
      </c>
      <c r="AV42" s="139">
        <f t="shared" si="22"/>
        <v>2019</v>
      </c>
      <c r="AW42" s="139"/>
      <c r="AX42" s="75"/>
      <c r="AY42" s="53"/>
      <c r="AZ42" s="53"/>
      <c r="BA42" s="53"/>
      <c r="BB42" s="53"/>
      <c r="BC42" s="53"/>
      <c r="BD42" s="53"/>
    </row>
    <row r="43" spans="1:56" ht="18" customHeight="1" thickBot="1">
      <c r="A43" s="5" t="s">
        <v>113</v>
      </c>
      <c r="B43" s="17">
        <f>'[2]mill lbs.'!O54</f>
        <v>9429.7888885678512</v>
      </c>
      <c r="C43" s="17">
        <f>'[2]mill lbs.'!P54</f>
        <v>4625.0787798952188</v>
      </c>
      <c r="D43" s="17">
        <f>'[2]mill lbs.'!Q54</f>
        <v>59156.38089149772</v>
      </c>
      <c r="E43" s="17">
        <f>'[2]mill lbs.'!R54</f>
        <v>131337.30072179978</v>
      </c>
      <c r="F43" s="17">
        <f>'[2]mill lbs.'!S54</f>
        <v>118692.62644965871</v>
      </c>
      <c r="G43" s="17">
        <f>'[2]mill lbs.'!T54</f>
        <v>111444.19803138872</v>
      </c>
      <c r="H43" s="17">
        <f>'[2]mill lbs.'!U54</f>
        <v>74627.913023476998</v>
      </c>
      <c r="I43" s="17">
        <f>'[2]mill lbs.'!V54</f>
        <v>59832.641860351105</v>
      </c>
      <c r="J43" s="17">
        <f>'[2]mill lbs.'!W54</f>
        <v>13471.967284434004</v>
      </c>
      <c r="K43" s="17">
        <f>'[2]mill lbs.'!X54</f>
        <v>27921.490361279884</v>
      </c>
      <c r="L43" s="17">
        <f>'[2]mill lbs.'!Y54</f>
        <v>28440.637555533955</v>
      </c>
      <c r="M43" s="17">
        <f>'[2]mill lbs.'!Z54</f>
        <v>63649.389968193929</v>
      </c>
      <c r="N43" s="17">
        <f>'[2]mill lbs.'!AA54</f>
        <v>26086.506036889768</v>
      </c>
      <c r="O43" s="17">
        <f>'[2]mill lbs.'!AB54</f>
        <v>57663.908147510228</v>
      </c>
      <c r="P43" s="17">
        <f>'[2]mill lbs.'!AC54</f>
        <v>71433.898782393531</v>
      </c>
      <c r="Q43" s="17">
        <f>'[2]mill lbs.'!AD54</f>
        <v>155703.53970400701</v>
      </c>
      <c r="R43" s="17">
        <f>'[2]mill lbs.'!AE54</f>
        <v>110226.39899632584</v>
      </c>
      <c r="S43" s="17">
        <f>'[2]mill lbs.'!AF54</f>
        <v>164814.90420403788</v>
      </c>
      <c r="T43" s="17">
        <f>'[2]mill lbs.'!AG54</f>
        <v>162657.28018354505</v>
      </c>
      <c r="U43" s="17">
        <f>'[2]mill lbs.'!AH54</f>
        <v>301474.0798802987</v>
      </c>
      <c r="V43" s="17">
        <f>'[2]mill lbs.'!AI54</f>
        <v>337742.64563726669</v>
      </c>
      <c r="W43" s="17">
        <f>'[2]mill lbs.'!AJ54</f>
        <v>415058.18740546994</v>
      </c>
      <c r="X43" s="17">
        <f>'[2]mill lbs.'!AK54</f>
        <v>475431</v>
      </c>
      <c r="Y43" s="126">
        <f>'[2]mill lbs.'!$AK$60</f>
        <v>460293</v>
      </c>
      <c r="Z43" s="126">
        <v>393166</v>
      </c>
      <c r="AA43" s="69">
        <f>'[2]mill lbs.'!$AM$60</f>
        <v>393166</v>
      </c>
      <c r="AB43" s="69">
        <f>'[2]mill lbs.'!$AN$60</f>
        <v>414428</v>
      </c>
      <c r="AC43" s="140">
        <v>358961</v>
      </c>
      <c r="AD43" s="140">
        <v>424335</v>
      </c>
      <c r="AE43" s="140">
        <v>346237</v>
      </c>
      <c r="AF43" s="140">
        <v>106506</v>
      </c>
      <c r="AG43" s="140">
        <v>0</v>
      </c>
      <c r="AH43" s="140">
        <v>208041</v>
      </c>
      <c r="AI43" s="140">
        <v>388832</v>
      </c>
      <c r="AJ43" s="140">
        <v>475661</v>
      </c>
      <c r="AK43" s="141">
        <v>358675</v>
      </c>
      <c r="AL43" s="141">
        <v>277738</v>
      </c>
      <c r="AM43" s="141">
        <v>368012</v>
      </c>
      <c r="AN43" s="141">
        <v>256493</v>
      </c>
      <c r="AO43" s="141">
        <v>247996</v>
      </c>
      <c r="AP43" s="141">
        <v>213921</v>
      </c>
      <c r="AQ43" s="141">
        <f>[1]Sheet1!B8</f>
        <v>231310</v>
      </c>
      <c r="AR43" s="141">
        <f>[1]Sheet1!C8</f>
        <v>137502</v>
      </c>
      <c r="AS43" s="141">
        <f>[1]Sheet1!D8</f>
        <v>177799</v>
      </c>
      <c r="AT43" s="141">
        <f>[1]Sheet1!E8</f>
        <v>187628</v>
      </c>
      <c r="AU43" s="141">
        <f>[1]Sheet1!F8</f>
        <v>115373</v>
      </c>
      <c r="AV43" s="141">
        <f>[1]Sheet1!G8</f>
        <v>138472.36363636365</v>
      </c>
      <c r="AW43" s="99">
        <f>(AV43-AU43)/AU43</f>
        <v>0.20021463978889034</v>
      </c>
      <c r="AX43" s="126"/>
      <c r="AY43" s="53"/>
    </row>
    <row r="44" spans="1:56" ht="18" customHeight="1" thickBot="1">
      <c r="A44" s="5" t="s">
        <v>114</v>
      </c>
      <c r="B44" s="17">
        <f>'[2]mill lbs.'!O63</f>
        <v>3766.6599673352953</v>
      </c>
      <c r="C44" s="17">
        <f>'[2]mill lbs.'!P63</f>
        <v>2040.9449080801203</v>
      </c>
      <c r="D44" s="17">
        <f>'[2]mill lbs.'!Q63</f>
        <v>25945.838001867894</v>
      </c>
      <c r="E44" s="17">
        <f>'[2]mill lbs.'!R63</f>
        <v>76213.501125079405</v>
      </c>
      <c r="F44" s="17">
        <f>'[2]mill lbs.'!S63</f>
        <v>69715.53271331283</v>
      </c>
      <c r="G44" s="17">
        <f>'[2]mill lbs.'!T63</f>
        <v>63209.901006876149</v>
      </c>
      <c r="H44" s="17">
        <f>'[2]mill lbs.'!U63</f>
        <v>44591.272315813025</v>
      </c>
      <c r="I44" s="17">
        <f>'[2]mill lbs.'!V63</f>
        <v>30237.301029384074</v>
      </c>
      <c r="J44" s="17">
        <f>'[2]mill lbs.'!W63</f>
        <v>5974.5803532585051</v>
      </c>
      <c r="K44" s="17">
        <f>'[2]mill lbs.'!X63</f>
        <v>15120.556924387683</v>
      </c>
      <c r="L44" s="17">
        <f>'[2]mill lbs.'!Y63</f>
        <v>29419.159308834543</v>
      </c>
      <c r="M44" s="17">
        <f>'[2]mill lbs.'!Z63</f>
        <v>38242.450485687266</v>
      </c>
      <c r="N44" s="17">
        <f>'[2]mill lbs.'!AA63</f>
        <v>24003.626453838133</v>
      </c>
      <c r="O44" s="17">
        <f>'[2]mill lbs.'!AB63</f>
        <v>55956.768357272478</v>
      </c>
      <c r="P44" s="17">
        <f>'[2]mill lbs.'!AC63</f>
        <v>47512.759441333503</v>
      </c>
      <c r="Q44" s="17">
        <f>'[2]mill lbs.'!AD63</f>
        <v>89991.960774204475</v>
      </c>
      <c r="R44" s="17">
        <f>'[2]mill lbs.'!AE63</f>
        <v>89678.111255488853</v>
      </c>
      <c r="S44" s="17">
        <f>'[2]mill lbs.'!AF63</f>
        <v>143473.55759407868</v>
      </c>
      <c r="T44" s="17">
        <f>'[2]mill lbs.'!AG63</f>
        <v>116982.6221999164</v>
      </c>
      <c r="U44" s="17">
        <f>'[2]mill lbs.'!AH63</f>
        <v>239994.63118883257</v>
      </c>
      <c r="V44" s="17">
        <f>'[2]mill lbs.'!AI63</f>
        <v>263680.45918935043</v>
      </c>
      <c r="W44" s="17">
        <f>'[2]mill lbs.'!AJ63</f>
        <v>238310.78371532823</v>
      </c>
      <c r="X44" s="17">
        <f>'[2]mill lbs.'!AK63</f>
        <v>268478</v>
      </c>
      <c r="Y44" s="76">
        <f>'[2]mill lbs.'!$AK$69</f>
        <v>265795</v>
      </c>
      <c r="Z44" s="76">
        <f>(Z29*Z43)/1000000</f>
        <v>136.42927968792526</v>
      </c>
      <c r="AA44" s="69">
        <v>312711.30704329524</v>
      </c>
      <c r="AB44" s="69">
        <v>239433.33488130127</v>
      </c>
      <c r="AC44" s="140">
        <v>195182</v>
      </c>
      <c r="AD44" s="140">
        <v>285805</v>
      </c>
      <c r="AE44" s="140">
        <v>248399</v>
      </c>
      <c r="AF44" s="140">
        <v>94371</v>
      </c>
      <c r="AG44" s="140">
        <v>0</v>
      </c>
      <c r="AH44" s="140">
        <v>107883</v>
      </c>
      <c r="AI44" s="140">
        <v>314055</v>
      </c>
      <c r="AJ44" s="140">
        <v>362834</v>
      </c>
      <c r="AK44" s="141">
        <v>302353</v>
      </c>
      <c r="AL44" s="141">
        <v>245756</v>
      </c>
      <c r="AM44" s="141">
        <v>252606</v>
      </c>
      <c r="AN44" s="141">
        <v>180337</v>
      </c>
      <c r="AO44" s="141">
        <v>183819</v>
      </c>
      <c r="AP44" s="141">
        <v>136846</v>
      </c>
      <c r="AQ44" s="141">
        <f>[1]Sheet1!B10</f>
        <v>172006</v>
      </c>
      <c r="AR44" s="141">
        <f>[1]Sheet1!C10</f>
        <v>95369</v>
      </c>
      <c r="AS44" s="141">
        <f>[1]Sheet1!D10</f>
        <v>152669</v>
      </c>
      <c r="AT44" s="141">
        <f>[1]Sheet1!E10</f>
        <v>148758</v>
      </c>
      <c r="AU44" s="141">
        <f>[1]Sheet1!F10</f>
        <v>123944</v>
      </c>
      <c r="AV44" s="141">
        <f>[1]Sheet1!G10</f>
        <v>199382.18181818182</v>
      </c>
      <c r="AW44" s="99">
        <f t="shared" ref="AW44:AW48" si="23">(AV44-AU44)/AU44</f>
        <v>0.60864730699494796</v>
      </c>
      <c r="AX44" s="76"/>
      <c r="AY44" s="53"/>
    </row>
    <row r="45" spans="1:56" ht="18" customHeight="1" thickBot="1">
      <c r="A45" s="5" t="s">
        <v>115</v>
      </c>
      <c r="Y45" s="76"/>
      <c r="Z45" s="76"/>
      <c r="AA45" s="69"/>
      <c r="AB45" s="69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68"/>
      <c r="AQ45" s="72"/>
      <c r="AR45" s="72"/>
      <c r="AS45" s="72"/>
      <c r="AT45" s="68"/>
      <c r="AU45" s="68">
        <f>SUM(AU42:AU44)</f>
        <v>241335</v>
      </c>
      <c r="AV45" s="68">
        <f>SUM(AV42:AV44)</f>
        <v>339873.54545454547</v>
      </c>
      <c r="AW45" s="99">
        <f t="shared" si="23"/>
        <v>0.40830607021172011</v>
      </c>
      <c r="AX45" s="69"/>
      <c r="AY45" s="30"/>
    </row>
    <row r="46" spans="1:56" ht="18" customHeight="1" thickBot="1">
      <c r="A46" s="5" t="s">
        <v>116</v>
      </c>
      <c r="B46" s="17">
        <f>'[2]mill lbs.'!O72</f>
        <v>2587.1490759128451</v>
      </c>
      <c r="C46" s="17">
        <f>'[2]mill lbs.'!P72</f>
        <v>1271.2708843343305</v>
      </c>
      <c r="D46" s="17">
        <f>'[2]mill lbs.'!Q72</f>
        <v>23891.18563075766</v>
      </c>
      <c r="E46" s="17">
        <f>'[2]mill lbs.'!R72</f>
        <v>38365.568026346649</v>
      </c>
      <c r="F46" s="17">
        <f>'[2]mill lbs.'!S72</f>
        <v>37037.934699374258</v>
      </c>
      <c r="G46" s="17">
        <f>'[2]mill lbs.'!T72</f>
        <v>34909.165536994762</v>
      </c>
      <c r="H46" s="17">
        <f>'[2]mill lbs.'!U72</f>
        <v>16561.299715273162</v>
      </c>
      <c r="I46" s="17">
        <f>'[2]mill lbs.'!V72</f>
        <v>18386.495071688521</v>
      </c>
      <c r="J46" s="17">
        <f>'[2]mill lbs.'!W72</f>
        <v>73102.406682328379</v>
      </c>
      <c r="K46" s="17">
        <f>'[2]mill lbs.'!X72</f>
        <v>117512.38650837365</v>
      </c>
      <c r="L46" s="17">
        <f>'[2]mill lbs.'!Y72</f>
        <v>121751.43510603627</v>
      </c>
      <c r="M46" s="17">
        <f>'[2]mill lbs.'!Z72</f>
        <v>110419.50528668443</v>
      </c>
      <c r="N46" s="17">
        <f>'[2]mill lbs.'!AA72</f>
        <v>101478.80135366893</v>
      </c>
      <c r="O46" s="17">
        <f>'[2]mill lbs.'!AB72</f>
        <v>48973.865050902714</v>
      </c>
      <c r="P46" s="17">
        <f>'[2]mill lbs.'!AC72</f>
        <v>54132.507357728871</v>
      </c>
      <c r="Q46" s="17">
        <f>'[2]mill lbs.'!AD72</f>
        <v>132885.2442813876</v>
      </c>
      <c r="R46" s="17">
        <f>'[2]mill lbs.'!AE72</f>
        <v>154329.2209158527</v>
      </c>
      <c r="S46" s="17">
        <f>'[2]mill lbs.'!AF72</f>
        <v>212463.11593860827</v>
      </c>
      <c r="T46" s="17">
        <f>'[2]mill lbs.'!AG72</f>
        <v>202103.97933494675</v>
      </c>
      <c r="U46" s="17">
        <f>'[2]mill lbs.'!AH72</f>
        <v>256853.22809743235</v>
      </c>
      <c r="V46" s="17">
        <f>'[2]mill lbs.'!AI72</f>
        <v>258820</v>
      </c>
      <c r="W46" s="17">
        <f>'[2]mill lbs.'!AJ72</f>
        <v>211364</v>
      </c>
      <c r="X46" s="17">
        <f>'[2]mill lbs.'!AK72</f>
        <v>243660</v>
      </c>
      <c r="Y46" s="68">
        <f>'[2]mill lbs.'!$AK$78</f>
        <v>231201</v>
      </c>
      <c r="Z46" s="68">
        <f>'[2]mill lbs.'!$AL$78</f>
        <v>286935</v>
      </c>
      <c r="AA46" s="69">
        <f>'[2]mill lbs.'!$AM$78</f>
        <v>275537</v>
      </c>
      <c r="AB46" s="69">
        <f>AB45-AB47</f>
        <v>-23841.02682152369</v>
      </c>
      <c r="AC46" s="140">
        <v>171448</v>
      </c>
      <c r="AD46" s="140">
        <v>257584</v>
      </c>
      <c r="AE46" s="140">
        <v>372294</v>
      </c>
      <c r="AF46" s="140">
        <v>136161</v>
      </c>
      <c r="AG46" s="140">
        <v>0</v>
      </c>
      <c r="AH46" s="140">
        <v>2799</v>
      </c>
      <c r="AI46" s="140">
        <v>0</v>
      </c>
      <c r="AJ46" s="140">
        <v>8469</v>
      </c>
      <c r="AK46" s="141">
        <v>186657</v>
      </c>
      <c r="AL46" s="141">
        <v>199433</v>
      </c>
      <c r="AM46" s="141">
        <v>182815</v>
      </c>
      <c r="AN46" s="141">
        <v>112425</v>
      </c>
      <c r="AO46" s="141">
        <v>179824</v>
      </c>
      <c r="AP46" s="141">
        <v>277992</v>
      </c>
      <c r="AQ46" s="141">
        <f>[1]Sheet1!B12</f>
        <v>276560</v>
      </c>
      <c r="AR46" s="141">
        <f>[1]Sheet1!C12</f>
        <v>204938</v>
      </c>
      <c r="AS46" s="141">
        <f>[1]Sheet1!D12</f>
        <v>187225</v>
      </c>
      <c r="AT46" s="141">
        <f>[1]Sheet1!E12</f>
        <v>126292</v>
      </c>
      <c r="AU46" s="141">
        <f>[1]Sheet1!F12</f>
        <v>145537</v>
      </c>
      <c r="AV46" s="141">
        <f>[1]Sheet1!G12</f>
        <v>145358.18181818182</v>
      </c>
      <c r="AW46" s="99">
        <f t="shared" si="23"/>
        <v>-1.2286784928793126E-3</v>
      </c>
      <c r="AX46" s="69"/>
    </row>
    <row r="47" spans="1:56" ht="18" customHeight="1" thickBot="1">
      <c r="A47" s="5" t="s">
        <v>117</v>
      </c>
      <c r="B47" s="17">
        <f>'[2]mill lbs.'!O81</f>
        <v>362.40206818400816</v>
      </c>
      <c r="C47" s="17">
        <f>'[2]mill lbs.'!P81</f>
        <v>229.70542769033079</v>
      </c>
      <c r="D47" s="17">
        <f>'[2]mill lbs.'!Q81</f>
        <v>3069.5954758767366</v>
      </c>
      <c r="E47" s="17">
        <f>'[2]mill lbs.'!R81</f>
        <v>3821.6301267741405</v>
      </c>
      <c r="F47" s="17">
        <f>'[2]mill lbs.'!S81</f>
        <v>3674.9061376542209</v>
      </c>
      <c r="G47" s="17">
        <f>'[2]mill lbs.'!T81</f>
        <v>3615.7354247403609</v>
      </c>
      <c r="H47" s="17">
        <f>'[2]mill lbs.'!U81</f>
        <v>1906.5149454368357</v>
      </c>
      <c r="I47" s="17">
        <f>'[2]mill lbs.'!V81</f>
        <v>2551.5620385762882</v>
      </c>
      <c r="J47" s="17">
        <f>'[2]mill lbs.'!W81</f>
        <v>26867.025145740889</v>
      </c>
      <c r="K47" s="17">
        <f>'[2]mill lbs.'!X81</f>
        <v>33917.326128676912</v>
      </c>
      <c r="L47" s="17">
        <f>'[2]mill lbs.'!Y81</f>
        <v>30239.56231524418</v>
      </c>
      <c r="M47" s="17">
        <f>'[2]mill lbs.'!Z81</f>
        <v>25417.942921000602</v>
      </c>
      <c r="N47" s="17">
        <f>'[2]mill lbs.'!AA81</f>
        <v>26941.224470697878</v>
      </c>
      <c r="O47" s="17">
        <f>'[2]mill lbs.'!AB81</f>
        <v>20227.267966659489</v>
      </c>
      <c r="P47" s="17">
        <f>'[2]mill lbs.'!AC81</f>
        <v>22536.723520857751</v>
      </c>
      <c r="Q47" s="17">
        <f>'[2]mill lbs.'!AD81</f>
        <v>27222.966146611674</v>
      </c>
      <c r="R47" s="17">
        <f>'[2]mill lbs.'!AE81</f>
        <v>27391.453974370466</v>
      </c>
      <c r="S47" s="17">
        <f>'[2]mill lbs.'!AF81</f>
        <v>40501.041050873304</v>
      </c>
      <c r="T47" s="17">
        <f>'[2]mill lbs.'!AG81</f>
        <v>43165.049193811305</v>
      </c>
      <c r="U47" s="17">
        <f>'[2]mill lbs.'!AH81</f>
        <v>54205.243630938719</v>
      </c>
      <c r="V47" s="17">
        <f>'[2]mill lbs.'!AI81</f>
        <v>50794</v>
      </c>
      <c r="W47" s="17">
        <f>'[2]mill lbs.'!AJ81</f>
        <v>43861</v>
      </c>
      <c r="X47" s="17">
        <f>'[2]mill lbs.'!AK81</f>
        <v>49946</v>
      </c>
      <c r="Y47" s="68">
        <f>'[2]mill lbs.'!$AK$87</f>
        <v>49429</v>
      </c>
      <c r="Z47" s="68">
        <f>'[2]mill lbs.'!$AL$87</f>
        <v>55449</v>
      </c>
      <c r="AA47" s="69">
        <f>'[2]mill lbs.'!$AM$87</f>
        <v>53161</v>
      </c>
      <c r="AB47" s="69">
        <f>(((AB24+AB25+AB45))*0.095)-AB25</f>
        <v>23841.02682152369</v>
      </c>
      <c r="AC47" s="141">
        <v>44286</v>
      </c>
      <c r="AD47" s="141">
        <v>53575</v>
      </c>
      <c r="AE47" s="141">
        <v>57448</v>
      </c>
      <c r="AF47" s="141">
        <v>17006</v>
      </c>
      <c r="AG47" s="141">
        <v>0</v>
      </c>
      <c r="AH47" s="141">
        <v>476</v>
      </c>
      <c r="AI47" s="141">
        <v>904</v>
      </c>
      <c r="AJ47" s="141">
        <v>2351</v>
      </c>
      <c r="AK47" s="141">
        <v>47958</v>
      </c>
      <c r="AL47" s="141">
        <v>40238</v>
      </c>
      <c r="AM47" s="141">
        <v>28179</v>
      </c>
      <c r="AN47" s="141">
        <v>24274</v>
      </c>
      <c r="AO47" s="141">
        <v>27462</v>
      </c>
      <c r="AP47" s="141">
        <v>42444</v>
      </c>
      <c r="AQ47" s="141">
        <f>[1]Sheet1!B14</f>
        <v>44638</v>
      </c>
      <c r="AR47" s="141">
        <f>[1]Sheet1!C14</f>
        <v>33132</v>
      </c>
      <c r="AS47" s="141">
        <f>[1]Sheet1!D14</f>
        <v>28627</v>
      </c>
      <c r="AT47" s="141">
        <f>[1]Sheet1!E14</f>
        <v>26666</v>
      </c>
      <c r="AU47" s="141">
        <f>[1]Sheet1!F14</f>
        <v>29990</v>
      </c>
      <c r="AV47" s="141">
        <f>[1]Sheet1!G14</f>
        <v>32741.454545454544</v>
      </c>
      <c r="AW47" s="99">
        <f t="shared" si="23"/>
        <v>9.1745733426293566E-2</v>
      </c>
      <c r="AX47" s="69"/>
    </row>
    <row r="48" spans="1:56" ht="18" customHeight="1">
      <c r="A48" s="5" t="s">
        <v>118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72"/>
      <c r="Z48" s="72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72"/>
      <c r="AR48" s="72"/>
      <c r="AS48" s="142"/>
      <c r="AT48" s="142"/>
      <c r="AU48" s="142">
        <f>SUM(AU43:AU47)</f>
        <v>656179</v>
      </c>
      <c r="AV48" s="142">
        <f>SUM(AV43:AV47)</f>
        <v>855827.72727272729</v>
      </c>
      <c r="AW48" s="99">
        <f t="shared" si="23"/>
        <v>0.30425955002023425</v>
      </c>
      <c r="AX48" s="72"/>
    </row>
    <row r="49" spans="1:51" ht="18" customHeight="1">
      <c r="A49" s="19" t="s">
        <v>33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72"/>
      <c r="Z49" s="72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102"/>
      <c r="AU49" s="72"/>
      <c r="AV49" s="72"/>
      <c r="AW49" s="72"/>
      <c r="AX49" s="72"/>
    </row>
    <row r="50" spans="1:51" ht="18" customHeight="1">
      <c r="A50" s="5" t="s">
        <v>119</v>
      </c>
      <c r="B50" s="17">
        <f t="shared" ref="B50:X51" si="24">(B43*B29)/1000000</f>
        <v>2.5603998260111407</v>
      </c>
      <c r="C50" s="17">
        <f t="shared" si="24"/>
        <v>1.2382633493191169</v>
      </c>
      <c r="D50" s="17">
        <f t="shared" si="24"/>
        <v>16.408476329107707</v>
      </c>
      <c r="E50" s="17">
        <f t="shared" si="24"/>
        <v>37.764090958699477</v>
      </c>
      <c r="F50" s="17">
        <f t="shared" si="24"/>
        <v>34.128302597495527</v>
      </c>
      <c r="G50" s="17">
        <f t="shared" si="24"/>
        <v>32.731614907613263</v>
      </c>
      <c r="H50" s="17">
        <f t="shared" si="24"/>
        <v>22.720790720020755</v>
      </c>
      <c r="I50" s="17">
        <f t="shared" si="24"/>
        <v>18.134886732779918</v>
      </c>
      <c r="J50" s="17">
        <f t="shared" si="24"/>
        <v>4.0686001170172181</v>
      </c>
      <c r="K50" s="17">
        <f t="shared" si="24"/>
        <v>8.2652474869687254</v>
      </c>
      <c r="L50" s="17">
        <f t="shared" si="24"/>
        <v>8.5505101024257932</v>
      </c>
      <c r="M50" s="17">
        <f t="shared" si="24"/>
        <v>19.014555127030992</v>
      </c>
      <c r="N50" s="17">
        <f t="shared" si="24"/>
        <v>8.0036798890285041</v>
      </c>
      <c r="O50" s="17">
        <f t="shared" si="24"/>
        <v>17.710347549069752</v>
      </c>
      <c r="P50" s="17">
        <f t="shared" si="24"/>
        <v>22.201990132312456</v>
      </c>
      <c r="Q50" s="17">
        <f t="shared" si="24"/>
        <v>49.417475610493383</v>
      </c>
      <c r="R50" s="17">
        <f t="shared" si="24"/>
        <v>34.783863640453546</v>
      </c>
      <c r="S50" s="17">
        <f t="shared" si="24"/>
        <v>52.780242387757752</v>
      </c>
      <c r="T50" s="17">
        <f t="shared" si="24"/>
        <v>53.350938628649835</v>
      </c>
      <c r="U50" s="17">
        <f t="shared" si="24"/>
        <v>99.183139860827637</v>
      </c>
      <c r="V50" s="17">
        <f t="shared" si="24"/>
        <v>111.51359510086473</v>
      </c>
      <c r="W50" s="17">
        <f t="shared" si="24"/>
        <v>143.17869523807488</v>
      </c>
      <c r="X50" s="17">
        <f t="shared" si="24"/>
        <v>165.51451170280322</v>
      </c>
      <c r="Y50" s="69">
        <f t="shared" ref="Y50:Z51" si="25">Y43*Y29/1000000</f>
        <v>157.84337657624965</v>
      </c>
      <c r="Z50" s="69">
        <f t="shared" si="25"/>
        <v>136.42927968792526</v>
      </c>
      <c r="AA50" s="69">
        <f>AA43*AA29/1000000</f>
        <v>141.06609180803773</v>
      </c>
      <c r="AB50" s="69">
        <f t="shared" ref="AB50:AR51" si="26">(AB43*AB29)/1000000</f>
        <v>149.63471287308354</v>
      </c>
      <c r="AC50" s="69">
        <f t="shared" si="26"/>
        <v>132.37562052072937</v>
      </c>
      <c r="AD50" s="69">
        <f t="shared" si="26"/>
        <v>158.02369364056972</v>
      </c>
      <c r="AE50" s="69">
        <f t="shared" si="26"/>
        <v>130.66732468475004</v>
      </c>
      <c r="AF50" s="69">
        <f t="shared" si="26"/>
        <v>40.339521908736273</v>
      </c>
      <c r="AG50" s="69">
        <f t="shared" si="26"/>
        <v>0</v>
      </c>
      <c r="AH50" s="69">
        <f t="shared" si="26"/>
        <v>78.041325864102319</v>
      </c>
      <c r="AI50" s="69">
        <f t="shared" si="26"/>
        <v>148.32972512020319</v>
      </c>
      <c r="AJ50" s="69">
        <f t="shared" si="26"/>
        <v>181.22684100000001</v>
      </c>
      <c r="AK50" s="69">
        <f t="shared" si="26"/>
        <v>136.98827451691918</v>
      </c>
      <c r="AL50" s="69">
        <f t="shared" si="26"/>
        <v>106.58003628776196</v>
      </c>
      <c r="AM50" s="69">
        <f t="shared" si="26"/>
        <v>141.72284677492513</v>
      </c>
      <c r="AN50" s="69">
        <f t="shared" si="26"/>
        <v>99.590859112764221</v>
      </c>
      <c r="AO50" s="69">
        <f t="shared" si="26"/>
        <v>98.766437448970336</v>
      </c>
      <c r="AP50" s="69">
        <f t="shared" si="26"/>
        <v>84.807653996189785</v>
      </c>
      <c r="AQ50" s="69">
        <f t="shared" si="26"/>
        <v>90.305958904109588</v>
      </c>
      <c r="AR50" s="69">
        <f t="shared" si="26"/>
        <v>55.754235616438358</v>
      </c>
      <c r="AS50" s="69">
        <f>(AS43*AS29)/1000000</f>
        <v>74.116520457225803</v>
      </c>
      <c r="AT50" s="133">
        <f>(AT43*AT29)/1000000</f>
        <v>76.083153999999993</v>
      </c>
      <c r="AU50" s="133">
        <f>(AU43*AU29)/1000000</f>
        <v>46.890233148870543</v>
      </c>
      <c r="AV50" s="133">
        <f>(AV43*AV29)/1000000</f>
        <v>57.050613818181823</v>
      </c>
      <c r="AW50" s="133"/>
      <c r="AX50" s="72"/>
      <c r="AY50" s="26">
        <f t="shared" ref="AY50:AY67" si="27">(AV50-AU50)/AU50</f>
        <v>0.21668437085935061</v>
      </c>
    </row>
    <row r="51" spans="1:51" ht="18" customHeight="1">
      <c r="A51" s="5" t="s">
        <v>102</v>
      </c>
      <c r="B51" s="17">
        <f t="shared" si="24"/>
        <v>0.8969081467312533</v>
      </c>
      <c r="C51" s="17">
        <f t="shared" si="24"/>
        <v>0.4783410218295539</v>
      </c>
      <c r="D51" s="17">
        <f t="shared" si="24"/>
        <v>5.5937842702929368</v>
      </c>
      <c r="E51" s="17">
        <f t="shared" si="24"/>
        <v>17.461416773236689</v>
      </c>
      <c r="F51" s="17">
        <f t="shared" si="24"/>
        <v>15.722835373790772</v>
      </c>
      <c r="G51" s="17">
        <f t="shared" si="24"/>
        <v>14.99536343399992</v>
      </c>
      <c r="H51" s="17">
        <f t="shared" si="24"/>
        <v>11.029493238597858</v>
      </c>
      <c r="I51" s="17">
        <f t="shared" si="24"/>
        <v>7.5065203907202678</v>
      </c>
      <c r="J51" s="17">
        <f t="shared" si="24"/>
        <v>1.4691191188884312</v>
      </c>
      <c r="K51" s="17">
        <f t="shared" si="24"/>
        <v>3.6680004731754203</v>
      </c>
      <c r="L51" s="17">
        <f t="shared" si="24"/>
        <v>7.2914037223746684</v>
      </c>
      <c r="M51" s="17">
        <f t="shared" si="24"/>
        <v>9.5007666383974048</v>
      </c>
      <c r="N51" s="17">
        <f t="shared" si="24"/>
        <v>6.1615042230912636</v>
      </c>
      <c r="O51" s="17">
        <f t="shared" si="24"/>
        <v>14.647850412311508</v>
      </c>
      <c r="P51" s="17">
        <f t="shared" si="24"/>
        <v>12.702540331453308</v>
      </c>
      <c r="Q51" s="17">
        <f t="shared" si="24"/>
        <v>24.879842189910924</v>
      </c>
      <c r="R51" s="17">
        <f t="shared" si="24"/>
        <v>24.748327536895321</v>
      </c>
      <c r="S51" s="17">
        <f t="shared" si="24"/>
        <v>40.667978835407673</v>
      </c>
      <c r="T51" s="17">
        <f t="shared" si="24"/>
        <v>34.146020768232873</v>
      </c>
      <c r="U51" s="17">
        <f t="shared" si="24"/>
        <v>70.868413727628592</v>
      </c>
      <c r="V51" s="17">
        <f t="shared" si="24"/>
        <v>79.393581062274691</v>
      </c>
      <c r="W51" s="17">
        <f t="shared" si="24"/>
        <v>74.641021571003407</v>
      </c>
      <c r="X51" s="17">
        <f t="shared" si="24"/>
        <v>85.039547945205484</v>
      </c>
      <c r="Y51" s="69">
        <f t="shared" si="25"/>
        <v>82.706781275514828</v>
      </c>
      <c r="Z51" s="69">
        <f t="shared" si="25"/>
        <v>4.338062463087889E-2</v>
      </c>
      <c r="AA51" s="69">
        <f>AA44*AA30/1000000</f>
        <v>103.68863533005931</v>
      </c>
      <c r="AB51" s="69">
        <f t="shared" si="26"/>
        <v>80.368623701425633</v>
      </c>
      <c r="AC51" s="69">
        <f t="shared" si="26"/>
        <v>67.462888505851396</v>
      </c>
      <c r="AD51" s="69">
        <f t="shared" si="26"/>
        <v>99.823029120928965</v>
      </c>
      <c r="AE51" s="69">
        <f t="shared" si="26"/>
        <v>87.546957724757334</v>
      </c>
      <c r="AF51" s="69">
        <f t="shared" si="26"/>
        <v>33.43180214097795</v>
      </c>
      <c r="AG51" s="69">
        <f t="shared" si="26"/>
        <v>0</v>
      </c>
      <c r="AH51" s="69">
        <f t="shared" si="26"/>
        <v>37.778134809035649</v>
      </c>
      <c r="AI51" s="69">
        <f t="shared" si="26"/>
        <v>110.97198811575794</v>
      </c>
      <c r="AJ51" s="69">
        <f t="shared" si="26"/>
        <v>128.86647101515013</v>
      </c>
      <c r="AK51" s="69">
        <f t="shared" si="26"/>
        <v>108.242374</v>
      </c>
      <c r="AL51" s="69">
        <f t="shared" si="26"/>
        <v>87.730187789168085</v>
      </c>
      <c r="AM51" s="69">
        <f t="shared" si="26"/>
        <v>90.060925337929788</v>
      </c>
      <c r="AN51" s="69">
        <f t="shared" si="26"/>
        <v>64.131456046448321</v>
      </c>
      <c r="AO51" s="69">
        <f t="shared" si="26"/>
        <v>68.288016420212273</v>
      </c>
      <c r="AP51" s="69">
        <f t="shared" si="26"/>
        <v>50.403225982037561</v>
      </c>
      <c r="AQ51" s="143">
        <f>(AQ44*AQ30)/1000000</f>
        <v>61.969284931506849</v>
      </c>
      <c r="AR51" s="69">
        <f t="shared" si="26"/>
        <v>35.665393150684928</v>
      </c>
      <c r="AS51" s="69">
        <f>(AS44*AS30)/1000000</f>
        <v>58.239421663793884</v>
      </c>
      <c r="AT51" s="133">
        <f t="shared" ref="AT51:AV51" si="28">(AT44*AT30)/1000000</f>
        <v>55.531361400000002</v>
      </c>
      <c r="AU51" s="133">
        <f t="shared" si="28"/>
        <v>46.494460673137979</v>
      </c>
      <c r="AV51" s="133">
        <f t="shared" si="28"/>
        <v>75.607141431552208</v>
      </c>
      <c r="AW51" s="133"/>
      <c r="AX51" s="72"/>
      <c r="AY51" s="26">
        <f t="shared" si="27"/>
        <v>0.62615374685341785</v>
      </c>
    </row>
    <row r="52" spans="1:51" ht="18" customHeight="1">
      <c r="A52" s="5" t="s">
        <v>103</v>
      </c>
      <c r="B52" s="17">
        <f t="shared" ref="B52:X53" si="29">(B46*B31)/1000000</f>
        <v>0.6160458079883554</v>
      </c>
      <c r="C52" s="17">
        <f t="shared" si="29"/>
        <v>0.29795072440572334</v>
      </c>
      <c r="D52" s="17">
        <f t="shared" si="29"/>
        <v>5.5669518545406014</v>
      </c>
      <c r="E52" s="17">
        <f t="shared" si="29"/>
        <v>9.1763422027998658</v>
      </c>
      <c r="F52" s="17">
        <f t="shared" si="29"/>
        <v>8.7042338599953748</v>
      </c>
      <c r="G52" s="17">
        <f t="shared" si="29"/>
        <v>8.5839874070601745</v>
      </c>
      <c r="H52" s="17">
        <f t="shared" si="29"/>
        <v>4.2638998994779316</v>
      </c>
      <c r="I52" s="17">
        <f t="shared" si="29"/>
        <v>4.7588379242971373</v>
      </c>
      <c r="J52" s="17">
        <f t="shared" si="29"/>
        <v>18.55247960571656</v>
      </c>
      <c r="K52" s="17">
        <f t="shared" si="29"/>
        <v>29.530010943318061</v>
      </c>
      <c r="L52" s="17">
        <f t="shared" si="29"/>
        <v>30.650479217930744</v>
      </c>
      <c r="M52" s="17">
        <f t="shared" si="29"/>
        <v>27.717569729497939</v>
      </c>
      <c r="N52" s="17">
        <f t="shared" si="29"/>
        <v>25.735642672973011</v>
      </c>
      <c r="O52" s="17">
        <f t="shared" si="29"/>
        <v>12.822151368675064</v>
      </c>
      <c r="P52" s="17">
        <f t="shared" si="29"/>
        <v>14.352014220535482</v>
      </c>
      <c r="Q52" s="17">
        <f t="shared" si="29"/>
        <v>35.864429078937498</v>
      </c>
      <c r="R52" s="17">
        <f t="shared" si="29"/>
        <v>41.609946889405258</v>
      </c>
      <c r="S52" s="17">
        <f t="shared" si="29"/>
        <v>57.563376190751477</v>
      </c>
      <c r="T52" s="17">
        <f t="shared" si="29"/>
        <v>55.233442596981497</v>
      </c>
      <c r="U52" s="17">
        <f t="shared" si="29"/>
        <v>70.63871550189296</v>
      </c>
      <c r="V52" s="17">
        <f t="shared" si="29"/>
        <v>72.705808763494503</v>
      </c>
      <c r="W52" s="17">
        <f t="shared" si="29"/>
        <v>60.486957996915542</v>
      </c>
      <c r="X52" s="17">
        <f t="shared" si="29"/>
        <v>69.364517826363056</v>
      </c>
      <c r="Y52" s="69">
        <f t="shared" ref="Y52:Z53" si="30">Y46*Y31/1000000</f>
        <v>63.657355982944743</v>
      </c>
      <c r="Z52" s="69">
        <f t="shared" si="30"/>
        <v>79.783704526898305</v>
      </c>
      <c r="AA52" s="69">
        <f>AA46*AA31/1000000</f>
        <v>79.614020230427286</v>
      </c>
      <c r="AB52" s="69">
        <f>AB46*AB31/1000000</f>
        <v>-7.0724991115288454</v>
      </c>
      <c r="AC52" s="69">
        <f t="shared" ref="AC52:AQ52" si="31">AC47*AC31/1000000</f>
        <v>13.740190510750249</v>
      </c>
      <c r="AD52" s="69">
        <f t="shared" si="31"/>
        <v>16.865213644198491</v>
      </c>
      <c r="AE52" s="69">
        <f t="shared" si="31"/>
        <v>18.345002267985119</v>
      </c>
      <c r="AF52" s="69">
        <f t="shared" si="31"/>
        <v>5.4151374398983938</v>
      </c>
      <c r="AG52" s="69">
        <f t="shared" si="31"/>
        <v>0</v>
      </c>
      <c r="AH52" s="69">
        <f t="shared" si="31"/>
        <v>0.14314977773745804</v>
      </c>
      <c r="AI52" s="69">
        <f t="shared" si="31"/>
        <v>0.27514469745078474</v>
      </c>
      <c r="AJ52" s="69">
        <f t="shared" si="31"/>
        <v>0.71769164474281044</v>
      </c>
      <c r="AK52" s="69">
        <f t="shared" si="31"/>
        <v>14.771064000000001</v>
      </c>
      <c r="AL52" s="69">
        <f t="shared" si="31"/>
        <v>12.301738183797514</v>
      </c>
      <c r="AM52" s="69">
        <f t="shared" si="31"/>
        <v>8.5894438900480807</v>
      </c>
      <c r="AN52" s="69">
        <f t="shared" si="31"/>
        <v>7.3661008799782266</v>
      </c>
      <c r="AO52" s="69">
        <f t="shared" si="31"/>
        <v>8.4207166832985578</v>
      </c>
      <c r="AP52" s="69">
        <f t="shared" si="31"/>
        <v>12.899156309534609</v>
      </c>
      <c r="AQ52" s="143">
        <f t="shared" si="31"/>
        <v>13.819435616438357</v>
      </c>
      <c r="AR52" s="143">
        <v>0</v>
      </c>
      <c r="AS52" s="143">
        <f t="shared" ref="AS52:AV53" si="32">AS46*AS31/1000000</f>
        <v>63.438753061779906</v>
      </c>
      <c r="AT52" s="143">
        <f t="shared" si="32"/>
        <v>41.878427200000004</v>
      </c>
      <c r="AU52" s="143">
        <f t="shared" si="32"/>
        <v>48.059029302367776</v>
      </c>
      <c r="AV52" s="143">
        <f t="shared" si="32"/>
        <v>47.934046167929864</v>
      </c>
      <c r="AW52" s="143"/>
      <c r="AX52" s="72"/>
      <c r="AY52" s="26">
        <f t="shared" si="27"/>
        <v>-2.6006171213232157E-3</v>
      </c>
    </row>
    <row r="53" spans="1:51" ht="18" customHeight="1">
      <c r="A53" s="5" t="s">
        <v>104</v>
      </c>
      <c r="B53" s="17">
        <f t="shared" si="29"/>
        <v>0.125414414354767</v>
      </c>
      <c r="C53" s="17">
        <f t="shared" si="29"/>
        <v>7.8242521319177666E-2</v>
      </c>
      <c r="D53" s="17">
        <f t="shared" si="29"/>
        <v>1.0466365414209122</v>
      </c>
      <c r="E53" s="17">
        <f t="shared" si="29"/>
        <v>1.3734362466856351</v>
      </c>
      <c r="F53" s="17">
        <f t="shared" si="29"/>
        <v>1.2801995435536795</v>
      </c>
      <c r="G53" s="17">
        <f t="shared" si="29"/>
        <v>1.3455272350798295</v>
      </c>
      <c r="H53" s="17">
        <f t="shared" si="29"/>
        <v>0.73239023282702354</v>
      </c>
      <c r="I53" s="17">
        <f t="shared" si="29"/>
        <v>0.96340390134759235</v>
      </c>
      <c r="J53" s="17">
        <f t="shared" si="29"/>
        <v>9.4996126740020959</v>
      </c>
      <c r="K53" s="17">
        <f t="shared" si="29"/>
        <v>11.903218373290995</v>
      </c>
      <c r="L53" s="17">
        <f t="shared" si="29"/>
        <v>10.859412811838347</v>
      </c>
      <c r="M53" s="17">
        <f t="shared" si="29"/>
        <v>9.6317470362895321</v>
      </c>
      <c r="N53" s="17">
        <f t="shared" si="29"/>
        <v>10.348284896029648</v>
      </c>
      <c r="O53" s="17">
        <f t="shared" si="29"/>
        <v>7.8822670371755272</v>
      </c>
      <c r="P53" s="17">
        <f t="shared" si="29"/>
        <v>9.1175286710754904</v>
      </c>
      <c r="Q53" s="17">
        <f t="shared" si="29"/>
        <v>11.224565103542599</v>
      </c>
      <c r="R53" s="17">
        <f t="shared" si="29"/>
        <v>11.358644299813788</v>
      </c>
      <c r="S53" s="17">
        <f t="shared" si="29"/>
        <v>17.057614358947589</v>
      </c>
      <c r="T53" s="17">
        <f t="shared" si="29"/>
        <v>17.173212668008663</v>
      </c>
      <c r="U53" s="17">
        <f t="shared" si="29"/>
        <v>21.464745391367824</v>
      </c>
      <c r="V53" s="17">
        <f t="shared" si="29"/>
        <v>20.376582418579332</v>
      </c>
      <c r="W53" s="17">
        <f t="shared" si="29"/>
        <v>17.086014152227161</v>
      </c>
      <c r="X53" s="17">
        <f t="shared" si="29"/>
        <v>20.190454141340833</v>
      </c>
      <c r="Y53" s="69">
        <f t="shared" si="30"/>
        <v>19.981459130908103</v>
      </c>
      <c r="Z53" s="69">
        <f t="shared" si="30"/>
        <v>21.253018688197404</v>
      </c>
      <c r="AA53" s="69">
        <f>AA47*AA32/1000000</f>
        <v>21.292371858840603</v>
      </c>
      <c r="AB53" s="69">
        <f t="shared" ref="AB53:AR53" si="33">AB47*AB32/1000000</f>
        <v>9.81931069307063</v>
      </c>
      <c r="AC53" s="143">
        <f t="shared" si="33"/>
        <v>18.501045994738273</v>
      </c>
      <c r="AD53" s="143">
        <f t="shared" si="33"/>
        <v>22.16293205116574</v>
      </c>
      <c r="AE53" s="143">
        <f t="shared" si="33"/>
        <v>23.791174816293207</v>
      </c>
      <c r="AF53" s="143">
        <f t="shared" si="33"/>
        <v>7.6058768030481714</v>
      </c>
      <c r="AG53" s="143">
        <f t="shared" si="33"/>
        <v>0</v>
      </c>
      <c r="AH53" s="143">
        <f t="shared" si="33"/>
        <v>0.22411684659348635</v>
      </c>
      <c r="AI53" s="143">
        <f t="shared" si="33"/>
        <v>0.42153315794248392</v>
      </c>
      <c r="AJ53" s="143">
        <f t="shared" si="33"/>
        <v>1.0888011430645015</v>
      </c>
      <c r="AK53" s="143">
        <f t="shared" si="33"/>
        <v>21.772932000000001</v>
      </c>
      <c r="AL53" s="143">
        <f t="shared" si="33"/>
        <v>17.394000725755237</v>
      </c>
      <c r="AM53" s="143">
        <f t="shared" si="33"/>
        <v>12.909729656173454</v>
      </c>
      <c r="AN53" s="143">
        <f t="shared" si="33"/>
        <v>10.966571713689556</v>
      </c>
      <c r="AO53" s="143">
        <f t="shared" si="33"/>
        <v>12.419311439716955</v>
      </c>
      <c r="AP53" s="143">
        <f t="shared" si="33"/>
        <v>16.730398258187428</v>
      </c>
      <c r="AQ53" s="143">
        <f t="shared" si="33"/>
        <v>18.772419178082192</v>
      </c>
      <c r="AR53" s="143">
        <f t="shared" si="33"/>
        <v>15.068252054794522</v>
      </c>
      <c r="AS53" s="143">
        <f t="shared" si="32"/>
        <v>13.192883969881157</v>
      </c>
      <c r="AT53" s="143">
        <f t="shared" si="32"/>
        <v>12.373023999999999</v>
      </c>
      <c r="AU53" s="143">
        <f t="shared" si="32"/>
        <v>13.208876893767577</v>
      </c>
      <c r="AV53" s="143">
        <f t="shared" si="32"/>
        <v>14.212815023133448</v>
      </c>
      <c r="AW53" s="143"/>
      <c r="AX53" s="72"/>
      <c r="AY53" s="26">
        <f t="shared" si="27"/>
        <v>7.6004806270816613E-2</v>
      </c>
    </row>
    <row r="54" spans="1:51" ht="18" customHeight="1">
      <c r="A54" s="18" t="s">
        <v>34</v>
      </c>
      <c r="B54" s="17">
        <f t="shared" ref="B54:Z54" si="34">SUM(B50:B53)</f>
        <v>4.198768195085516</v>
      </c>
      <c r="C54" s="17">
        <f t="shared" si="34"/>
        <v>2.0927976168735718</v>
      </c>
      <c r="D54" s="17">
        <f t="shared" si="34"/>
        <v>28.615848995362157</v>
      </c>
      <c r="E54" s="17">
        <f t="shared" si="34"/>
        <v>65.775286181421649</v>
      </c>
      <c r="F54" s="17">
        <f t="shared" si="34"/>
        <v>59.835571374835354</v>
      </c>
      <c r="G54" s="17">
        <f t="shared" si="34"/>
        <v>57.656492983753182</v>
      </c>
      <c r="H54" s="17">
        <f t="shared" si="34"/>
        <v>38.746574090923566</v>
      </c>
      <c r="I54" s="17">
        <f t="shared" si="34"/>
        <v>31.363648949144917</v>
      </c>
      <c r="J54" s="17">
        <f t="shared" si="34"/>
        <v>33.589811515624305</v>
      </c>
      <c r="K54" s="17">
        <f t="shared" si="34"/>
        <v>53.366477276753201</v>
      </c>
      <c r="L54" s="17">
        <f t="shared" si="34"/>
        <v>57.351805854569555</v>
      </c>
      <c r="M54" s="17">
        <f t="shared" si="34"/>
        <v>65.86463853121586</v>
      </c>
      <c r="N54" s="17">
        <f t="shared" si="34"/>
        <v>50.249111681122422</v>
      </c>
      <c r="O54" s="17">
        <f t="shared" si="34"/>
        <v>53.062616367231854</v>
      </c>
      <c r="P54" s="17">
        <f t="shared" si="34"/>
        <v>58.374073355376737</v>
      </c>
      <c r="Q54" s="17">
        <f t="shared" si="34"/>
        <v>121.38631198288439</v>
      </c>
      <c r="R54" s="17">
        <f t="shared" si="34"/>
        <v>112.5007823665679</v>
      </c>
      <c r="S54" s="17">
        <f t="shared" si="34"/>
        <v>168.06921177286449</v>
      </c>
      <c r="T54" s="17">
        <f t="shared" si="34"/>
        <v>159.90361466187287</v>
      </c>
      <c r="U54" s="17">
        <f t="shared" si="34"/>
        <v>262.15501448171699</v>
      </c>
      <c r="V54" s="17">
        <f t="shared" si="34"/>
        <v>283.98956734521323</v>
      </c>
      <c r="W54" s="17">
        <f t="shared" si="34"/>
        <v>295.39268895822096</v>
      </c>
      <c r="X54" s="17">
        <f t="shared" si="34"/>
        <v>340.10903161571258</v>
      </c>
      <c r="Y54" s="70">
        <f t="shared" si="34"/>
        <v>324.18897296561732</v>
      </c>
      <c r="Z54" s="70">
        <f t="shared" si="34"/>
        <v>237.50938352765186</v>
      </c>
      <c r="AA54" s="70">
        <f>SUM(AA50:AA53)</f>
        <v>345.66111922736496</v>
      </c>
      <c r="AB54" s="70">
        <f t="shared" ref="AB54:AV54" si="35">SUM(AB50:AB53)</f>
        <v>232.75014815605095</v>
      </c>
      <c r="AC54" s="70">
        <f t="shared" si="35"/>
        <v>232.07974553206927</v>
      </c>
      <c r="AD54" s="70">
        <f t="shared" si="35"/>
        <v>296.87486845686288</v>
      </c>
      <c r="AE54" s="70">
        <f t="shared" si="35"/>
        <v>260.35045949378571</v>
      </c>
      <c r="AF54" s="70">
        <f t="shared" si="35"/>
        <v>86.792338292660787</v>
      </c>
      <c r="AG54" s="70">
        <f t="shared" si="35"/>
        <v>0</v>
      </c>
      <c r="AH54" s="70">
        <f t="shared" si="35"/>
        <v>116.18672729746892</v>
      </c>
      <c r="AI54" s="70">
        <f t="shared" si="35"/>
        <v>259.99839109135439</v>
      </c>
      <c r="AJ54" s="70">
        <f t="shared" si="35"/>
        <v>311.89980480295742</v>
      </c>
      <c r="AK54" s="70">
        <f t="shared" si="35"/>
        <v>281.77464451691924</v>
      </c>
      <c r="AL54" s="70">
        <f t="shared" si="35"/>
        <v>224.00596298648279</v>
      </c>
      <c r="AM54" s="70">
        <f t="shared" si="35"/>
        <v>253.28294565907646</v>
      </c>
      <c r="AN54" s="70">
        <f t="shared" si="35"/>
        <v>182.05498775288032</v>
      </c>
      <c r="AO54" s="70">
        <f t="shared" si="35"/>
        <v>187.89448199219814</v>
      </c>
      <c r="AP54" s="70">
        <f t="shared" si="35"/>
        <v>164.84043454594939</v>
      </c>
      <c r="AQ54" s="70">
        <f t="shared" si="35"/>
        <v>184.86709863013701</v>
      </c>
      <c r="AR54" s="70">
        <v>0</v>
      </c>
      <c r="AS54" s="70">
        <f t="shared" si="35"/>
        <v>208.98757915268078</v>
      </c>
      <c r="AT54" s="70">
        <f t="shared" si="35"/>
        <v>185.86596659999998</v>
      </c>
      <c r="AU54" s="70">
        <f t="shared" si="35"/>
        <v>154.65260001814389</v>
      </c>
      <c r="AV54" s="70">
        <f t="shared" si="35"/>
        <v>194.80461644079736</v>
      </c>
      <c r="AW54" s="70"/>
      <c r="AX54" s="72"/>
      <c r="AY54" s="26">
        <f t="shared" si="27"/>
        <v>0.2596271670695664</v>
      </c>
    </row>
    <row r="55" spans="1:51" ht="18" customHeight="1">
      <c r="A55" s="18" t="s">
        <v>35</v>
      </c>
      <c r="B55" s="17">
        <f t="shared" ref="B55:Z55" si="36">B54*0.73</f>
        <v>3.0651007824124266</v>
      </c>
      <c r="C55" s="17">
        <f t="shared" si="36"/>
        <v>1.5277422603177073</v>
      </c>
      <c r="D55" s="17">
        <f t="shared" si="36"/>
        <v>20.889569766614375</v>
      </c>
      <c r="E55" s="17">
        <f t="shared" si="36"/>
        <v>48.015958912437803</v>
      </c>
      <c r="F55" s="17">
        <f t="shared" si="36"/>
        <v>43.679967103629807</v>
      </c>
      <c r="G55" s="17">
        <f t="shared" si="36"/>
        <v>42.089239878139821</v>
      </c>
      <c r="H55" s="17">
        <f t="shared" si="36"/>
        <v>28.284999086374203</v>
      </c>
      <c r="I55" s="17">
        <f t="shared" si="36"/>
        <v>22.89546373287579</v>
      </c>
      <c r="J55" s="17">
        <f t="shared" si="36"/>
        <v>24.520562406405741</v>
      </c>
      <c r="K55" s="17">
        <f t="shared" si="36"/>
        <v>38.957528412029838</v>
      </c>
      <c r="L55" s="17">
        <f t="shared" si="36"/>
        <v>41.866818273835776</v>
      </c>
      <c r="M55" s="17">
        <f t="shared" si="36"/>
        <v>48.081186127787575</v>
      </c>
      <c r="N55" s="17">
        <f t="shared" si="36"/>
        <v>36.681851527219365</v>
      </c>
      <c r="O55" s="17">
        <f t="shared" si="36"/>
        <v>38.735709948079254</v>
      </c>
      <c r="P55" s="17">
        <f t="shared" si="36"/>
        <v>42.613073549425017</v>
      </c>
      <c r="Q55" s="17">
        <f t="shared" si="36"/>
        <v>88.612007747505601</v>
      </c>
      <c r="R55" s="17">
        <f t="shared" si="36"/>
        <v>82.125571127594569</v>
      </c>
      <c r="S55" s="17">
        <f t="shared" si="36"/>
        <v>122.69052459419107</v>
      </c>
      <c r="T55" s="17">
        <f t="shared" si="36"/>
        <v>116.72963870316718</v>
      </c>
      <c r="U55" s="17">
        <f t="shared" si="36"/>
        <v>191.37316057165339</v>
      </c>
      <c r="V55" s="17">
        <f t="shared" si="36"/>
        <v>207.31238416200566</v>
      </c>
      <c r="W55" s="17">
        <f t="shared" si="36"/>
        <v>215.63666293950129</v>
      </c>
      <c r="X55" s="17">
        <f t="shared" si="36"/>
        <v>248.27959307947017</v>
      </c>
      <c r="Y55" s="70">
        <f t="shared" si="36"/>
        <v>236.65795026490065</v>
      </c>
      <c r="Z55" s="70">
        <f t="shared" si="36"/>
        <v>173.38184997518584</v>
      </c>
      <c r="AA55" s="70">
        <f>AA54*0.73</f>
        <v>252.33261703597643</v>
      </c>
      <c r="AB55" s="70">
        <f>AB54*0.73</f>
        <v>169.90760815391718</v>
      </c>
      <c r="AC55" s="70">
        <f>AC54*0.73</f>
        <v>169.41821423841057</v>
      </c>
      <c r="AD55" s="70">
        <f>AD54*0.73</f>
        <v>216.7186539735099</v>
      </c>
      <c r="AE55" s="70">
        <f>AE54*0.73</f>
        <v>190.05583543046356</v>
      </c>
      <c r="AF55" s="70">
        <f t="shared" ref="AF55:AV55" si="37">AF54*0.73</f>
        <v>63.358406953642373</v>
      </c>
      <c r="AG55" s="70">
        <f t="shared" si="37"/>
        <v>0</v>
      </c>
      <c r="AH55" s="70">
        <f t="shared" si="37"/>
        <v>84.816310927152315</v>
      </c>
      <c r="AI55" s="70">
        <f t="shared" si="37"/>
        <v>189.79882549668869</v>
      </c>
      <c r="AJ55" s="70">
        <f t="shared" si="37"/>
        <v>227.6868575061589</v>
      </c>
      <c r="AK55" s="70">
        <f t="shared" si="37"/>
        <v>205.69549049735105</v>
      </c>
      <c r="AL55" s="70">
        <f t="shared" si="37"/>
        <v>163.52435298013242</v>
      </c>
      <c r="AM55" s="70">
        <f t="shared" si="37"/>
        <v>184.89655033112581</v>
      </c>
      <c r="AN55" s="70">
        <f t="shared" si="37"/>
        <v>132.90014105960265</v>
      </c>
      <c r="AO55" s="70">
        <f t="shared" si="37"/>
        <v>137.16297185430463</v>
      </c>
      <c r="AP55" s="70">
        <f t="shared" si="37"/>
        <v>120.33351721854305</v>
      </c>
      <c r="AQ55" s="70">
        <f t="shared" si="37"/>
        <v>134.95298200000002</v>
      </c>
      <c r="AR55" s="144">
        <f t="shared" si="37"/>
        <v>0</v>
      </c>
      <c r="AS55" s="70">
        <f t="shared" si="37"/>
        <v>152.56093278145696</v>
      </c>
      <c r="AT55" s="70">
        <f t="shared" si="37"/>
        <v>135.68215561799997</v>
      </c>
      <c r="AU55" s="70">
        <f t="shared" si="37"/>
        <v>112.89639801324503</v>
      </c>
      <c r="AV55" s="70">
        <f t="shared" si="37"/>
        <v>142.20737000178207</v>
      </c>
      <c r="AW55" s="70"/>
      <c r="AX55" s="72"/>
      <c r="AY55" s="26">
        <f t="shared" si="27"/>
        <v>0.2596271670695664</v>
      </c>
    </row>
    <row r="56" spans="1:51" ht="42" customHeight="1">
      <c r="A56" s="118" t="s">
        <v>120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52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72"/>
      <c r="AY56" s="26" t="e">
        <f t="shared" si="27"/>
        <v>#DIV/0!</v>
      </c>
    </row>
    <row r="57" spans="1:51" ht="18" customHeight="1">
      <c r="A57" s="4" t="s">
        <v>121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69">
        <f>[1]Sheet1!B22</f>
        <v>27436</v>
      </c>
      <c r="AR57" s="69">
        <f>[1]Sheet1!C22</f>
        <v>25219</v>
      </c>
      <c r="AS57" s="69">
        <f>[1]Sheet1!D22</f>
        <v>13150</v>
      </c>
      <c r="AT57" s="69">
        <f>[1]Sheet1!E22</f>
        <v>31889</v>
      </c>
      <c r="AU57" s="69">
        <f>[1]Sheet1!F22</f>
        <v>15720</v>
      </c>
      <c r="AV57" s="69">
        <f>[1]Sheet1!G22</f>
        <v>17750.181818181816</v>
      </c>
      <c r="AW57" s="145"/>
      <c r="AX57" s="72"/>
      <c r="AY57" s="26">
        <f t="shared" si="27"/>
        <v>0.12914642609299085</v>
      </c>
    </row>
    <row r="58" spans="1:51" ht="18" customHeight="1">
      <c r="A58" s="5" t="s">
        <v>122</v>
      </c>
      <c r="B58" s="17">
        <f>'[2]mill lbs.'!O113+'[2]mill lbs.'!O118</f>
        <v>64083.5</v>
      </c>
      <c r="C58" s="17">
        <f>'[2]mill lbs.'!P113+'[2]mill lbs.'!P118</f>
        <v>5054.5</v>
      </c>
      <c r="D58" s="17">
        <f>'[2]mill lbs.'!Q113+'[2]mill lbs.'!Q118</f>
        <v>14381</v>
      </c>
      <c r="E58" s="17">
        <f>'[2]mill lbs.'!R113+'[2]mill lbs.'!R118</f>
        <v>27346.5</v>
      </c>
      <c r="F58" s="17">
        <f>'[2]mill lbs.'!S113+'[2]mill lbs.'!S118</f>
        <v>49059.5</v>
      </c>
      <c r="G58" s="17">
        <f>'[2]mill lbs.'!T113+'[2]mill lbs.'!T118</f>
        <v>31277</v>
      </c>
      <c r="H58" s="17">
        <f>'[2]mill lbs.'!U113+'[2]mill lbs.'!U118</f>
        <v>30799.5</v>
      </c>
      <c r="I58" s="17">
        <f>'[2]mill lbs.'!V113+'[2]mill lbs.'!V118</f>
        <v>39521.5</v>
      </c>
      <c r="J58" s="17">
        <f>'[2]mill lbs.'!W113+'[2]mill lbs.'!W118</f>
        <v>30845.805968850604</v>
      </c>
      <c r="K58" s="17">
        <f>'[2]mill lbs.'!X113+'[2]mill lbs.'!X118</f>
        <v>57752.697834730374</v>
      </c>
      <c r="L58" s="17">
        <f>'[2]mill lbs.'!Y113+'[2]mill lbs.'!Y118</f>
        <v>3699.6278581761417</v>
      </c>
      <c r="M58" s="17">
        <f>'[2]mill lbs.'!Z113+'[2]mill lbs.'!Z118</f>
        <v>3881.5710134960882</v>
      </c>
      <c r="N58" s="17">
        <f>'[2]mill lbs.'!AA113+'[2]mill lbs.'!AA118</f>
        <v>61058.233179403149</v>
      </c>
      <c r="O58" s="17">
        <f>'[2]mill lbs.'!AB113+'[2]mill lbs.'!AB118</f>
        <v>-6341.2957586196289</v>
      </c>
      <c r="P58" s="17">
        <f>'[2]mill lbs.'!AC113+'[2]mill lbs.'!AC118</f>
        <v>-8393.7969136606334</v>
      </c>
      <c r="Q58" s="17">
        <f>'[2]mill lbs.'!AD113+'[2]mill lbs.'!AD118</f>
        <v>8062.8332810289521</v>
      </c>
      <c r="R58" s="17">
        <f>'[2]mill lbs.'!AE113+'[2]mill lbs.'!AE118</f>
        <v>25695.51882785196</v>
      </c>
      <c r="S58" s="17">
        <f>'[2]mill lbs.'!AF113+'[2]mill lbs.'!AF118</f>
        <v>116847.4574421729</v>
      </c>
      <c r="T58" s="17">
        <f>'[2]mill lbs.'!AG113+'[2]mill lbs.'!AG118</f>
        <v>145928.09601755365</v>
      </c>
      <c r="U58" s="17">
        <f>'[2]mill lbs.'!AH113+'[2]mill lbs.'!AH118</f>
        <v>165922.23419431155</v>
      </c>
      <c r="V58" s="17">
        <f>'[2]mill lbs.'!AI113+'[2]mill lbs.'!AI118</f>
        <v>135721.3543934646</v>
      </c>
      <c r="W58" s="17">
        <f>'[2]mill lbs.'!AJ113+'[2]mill lbs.'!AJ118</f>
        <v>11322.070226355383</v>
      </c>
      <c r="X58" s="17">
        <f>'[2]mill lbs.'!AK113+'[2]mill lbs.'!AK118</f>
        <v>9968.7999999999993</v>
      </c>
      <c r="Y58" s="69">
        <f>'[2]mill lbs.'!AL113+'[2]mill lbs.'!AL118</f>
        <v>83351</v>
      </c>
      <c r="Z58" s="69">
        <f>'[2]mill lbs.'!AM113+'[2]mill lbs.'!AM118</f>
        <v>120483.3</v>
      </c>
      <c r="AA58" s="69">
        <f>'[2]mill lbs.'!AN113+'[2]mill lbs.'!AN118</f>
        <v>73178</v>
      </c>
      <c r="AB58" s="69">
        <f>'[2]mill lbs.'!AO113+'[2]mill lbs.'!AO118</f>
        <v>-56421</v>
      </c>
      <c r="AC58" s="84">
        <f>25459+54300</f>
        <v>79759</v>
      </c>
      <c r="AD58" s="84">
        <v>103257</v>
      </c>
      <c r="AE58" s="84">
        <v>257757</v>
      </c>
      <c r="AF58" s="84">
        <v>57860</v>
      </c>
      <c r="AG58" s="84">
        <v>0</v>
      </c>
      <c r="AH58" s="84">
        <v>150974</v>
      </c>
      <c r="AI58" s="84">
        <v>176739</v>
      </c>
      <c r="AJ58" s="84">
        <v>294401</v>
      </c>
      <c r="AK58" s="84">
        <v>270327</v>
      </c>
      <c r="AL58" s="84">
        <v>104362</v>
      </c>
      <c r="AM58" s="84">
        <v>81423</v>
      </c>
      <c r="AN58" s="84">
        <v>47378</v>
      </c>
      <c r="AO58" s="146">
        <v>77010</v>
      </c>
      <c r="AP58" s="146">
        <v>149412</v>
      </c>
      <c r="AQ58" s="146">
        <f>[1]Sheet1!B8</f>
        <v>231310</v>
      </c>
      <c r="AR58" s="146">
        <f>[1]Sheet1!C8</f>
        <v>137502</v>
      </c>
      <c r="AS58" s="146">
        <f>[1]Sheet1!D8</f>
        <v>177799</v>
      </c>
      <c r="AT58" s="146">
        <f>[1]Sheet1!E8</f>
        <v>187628</v>
      </c>
      <c r="AU58" s="146">
        <f>[1]Sheet1!F8</f>
        <v>115373</v>
      </c>
      <c r="AV58" s="146">
        <f>[1]Sheet1!G8</f>
        <v>138472.36363636365</v>
      </c>
      <c r="AW58" s="99">
        <f>((AV58+AV59)-(AU58+AU59))/(AU58+AU59)</f>
        <v>0.61203272120302687</v>
      </c>
      <c r="AX58" s="72"/>
      <c r="AY58" s="26">
        <f t="shared" si="27"/>
        <v>0.20021463978889034</v>
      </c>
    </row>
    <row r="59" spans="1:51" ht="18" customHeight="1">
      <c r="A59" s="5" t="s">
        <v>123</v>
      </c>
      <c r="B59" s="17">
        <f>'[2]mill lbs.'!$B$114+'[2]mill lbs.'!$B$119</f>
        <v>69467</v>
      </c>
      <c r="C59" s="17">
        <f>'[2]mill lbs.'!$B$114+'[2]mill lbs.'!$B$119</f>
        <v>69467</v>
      </c>
      <c r="D59" s="17">
        <f>'[2]mill lbs.'!$B$114+'[2]mill lbs.'!$B$119</f>
        <v>69467</v>
      </c>
      <c r="E59" s="17">
        <f>'[2]mill lbs.'!$B$114+'[2]mill lbs.'!$B$119</f>
        <v>69467</v>
      </c>
      <c r="F59" s="17">
        <f>'[2]mill lbs.'!$B$114+'[2]mill lbs.'!$B$119</f>
        <v>69467</v>
      </c>
      <c r="G59" s="17">
        <f>'[2]mill lbs.'!$B$114+'[2]mill lbs.'!$B$119</f>
        <v>69467</v>
      </c>
      <c r="H59" s="17">
        <f>'[2]mill lbs.'!$B$114+'[2]mill lbs.'!$B$119</f>
        <v>69467</v>
      </c>
      <c r="I59" s="17">
        <f>'[2]mill lbs.'!$B$114+'[2]mill lbs.'!$B$119</f>
        <v>69467</v>
      </c>
      <c r="J59" s="17">
        <f>'[2]mill lbs.'!$B$114+'[2]mill lbs.'!$B$119</f>
        <v>69467</v>
      </c>
      <c r="K59" s="17">
        <f>'[2]mill lbs.'!$B$114+'[2]mill lbs.'!$B$119</f>
        <v>69467</v>
      </c>
      <c r="L59" s="17">
        <f>'[2]mill lbs.'!$B$114+'[2]mill lbs.'!$B$119</f>
        <v>69467</v>
      </c>
      <c r="M59" s="17">
        <f>'[2]mill lbs.'!$B$114+'[2]mill lbs.'!$B$119</f>
        <v>69467</v>
      </c>
      <c r="N59" s="17">
        <f>'[2]mill lbs.'!$B$114+'[2]mill lbs.'!$B$119</f>
        <v>69467</v>
      </c>
      <c r="O59" s="17">
        <f>'[2]mill lbs.'!$B$114+'[2]mill lbs.'!$B$119</f>
        <v>69467</v>
      </c>
      <c r="P59" s="17">
        <f>'[2]mill lbs.'!$B$114+'[2]mill lbs.'!$B$119</f>
        <v>69467</v>
      </c>
      <c r="Q59" s="17">
        <f>'[2]mill lbs.'!$B$114+'[2]mill lbs.'!$B$119</f>
        <v>69467</v>
      </c>
      <c r="R59" s="17">
        <f>'[2]mill lbs.'!$B$114+'[2]mill lbs.'!$B$119</f>
        <v>69467</v>
      </c>
      <c r="S59" s="17">
        <f>'[2]mill lbs.'!$B$114+'[2]mill lbs.'!$B$119</f>
        <v>69467</v>
      </c>
      <c r="T59" s="17">
        <f>'[2]mill lbs.'!$B$114+'[2]mill lbs.'!$B$119</f>
        <v>69467</v>
      </c>
      <c r="U59" s="17">
        <f>'[2]mill lbs.'!$B$114+'[2]mill lbs.'!$B$119</f>
        <v>69467</v>
      </c>
      <c r="V59" s="17">
        <f>'[2]mill lbs.'!$B$114+'[2]mill lbs.'!$B$119</f>
        <v>69467</v>
      </c>
      <c r="W59" s="17">
        <f>'[2]mill lbs.'!$B$114+'[2]mill lbs.'!$B$119</f>
        <v>69467</v>
      </c>
      <c r="X59" s="17">
        <f>'[2]mill lbs.'!$B$114+'[2]mill lbs.'!$B$119</f>
        <v>69467</v>
      </c>
      <c r="Y59" s="69">
        <f>'[2]mill lbs.'!$B$114+'[2]mill lbs.'!$B$119</f>
        <v>69467</v>
      </c>
      <c r="Z59" s="69">
        <f>'[2]mill lbs.'!$B$114+'[2]mill lbs.'!$B$119</f>
        <v>69467</v>
      </c>
      <c r="AA59" s="69">
        <f>'[2]mill lbs.'!$B$114+'[2]mill lbs.'!$B$119</f>
        <v>69467</v>
      </c>
      <c r="AB59" s="69">
        <f>'[2]mill lbs.'!$B$114+'[2]mill lbs.'!$B$119</f>
        <v>69467</v>
      </c>
      <c r="AC59" s="84">
        <v>20569</v>
      </c>
      <c r="AD59" s="84">
        <v>55202</v>
      </c>
      <c r="AE59" s="84">
        <v>188937</v>
      </c>
      <c r="AF59" s="84">
        <v>33017.739094620614</v>
      </c>
      <c r="AG59" s="84">
        <v>0</v>
      </c>
      <c r="AH59" s="84">
        <v>76065</v>
      </c>
      <c r="AI59" s="84">
        <v>131981</v>
      </c>
      <c r="AJ59" s="84">
        <v>243598</v>
      </c>
      <c r="AK59" s="84">
        <v>356016</v>
      </c>
      <c r="AL59" s="84">
        <v>178144</v>
      </c>
      <c r="AM59" s="84">
        <v>135460</v>
      </c>
      <c r="AN59" s="84">
        <v>52592</v>
      </c>
      <c r="AO59" s="146">
        <v>88619</v>
      </c>
      <c r="AP59" s="146">
        <v>205664</v>
      </c>
      <c r="AQ59" s="146">
        <f>[1]Sheet1!B18</f>
        <v>121054</v>
      </c>
      <c r="AR59" s="146">
        <f>[1]Sheet1!C18</f>
        <v>72813</v>
      </c>
      <c r="AS59" s="146">
        <f>[1]Sheet1!D18</f>
        <v>69829</v>
      </c>
      <c r="AT59" s="146">
        <f>[1]Sheet1!E18</f>
        <v>84741</v>
      </c>
      <c r="AU59" s="146">
        <f>[1]Sheet1!F18</f>
        <v>62560</v>
      </c>
      <c r="AV59" s="146">
        <f>[1]Sheet1!G18</f>
        <v>148361.45454545453</v>
      </c>
      <c r="AW59" s="99">
        <f>((AV58+AV59)-(AU58+AU59))/(AU58+AU59)</f>
        <v>0.61203272120302687</v>
      </c>
      <c r="AX59" s="72"/>
      <c r="AY59" s="26">
        <f t="shared" si="27"/>
        <v>1.3715066263659612</v>
      </c>
    </row>
    <row r="60" spans="1:51" ht="18" customHeight="1">
      <c r="A60" s="5" t="s">
        <v>124</v>
      </c>
      <c r="B60" s="165">
        <f t="shared" ref="B60:AV60" si="38">((B58*B29)+(B59*B30))/1000000</f>
        <v>33.941429387473718</v>
      </c>
      <c r="C60" s="165">
        <f t="shared" si="38"/>
        <v>17.634374389000484</v>
      </c>
      <c r="D60" s="165">
        <f t="shared" si="38"/>
        <v>18.965638483171549</v>
      </c>
      <c r="E60" s="165">
        <f t="shared" si="38"/>
        <v>23.778793454594936</v>
      </c>
      <c r="F60" s="165">
        <f t="shared" si="38"/>
        <v>29.773115054885238</v>
      </c>
      <c r="G60" s="165">
        <f t="shared" si="38"/>
        <v>25.665925111131269</v>
      </c>
      <c r="H60" s="165">
        <f t="shared" si="38"/>
        <v>26.559457271160298</v>
      </c>
      <c r="I60" s="165">
        <f t="shared" si="38"/>
        <v>29.224147419032928</v>
      </c>
      <c r="J60" s="165">
        <f t="shared" si="38"/>
        <v>26.397168789830683</v>
      </c>
      <c r="K60" s="165">
        <f t="shared" si="38"/>
        <v>33.947365602351915</v>
      </c>
      <c r="L60" s="165">
        <f t="shared" si="38"/>
        <v>18.32934870017198</v>
      </c>
      <c r="M60" s="165">
        <f t="shared" si="38"/>
        <v>18.417617059552086</v>
      </c>
      <c r="N60" s="165">
        <f t="shared" si="38"/>
        <v>36.56498422505139</v>
      </c>
      <c r="O60" s="165">
        <f t="shared" si="38"/>
        <v>16.236829511856413</v>
      </c>
      <c r="P60" s="165">
        <f t="shared" si="38"/>
        <v>15.963177063757474</v>
      </c>
      <c r="Q60" s="165">
        <f t="shared" si="38"/>
        <v>21.764356775258985</v>
      </c>
      <c r="R60" s="165">
        <f t="shared" si="38"/>
        <v>27.279368252080474</v>
      </c>
      <c r="S60" s="165">
        <f t="shared" si="38"/>
        <v>57.109785563900054</v>
      </c>
      <c r="T60" s="165">
        <f t="shared" si="38"/>
        <v>68.14053376135945</v>
      </c>
      <c r="U60" s="165">
        <f t="shared" si="38"/>
        <v>75.100432487133332</v>
      </c>
      <c r="V60" s="165">
        <f t="shared" si="38"/>
        <v>65.727918199674704</v>
      </c>
      <c r="W60" s="165">
        <f t="shared" si="38"/>
        <v>25.663339339174119</v>
      </c>
      <c r="X60" s="165">
        <f t="shared" si="38"/>
        <v>25.473945432277961</v>
      </c>
      <c r="Y60" s="165">
        <f t="shared" si="38"/>
        <v>50.198547582327855</v>
      </c>
      <c r="Z60" s="165">
        <f t="shared" si="38"/>
        <v>63.896439943753975</v>
      </c>
      <c r="AA60" s="165">
        <f t="shared" si="38"/>
        <v>49.289746439263361</v>
      </c>
      <c r="AB60" s="165">
        <f t="shared" si="38"/>
        <v>2.9458695454957859</v>
      </c>
      <c r="AC60" s="165">
        <f t="shared" si="38"/>
        <v>36.52256418397895</v>
      </c>
      <c r="AD60" s="165">
        <f t="shared" si="38"/>
        <v>57.733619250657711</v>
      </c>
      <c r="AE60" s="165">
        <f t="shared" si="38"/>
        <v>163.86549623514466</v>
      </c>
      <c r="AF60" s="165">
        <f t="shared" si="38"/>
        <v>33.61151874847986</v>
      </c>
      <c r="AG60" s="165">
        <f t="shared" si="38"/>
        <v>0</v>
      </c>
      <c r="AH60" s="165">
        <f t="shared" si="38"/>
        <v>83.270288487707504</v>
      </c>
      <c r="AI60" s="165">
        <f t="shared" si="38"/>
        <v>114.0572883969881</v>
      </c>
      <c r="AJ60" s="165">
        <f t="shared" si="38"/>
        <v>198.6846227853579</v>
      </c>
      <c r="AK60" s="165">
        <f t="shared" si="38"/>
        <v>230.69936621101331</v>
      </c>
      <c r="AL60" s="165">
        <f t="shared" si="38"/>
        <v>103.64219359521002</v>
      </c>
      <c r="AM60" s="165">
        <f t="shared" si="38"/>
        <v>79.651495509389463</v>
      </c>
      <c r="AN60" s="165">
        <f t="shared" si="38"/>
        <v>37.098655538419663</v>
      </c>
      <c r="AO60" s="165">
        <f t="shared" si="38"/>
        <v>63.591463757597744</v>
      </c>
      <c r="AP60" s="165">
        <f t="shared" si="38"/>
        <v>134.98378662795972</v>
      </c>
      <c r="AQ60" s="165">
        <f t="shared" si="38"/>
        <v>133.91856438356163</v>
      </c>
      <c r="AR60" s="165">
        <f t="shared" si="38"/>
        <v>82.984302739726033</v>
      </c>
      <c r="AS60" s="165">
        <f t="shared" si="38"/>
        <v>100.75454504218453</v>
      </c>
      <c r="AT60" s="166">
        <f t="shared" si="38"/>
        <v>107.7169693</v>
      </c>
      <c r="AU60" s="166">
        <f t="shared" si="38"/>
        <v>70.358036832078383</v>
      </c>
      <c r="AV60" s="166">
        <f t="shared" si="38"/>
        <v>113.31033258802667</v>
      </c>
      <c r="AW60" s="147"/>
      <c r="AX60" s="133"/>
      <c r="AY60" s="26">
        <f t="shared" si="27"/>
        <v>0.61048172589666427</v>
      </c>
    </row>
    <row r="61" spans="1:51" ht="18" customHeight="1">
      <c r="A61" s="168" t="s">
        <v>125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>
        <f>[1]Sheet1!E28</f>
        <v>53.833943399999995</v>
      </c>
      <c r="AU61" s="69">
        <f>[1]Sheet1!F28</f>
        <v>78.445519368592926</v>
      </c>
      <c r="AV61" s="69">
        <f>[1]Sheet1!G28</f>
        <v>110.51921772307489</v>
      </c>
      <c r="AW61" s="69"/>
      <c r="AX61" s="72"/>
      <c r="AY61" s="26">
        <f t="shared" si="27"/>
        <v>0.40886590607905698</v>
      </c>
    </row>
    <row r="62" spans="1:51" ht="18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72"/>
      <c r="AY62" s="26"/>
    </row>
    <row r="63" spans="1:51" ht="18" customHeight="1">
      <c r="A63" s="46" t="s">
        <v>126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>
        <f>([1]Sheet1!B23)</f>
        <v>17319</v>
      </c>
      <c r="AR63" s="69">
        <f>([1]Sheet1!C23)</f>
        <v>10545</v>
      </c>
      <c r="AS63" s="69">
        <f>([1]Sheet1!D23)</f>
        <v>17407</v>
      </c>
      <c r="AT63" s="69">
        <f>([1]Sheet1!E23)</f>
        <v>106682</v>
      </c>
      <c r="AU63" s="69">
        <f>([1]Sheet1!F23)</f>
        <v>180242</v>
      </c>
      <c r="AV63" s="69">
        <f>([1]Sheet1!G23)</f>
        <v>254043.27272727274</v>
      </c>
      <c r="AW63" s="69"/>
      <c r="AX63" s="72"/>
      <c r="AY63" s="26">
        <f t="shared" si="27"/>
        <v>0.40945657908407995</v>
      </c>
    </row>
    <row r="64" spans="1:51" ht="18" customHeight="1">
      <c r="A64" s="46" t="s">
        <v>127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72"/>
      <c r="AY64" s="26" t="e">
        <f t="shared" si="27"/>
        <v>#DIV/0!</v>
      </c>
    </row>
    <row r="65" spans="1:57" ht="18" customHeight="1">
      <c r="A65" s="46" t="s">
        <v>128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>
        <f>[1]Sheet1!B22</f>
        <v>27436</v>
      </c>
      <c r="AR65" s="69">
        <f>[1]Sheet1!C22</f>
        <v>25219</v>
      </c>
      <c r="AS65" s="69">
        <f>[1]Sheet1!D22</f>
        <v>13150</v>
      </c>
      <c r="AT65" s="69">
        <f>[1]Sheet1!E22</f>
        <v>31889</v>
      </c>
      <c r="AU65" s="69">
        <f>[1]Sheet1!F22</f>
        <v>15720</v>
      </c>
      <c r="AV65" s="69">
        <f>[1]Sheet1!G22</f>
        <v>17750.181818181816</v>
      </c>
      <c r="AW65" s="69"/>
      <c r="AX65" s="72"/>
      <c r="AY65" s="26">
        <f t="shared" si="27"/>
        <v>0.12914642609299085</v>
      </c>
    </row>
    <row r="66" spans="1:57" ht="18" customHeight="1">
      <c r="A66" s="46" t="s">
        <v>129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>
        <f>(AQ63*AQ29)/1000</f>
        <v>6761.5273972602736</v>
      </c>
      <c r="AR66" s="69">
        <f t="shared" ref="AR66:AV66" si="39">(AR63*AR29)/1000</f>
        <v>4275.7808219178087</v>
      </c>
      <c r="AS66" s="69">
        <f t="shared" si="39"/>
        <v>7256.2065680849137</v>
      </c>
      <c r="AT66" s="69">
        <f t="shared" si="39"/>
        <v>43259.550999999999</v>
      </c>
      <c r="AU66" s="69">
        <f t="shared" si="39"/>
        <v>73254.482445795147</v>
      </c>
      <c r="AV66" s="69">
        <f t="shared" si="39"/>
        <v>104665.82836363636</v>
      </c>
      <c r="AW66" s="69"/>
      <c r="AX66" s="72"/>
      <c r="AY66" s="26">
        <f t="shared" si="27"/>
        <v>0.42879759530188649</v>
      </c>
    </row>
    <row r="67" spans="1:57" ht="18" customHeight="1">
      <c r="A67" s="5" t="s">
        <v>130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72"/>
      <c r="Z67" s="72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133">
        <f>(AT65*AT31)/1000000</f>
        <v>10.574392400000001</v>
      </c>
      <c r="AU67" s="133">
        <f t="shared" ref="AU67:AV67" si="40">(AU65*AU31)/1000000</f>
        <v>5.1910369227977862</v>
      </c>
      <c r="AV67" s="133">
        <f t="shared" si="40"/>
        <v>5.8533893594385296</v>
      </c>
      <c r="AW67" s="69"/>
      <c r="AX67" s="72"/>
      <c r="AY67" s="26">
        <f t="shared" si="27"/>
        <v>0.12759540078242379</v>
      </c>
    </row>
    <row r="68" spans="1:57" ht="18" customHeight="1">
      <c r="A68" s="15" t="s">
        <v>131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70">
        <f t="shared" ref="Y68:AS68" si="41">Y40+Y54+Y60</f>
        <v>1276.0102694029745</v>
      </c>
      <c r="Z68" s="70">
        <f t="shared" si="41"/>
        <v>1333.7199252044284</v>
      </c>
      <c r="AA68" s="70">
        <f t="shared" si="41"/>
        <v>1480.665381887799</v>
      </c>
      <c r="AB68" s="70">
        <f t="shared" si="41"/>
        <v>1436.5650585295973</v>
      </c>
      <c r="AC68" s="70">
        <f t="shared" si="41"/>
        <v>1474.6138676808055</v>
      </c>
      <c r="AD68" s="70">
        <f t="shared" si="41"/>
        <v>1556.7017465899239</v>
      </c>
      <c r="AE68" s="70">
        <f t="shared" si="41"/>
        <v>1675.225836147828</v>
      </c>
      <c r="AF68" s="70">
        <f t="shared" si="41"/>
        <v>1252.0170682376652</v>
      </c>
      <c r="AG68" s="70">
        <f t="shared" si="41"/>
        <v>1412.8617124850614</v>
      </c>
      <c r="AH68" s="70">
        <f t="shared" si="41"/>
        <v>1602.7735660946703</v>
      </c>
      <c r="AI68" s="70">
        <f t="shared" si="41"/>
        <v>1644.0756047992395</v>
      </c>
      <c r="AJ68" s="70">
        <f t="shared" si="41"/>
        <v>1734.9186090439302</v>
      </c>
      <c r="AK68" s="70">
        <f t="shared" si="41"/>
        <v>1757.1028856737696</v>
      </c>
      <c r="AL68" s="70">
        <f t="shared" si="41"/>
        <v>1537.0941404073105</v>
      </c>
      <c r="AM68" s="70">
        <f t="shared" si="41"/>
        <v>1565.4000902132843</v>
      </c>
      <c r="AN68" s="70">
        <f t="shared" si="41"/>
        <v>1331.2913278099168</v>
      </c>
      <c r="AO68" s="70">
        <f t="shared" si="41"/>
        <v>1296.3147320210221</v>
      </c>
      <c r="AP68" s="70">
        <f t="shared" si="41"/>
        <v>1321.5098543145075</v>
      </c>
      <c r="AQ68" s="70">
        <f t="shared" si="41"/>
        <v>1362.9593557221474</v>
      </c>
      <c r="AR68" s="70">
        <f t="shared" si="41"/>
        <v>1113.6271701659987</v>
      </c>
      <c r="AS68" s="70">
        <f t="shared" si="41"/>
        <v>1415.3467359804981</v>
      </c>
      <c r="AT68" s="70">
        <f>AT40+AT54+AT60-[1]Sheet1!E28</f>
        <v>1395.7343677163999</v>
      </c>
      <c r="AU68" s="70">
        <f>AU40+AU54+AU60-[1]Sheet1!F28</f>
        <v>1377.7018313952644</v>
      </c>
      <c r="AV68" s="70">
        <f>AV40+AV54+AV610</f>
        <v>1498.3361970437065</v>
      </c>
      <c r="AW68" s="148">
        <f>(AV68-AU68)/AU68</f>
        <v>8.7562027500732803E-2</v>
      </c>
      <c r="AX68" s="68"/>
      <c r="AY68" s="26">
        <f>(AV68-AU68)/AU68</f>
        <v>8.7562027500732803E-2</v>
      </c>
    </row>
    <row r="69" spans="1:57" ht="18" customHeight="1">
      <c r="A69" s="5" t="s">
        <v>132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72"/>
      <c r="Z69" s="72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>
        <f t="shared" ref="AT69:AU69" si="42">AT40+AT54+AT60</f>
        <v>1449.5683111163999</v>
      </c>
      <c r="AU69" s="69">
        <f t="shared" si="42"/>
        <v>1456.1473507638573</v>
      </c>
      <c r="AV69" s="69">
        <f>AV40+AV54+AV60</f>
        <v>1611.6465296317333</v>
      </c>
      <c r="AW69" s="69"/>
      <c r="AX69" s="68"/>
      <c r="AY69" s="26">
        <f>(AV69-AU69)/AU69</f>
        <v>0.10678807937006181</v>
      </c>
    </row>
    <row r="70" spans="1:57" ht="6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72"/>
      <c r="Z70" s="72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8"/>
    </row>
    <row r="71" spans="1:57" ht="18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72"/>
      <c r="Z71" s="72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149">
        <f>(AV69-AU69)/AU68</f>
        <v>0.11286852882411762</v>
      </c>
      <c r="AW71" s="69"/>
      <c r="AX71" s="68"/>
      <c r="AY71" s="26"/>
    </row>
    <row r="72" spans="1:57" ht="3" customHeight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2"/>
      <c r="Z72" s="72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143"/>
      <c r="AV72" s="143"/>
      <c r="AW72" s="143"/>
      <c r="AX72" s="72"/>
    </row>
    <row r="73" spans="1:57" ht="18" customHeight="1">
      <c r="A73" s="55" t="s">
        <v>133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72"/>
      <c r="Z73" s="72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72"/>
      <c r="AV73" s="72"/>
      <c r="AW73" s="94">
        <f>(AR76-AV76)/AR76</f>
        <v>3.4798695468196847E-2</v>
      </c>
      <c r="AX73" s="72"/>
    </row>
    <row r="74" spans="1:57" ht="18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72"/>
      <c r="AY74" s="44"/>
      <c r="AZ74" s="44"/>
      <c r="BA74" s="20"/>
      <c r="BB74" s="43"/>
      <c r="BC74" s="43"/>
      <c r="BD74" s="43"/>
      <c r="BE74" s="43"/>
    </row>
    <row r="75" spans="1:57" ht="18" customHeight="1">
      <c r="A75" s="57" t="s">
        <v>134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84">
        <v>4718.2</v>
      </c>
      <c r="Z75" s="84">
        <v>4688.3999999999996</v>
      </c>
      <c r="AA75" s="84">
        <v>4601.1000000000004</v>
      </c>
      <c r="AB75" s="84">
        <v>4616.7</v>
      </c>
      <c r="AC75" s="84">
        <v>4710.6000000000004</v>
      </c>
      <c r="AD75" s="84">
        <v>4799.3</v>
      </c>
      <c r="AE75" s="84">
        <v>4821.6000000000004</v>
      </c>
      <c r="AF75" s="84">
        <v>4924.2</v>
      </c>
      <c r="AG75" s="84">
        <v>5334.7</v>
      </c>
      <c r="AH75" s="84">
        <v>5436.2</v>
      </c>
      <c r="AI75" s="84">
        <v>5164.6000000000004</v>
      </c>
      <c r="AJ75" s="84">
        <v>5030.2</v>
      </c>
      <c r="AK75" s="84">
        <v>4767.3999999999996</v>
      </c>
      <c r="AL75" s="84">
        <v>4374.8</v>
      </c>
      <c r="AM75" s="84">
        <v>4096</v>
      </c>
      <c r="AN75" s="84">
        <v>3944.2</v>
      </c>
      <c r="AO75" s="84">
        <v>3931</v>
      </c>
      <c r="AP75" s="84">
        <v>3932</v>
      </c>
      <c r="AQ75" s="84">
        <v>3848</v>
      </c>
      <c r="AR75" s="123">
        <v>3737</v>
      </c>
      <c r="AS75" s="123">
        <v>3737</v>
      </c>
      <c r="AT75" s="123">
        <v>3771</v>
      </c>
      <c r="AU75" s="151">
        <v>3726</v>
      </c>
      <c r="AV75" s="151">
        <v>3661</v>
      </c>
      <c r="AW75" s="151"/>
      <c r="AX75" s="151"/>
    </row>
    <row r="76" spans="1:57" ht="18" customHeight="1">
      <c r="A76" s="58" t="s">
        <v>135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68">
        <v>4608.2</v>
      </c>
      <c r="Z76" s="68">
        <v>4708.7</v>
      </c>
      <c r="AA76" s="68">
        <f>(0.33*Y75)+(0.67*Z75)</f>
        <v>4698.2340000000004</v>
      </c>
      <c r="AB76" s="68">
        <f>(0.33*Z75)+(0.67*AA75)</f>
        <v>4629.9090000000006</v>
      </c>
      <c r="AC76" s="68">
        <f>(0.33*AA75)+(0.67*AB75)</f>
        <v>4611.5519999999997</v>
      </c>
      <c r="AD76" s="68">
        <f>(0.33*AB75)+(0.67*AC75)</f>
        <v>4679.6130000000003</v>
      </c>
      <c r="AE76" s="68">
        <f>(0.33*AC75)+(0.67*AD75)</f>
        <v>4770.0290000000005</v>
      </c>
      <c r="AF76" s="68">
        <f t="shared" ref="AF76:AT76" si="43">(0.33*AD75)+(0.67*AE75)</f>
        <v>4814.2410000000009</v>
      </c>
      <c r="AG76" s="68">
        <f t="shared" si="43"/>
        <v>4890.3420000000006</v>
      </c>
      <c r="AH76" s="68">
        <f t="shared" si="43"/>
        <v>5199.2350000000006</v>
      </c>
      <c r="AI76" s="68">
        <f t="shared" si="43"/>
        <v>5402.7049999999999</v>
      </c>
      <c r="AJ76" s="68">
        <f t="shared" si="43"/>
        <v>5254.228000000001</v>
      </c>
      <c r="AK76" s="68">
        <f t="shared" si="43"/>
        <v>5074.5519999999997</v>
      </c>
      <c r="AL76" s="68">
        <f t="shared" si="43"/>
        <v>4854.1239999999998</v>
      </c>
      <c r="AM76" s="68">
        <f t="shared" si="43"/>
        <v>4504.3580000000002</v>
      </c>
      <c r="AN76" s="68">
        <f t="shared" si="43"/>
        <v>4188.0040000000008</v>
      </c>
      <c r="AO76" s="68">
        <f t="shared" si="43"/>
        <v>3994.2939999999999</v>
      </c>
      <c r="AP76" s="68">
        <f t="shared" si="43"/>
        <v>3935.3559999999998</v>
      </c>
      <c r="AQ76" s="68">
        <f t="shared" si="43"/>
        <v>3931.67</v>
      </c>
      <c r="AR76" s="68">
        <f t="shared" si="43"/>
        <v>3875.7200000000003</v>
      </c>
      <c r="AS76" s="68">
        <f t="shared" si="43"/>
        <v>3773.63</v>
      </c>
      <c r="AT76" s="68">
        <f t="shared" si="43"/>
        <v>3737</v>
      </c>
      <c r="AU76" s="68">
        <f>(0.33*AS75)+(0.67*AT75)</f>
        <v>3759.78</v>
      </c>
      <c r="AV76" s="68">
        <f t="shared" ref="AV76:AW76" si="44">(0.33*AT75)+(0.67*AU75)</f>
        <v>3740.8500000000004</v>
      </c>
      <c r="AW76" s="68">
        <f t="shared" si="44"/>
        <v>3682.4500000000007</v>
      </c>
      <c r="AX76" s="126"/>
      <c r="AY76" s="94"/>
    </row>
    <row r="77" spans="1:57" ht="18" customHeight="1">
      <c r="A77" t="s">
        <v>136</v>
      </c>
      <c r="Y77" s="68">
        <v>1219.5999999999999</v>
      </c>
      <c r="Z77" s="68">
        <v>1215.3</v>
      </c>
      <c r="AA77" s="68">
        <v>1202</v>
      </c>
      <c r="AB77" s="68">
        <v>1197.5999999999999</v>
      </c>
      <c r="AC77" s="68">
        <v>1122</v>
      </c>
      <c r="AD77" s="68">
        <v>1073</v>
      </c>
      <c r="AE77" s="68">
        <v>1055</v>
      </c>
      <c r="AF77" s="68">
        <v>1081</v>
      </c>
      <c r="AG77" s="68">
        <v>1073</v>
      </c>
      <c r="AH77" s="68">
        <v>1073</v>
      </c>
      <c r="AI77" s="68">
        <v>1000.4</v>
      </c>
      <c r="AJ77" s="68">
        <v>979.1</v>
      </c>
      <c r="AK77" s="68">
        <v>981.8</v>
      </c>
      <c r="AL77" s="68">
        <v>964.3</v>
      </c>
      <c r="AM77" s="68">
        <v>965.5</v>
      </c>
      <c r="AN77" s="68">
        <v>958.6</v>
      </c>
      <c r="AO77" s="68">
        <v>952.1</v>
      </c>
      <c r="AP77" s="68">
        <v>952.3</v>
      </c>
      <c r="AQ77" s="68">
        <v>949</v>
      </c>
      <c r="AR77" s="68">
        <v>934</v>
      </c>
      <c r="AS77" s="68">
        <v>930</v>
      </c>
      <c r="AT77" s="126">
        <v>945</v>
      </c>
      <c r="AU77" s="126">
        <v>945</v>
      </c>
      <c r="AV77" s="126">
        <v>968.7</v>
      </c>
      <c r="AW77" s="126"/>
      <c r="AX77" s="76"/>
      <c r="AY77" s="20"/>
      <c r="AZ77" s="11"/>
      <c r="BA77" s="20"/>
    </row>
    <row r="78" spans="1:57" ht="18" customHeight="1">
      <c r="A78" t="s">
        <v>137</v>
      </c>
      <c r="Y78" s="68">
        <f t="shared" ref="Y78:AQ78" si="45">Y75+Y77</f>
        <v>5937.7999999999993</v>
      </c>
      <c r="Z78" s="68">
        <f t="shared" si="45"/>
        <v>5903.7</v>
      </c>
      <c r="AA78" s="68">
        <f t="shared" si="45"/>
        <v>5803.1</v>
      </c>
      <c r="AB78" s="68">
        <f t="shared" si="45"/>
        <v>5814.2999999999993</v>
      </c>
      <c r="AC78" s="68">
        <f t="shared" si="45"/>
        <v>5832.6</v>
      </c>
      <c r="AD78" s="68">
        <f t="shared" si="45"/>
        <v>5872.3</v>
      </c>
      <c r="AE78" s="68">
        <f t="shared" si="45"/>
        <v>5876.6</v>
      </c>
      <c r="AF78" s="68">
        <f t="shared" si="45"/>
        <v>6005.2</v>
      </c>
      <c r="AG78" s="68">
        <f t="shared" si="45"/>
        <v>6407.7</v>
      </c>
      <c r="AH78" s="68">
        <f t="shared" si="45"/>
        <v>6509.2</v>
      </c>
      <c r="AI78" s="68">
        <f t="shared" si="45"/>
        <v>6165</v>
      </c>
      <c r="AJ78" s="68">
        <f t="shared" si="45"/>
        <v>6009.3</v>
      </c>
      <c r="AK78" s="68">
        <f t="shared" si="45"/>
        <v>5749.2</v>
      </c>
      <c r="AL78" s="68">
        <f t="shared" si="45"/>
        <v>5339.1</v>
      </c>
      <c r="AM78" s="68">
        <f t="shared" si="45"/>
        <v>5061.5</v>
      </c>
      <c r="AN78" s="68">
        <f t="shared" si="45"/>
        <v>4902.8</v>
      </c>
      <c r="AO78" s="68">
        <f t="shared" si="45"/>
        <v>4883.1000000000004</v>
      </c>
      <c r="AP78" s="68">
        <f t="shared" si="45"/>
        <v>4884.3</v>
      </c>
      <c r="AQ78" s="68">
        <f t="shared" si="45"/>
        <v>4797</v>
      </c>
      <c r="AR78" s="68">
        <f>AR75+AR77</f>
        <v>4671</v>
      </c>
      <c r="AS78" s="68">
        <f>AS75+AS77</f>
        <v>4667</v>
      </c>
      <c r="AT78" s="68">
        <f>AT75+AT77</f>
        <v>4716</v>
      </c>
      <c r="AU78" s="68">
        <f>AU75+AU77</f>
        <v>4671</v>
      </c>
      <c r="AV78" s="68">
        <f>AV75+AV77</f>
        <v>4629.7</v>
      </c>
      <c r="AW78" s="68"/>
      <c r="AX78" s="105"/>
      <c r="AZ78" s="8">
        <v>1.8</v>
      </c>
    </row>
    <row r="79" spans="1:57" ht="18" customHeight="1">
      <c r="A79" t="s">
        <v>224</v>
      </c>
      <c r="Y79" s="68">
        <f t="shared" ref="Y79:Z79" si="46">((W78*0.33)+(X78*0.67))</f>
        <v>0</v>
      </c>
      <c r="Z79" s="68">
        <f t="shared" si="46"/>
        <v>3978.3259999999996</v>
      </c>
      <c r="AA79" s="68">
        <f>((Y78*0.33)+(Z78*0.67))</f>
        <v>5914.9530000000004</v>
      </c>
      <c r="AB79" s="68">
        <f>((Z78*0.33)+(AA78*0.67))</f>
        <v>5836.2980000000007</v>
      </c>
      <c r="AC79" s="68">
        <f>((AA78*0.33)+(AB78*0.67))</f>
        <v>5810.6039999999994</v>
      </c>
      <c r="AD79" s="68">
        <f t="shared" ref="AD79:AT79" si="47">((AB78*0.33)+(AC78*0.67))</f>
        <v>5826.5610000000006</v>
      </c>
      <c r="AE79" s="68">
        <f t="shared" si="47"/>
        <v>5859.1990000000005</v>
      </c>
      <c r="AF79" s="68">
        <f t="shared" si="47"/>
        <v>5875.1810000000005</v>
      </c>
      <c r="AG79" s="68">
        <f t="shared" si="47"/>
        <v>5962.7620000000006</v>
      </c>
      <c r="AH79" s="68">
        <f t="shared" si="47"/>
        <v>6274.8750000000009</v>
      </c>
      <c r="AI79" s="68">
        <f t="shared" si="47"/>
        <v>6475.7049999999999</v>
      </c>
      <c r="AJ79" s="68">
        <f t="shared" si="47"/>
        <v>6278.5860000000002</v>
      </c>
      <c r="AK79" s="68">
        <f t="shared" si="47"/>
        <v>6060.6810000000005</v>
      </c>
      <c r="AL79" s="68">
        <f t="shared" si="47"/>
        <v>5835.0330000000004</v>
      </c>
      <c r="AM79" s="68">
        <f t="shared" si="47"/>
        <v>5474.4330000000009</v>
      </c>
      <c r="AN79" s="68">
        <f t="shared" si="47"/>
        <v>5153.1080000000002</v>
      </c>
      <c r="AO79" s="68">
        <f t="shared" si="47"/>
        <v>4955.1710000000003</v>
      </c>
      <c r="AP79" s="68">
        <f t="shared" si="47"/>
        <v>4889.6010000000006</v>
      </c>
      <c r="AQ79" s="68">
        <f t="shared" si="47"/>
        <v>4883.9040000000005</v>
      </c>
      <c r="AR79" s="68">
        <f t="shared" si="47"/>
        <v>4825.8090000000002</v>
      </c>
      <c r="AS79" s="68">
        <f t="shared" si="47"/>
        <v>4712.58</v>
      </c>
      <c r="AT79" s="68">
        <f t="shared" si="47"/>
        <v>4668.3200000000006</v>
      </c>
      <c r="AU79" s="68">
        <f>((AS78*0.33)+(AT78*0.67))</f>
        <v>4699.83</v>
      </c>
      <c r="AV79" s="68">
        <f>((AT78*0.33)+(AU78*0.67))</f>
        <v>4685.8500000000004</v>
      </c>
      <c r="AW79" s="68"/>
      <c r="AX79" s="126"/>
      <c r="AZ79" s="8"/>
    </row>
    <row r="80" spans="1:57" ht="18" customHeight="1">
      <c r="A80" s="5" t="s">
        <v>138</v>
      </c>
      <c r="Y80" s="104">
        <f t="shared" ref="Y80:Z80" si="48">(Y88/Y78)/1000</f>
        <v>0.12588908024807172</v>
      </c>
      <c r="Z80" s="104">
        <f t="shared" si="48"/>
        <v>0.15443524775083528</v>
      </c>
      <c r="AA80" s="104">
        <f>(AA88/AA78)/1000</f>
        <v>0.14241040040685052</v>
      </c>
      <c r="AB80" s="104">
        <f t="shared" ref="AB80:AP80" si="49">(AB88/AB78)/1000</f>
        <v>8.7391591045831829E-2</v>
      </c>
      <c r="AC80" s="104">
        <f t="shared" si="49"/>
        <v>0.11209324480076996</v>
      </c>
      <c r="AD80" s="104">
        <f t="shared" si="49"/>
        <v>0.12904975041239766</v>
      </c>
      <c r="AE80" s="104">
        <f t="shared" si="49"/>
        <v>0.15239770904259575</v>
      </c>
      <c r="AF80" s="104">
        <f t="shared" si="49"/>
        <v>8.1197919909974742E-2</v>
      </c>
      <c r="AG80" s="104">
        <f t="shared" si="49"/>
        <v>6.7783789579614007E-2</v>
      </c>
      <c r="AH80" s="104">
        <f t="shared" si="49"/>
        <v>9.0456362924957054E-2</v>
      </c>
      <c r="AI80" s="104">
        <f t="shared" si="49"/>
        <v>0.11737212234719561</v>
      </c>
      <c r="AJ80" s="104">
        <f t="shared" si="49"/>
        <v>0.1232309283459227</v>
      </c>
      <c r="AK80" s="104">
        <f t="shared" si="49"/>
        <v>0.1720007083060654</v>
      </c>
      <c r="AL80" s="104">
        <f t="shared" si="49"/>
        <v>0.15803610946744451</v>
      </c>
      <c r="AM80" s="104">
        <f t="shared" si="49"/>
        <v>0.15623808651020266</v>
      </c>
      <c r="AN80" s="104">
        <f t="shared" si="49"/>
        <v>0.13110486858079753</v>
      </c>
      <c r="AO80" s="104">
        <f t="shared" si="49"/>
        <v>0.1268052184469671</v>
      </c>
      <c r="AP80" s="104">
        <f t="shared" si="49"/>
        <v>0.15621943104701805</v>
      </c>
      <c r="AQ80" s="104">
        <f>[1]Sheet1!B45</f>
        <v>0.10690551722896272</v>
      </c>
      <c r="AR80" s="104">
        <f>[1]Sheet1!C45</f>
        <v>8.0408013231384523E-2</v>
      </c>
      <c r="AS80" s="104">
        <f>[1]Sheet1!D45</f>
        <v>8.7532750900926909E-2</v>
      </c>
      <c r="AT80" s="104">
        <f>[1]Sheet1!E45</f>
        <v>8.2799206046141605E-2</v>
      </c>
      <c r="AU80" s="104">
        <f>[1]Sheet1!F45</f>
        <v>9.5390101180891029E-2</v>
      </c>
      <c r="AV80" s="104">
        <f>[1]Sheet1!G45</f>
        <v>9.5630138486752295E-2</v>
      </c>
      <c r="AW80" s="104"/>
      <c r="AX80" s="72"/>
      <c r="AY80" s="43"/>
      <c r="AZ80" s="20"/>
      <c r="BA80" s="20"/>
    </row>
    <row r="81" spans="1:68" ht="18" customHeight="1">
      <c r="A81" s="5" t="s">
        <v>139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04">
        <f t="shared" ref="Y81:AP81" si="50">Y77/Y78</f>
        <v>0.20539593788945401</v>
      </c>
      <c r="Z81" s="104">
        <f t="shared" si="50"/>
        <v>0.20585395599369888</v>
      </c>
      <c r="AA81" s="104">
        <f t="shared" si="50"/>
        <v>0.20713067153762643</v>
      </c>
      <c r="AB81" s="104">
        <f t="shared" si="50"/>
        <v>0.20597492389453589</v>
      </c>
      <c r="AC81" s="104">
        <f t="shared" si="50"/>
        <v>0.19236704042793951</v>
      </c>
      <c r="AD81" s="104">
        <f t="shared" si="50"/>
        <v>0.18272227236346916</v>
      </c>
      <c r="AE81" s="104">
        <f t="shared" si="50"/>
        <v>0.17952557601334104</v>
      </c>
      <c r="AF81" s="104">
        <f t="shared" si="50"/>
        <v>0.18001065743022715</v>
      </c>
      <c r="AG81" s="104">
        <f t="shared" si="50"/>
        <v>0.16745478096664951</v>
      </c>
      <c r="AH81" s="104">
        <f t="shared" si="50"/>
        <v>0.16484360597308426</v>
      </c>
      <c r="AI81" s="104">
        <f t="shared" si="50"/>
        <v>0.16227088402270884</v>
      </c>
      <c r="AJ81" s="104">
        <f t="shared" si="50"/>
        <v>0.16293079060789109</v>
      </c>
      <c r="AK81" s="104">
        <f t="shared" si="50"/>
        <v>0.17077158561191122</v>
      </c>
      <c r="AL81" s="104">
        <f t="shared" si="50"/>
        <v>0.18061096439474816</v>
      </c>
      <c r="AM81" s="104">
        <f t="shared" si="50"/>
        <v>0.19075372913168034</v>
      </c>
      <c r="AN81" s="104">
        <f t="shared" si="50"/>
        <v>0.19552092681732888</v>
      </c>
      <c r="AO81" s="104">
        <f t="shared" si="50"/>
        <v>0.19497859966005202</v>
      </c>
      <c r="AP81" s="104">
        <f t="shared" si="50"/>
        <v>0.19497164383842105</v>
      </c>
      <c r="AQ81" s="104">
        <f>[1]Sheet1!B40</f>
        <v>0.31579999999999997</v>
      </c>
      <c r="AR81" s="104">
        <f>[1]Sheet1!C40</f>
        <v>0.2984</v>
      </c>
      <c r="AS81" s="104">
        <f>[1]Sheet1!D40</f>
        <v>0.29459999999999997</v>
      </c>
      <c r="AT81" s="104">
        <f>[1]Sheet1!E40</f>
        <v>0.26989999999999997</v>
      </c>
      <c r="AU81" s="104">
        <f>[1]Sheet1!F40</f>
        <v>0.32950000000000002</v>
      </c>
      <c r="AV81" s="104">
        <f>[1]Sheet1!G40</f>
        <v>0.32700000000000001</v>
      </c>
      <c r="AW81" s="104"/>
      <c r="AX81" s="126"/>
      <c r="AY81" s="43"/>
      <c r="AZ81" s="20"/>
    </row>
    <row r="82" spans="1:68" ht="18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106"/>
      <c r="AL82" s="99"/>
      <c r="AM82" s="99"/>
      <c r="AN82" s="99"/>
      <c r="AO82" s="99"/>
      <c r="AP82" s="99"/>
      <c r="AQ82" s="99"/>
      <c r="AR82" s="99"/>
      <c r="AS82" s="99"/>
      <c r="AT82" s="109"/>
      <c r="AU82" s="152"/>
      <c r="AV82" s="152"/>
      <c r="AW82" s="152"/>
      <c r="AX82" s="72"/>
      <c r="AY82" s="43"/>
      <c r="AZ82" s="20"/>
      <c r="BA82" s="20"/>
    </row>
    <row r="83" spans="1:68" ht="18" customHeight="1">
      <c r="A83" s="55" t="s">
        <v>140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73"/>
      <c r="Z83" s="73"/>
      <c r="AA83" s="68"/>
      <c r="AB83" s="68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104"/>
      <c r="AU83" s="152"/>
      <c r="AV83" s="127"/>
      <c r="AW83" s="152"/>
      <c r="AX83" s="72"/>
      <c r="AY83" s="43"/>
      <c r="AZ83" s="20"/>
      <c r="BA83" s="20"/>
    </row>
    <row r="84" spans="1:68" ht="18" customHeight="1">
      <c r="A84" s="5" t="s">
        <v>225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68">
        <f t="shared" ref="Y84:AP84" si="51">Y22+Y43+Y58</f>
        <v>2046377.1584787467</v>
      </c>
      <c r="Z84" s="68">
        <f t="shared" si="51"/>
        <v>2065585.9943568781</v>
      </c>
      <c r="AA84" s="68">
        <f t="shared" si="51"/>
        <v>2044519.3943681363</v>
      </c>
      <c r="AB84" s="68">
        <f t="shared" si="51"/>
        <v>2082443.6603229237</v>
      </c>
      <c r="AC84" s="68">
        <f t="shared" si="51"/>
        <v>2186863.5537551697</v>
      </c>
      <c r="AD84" s="68">
        <f t="shared" si="51"/>
        <v>2236185.2357545434</v>
      </c>
      <c r="AE84" s="68">
        <f t="shared" si="51"/>
        <v>2367085.0607665782</v>
      </c>
      <c r="AF84" s="68">
        <f t="shared" si="51"/>
        <v>1857520.1225354671</v>
      </c>
      <c r="AG84" s="68">
        <f t="shared" si="51"/>
        <v>2028209.157575483</v>
      </c>
      <c r="AH84" s="68">
        <f t="shared" si="51"/>
        <v>2307341.457036234</v>
      </c>
      <c r="AI84" s="68">
        <f t="shared" si="51"/>
        <v>2204259.1389416265</v>
      </c>
      <c r="AJ84" s="68">
        <f t="shared" si="51"/>
        <v>2331030.9090354391</v>
      </c>
      <c r="AK84" s="68">
        <f t="shared" si="51"/>
        <v>2219437.4784829454</v>
      </c>
      <c r="AL84" s="68">
        <f t="shared" si="51"/>
        <v>2007579.7330479168</v>
      </c>
      <c r="AM84" s="68">
        <f t="shared" si="51"/>
        <v>2088168.7988758078</v>
      </c>
      <c r="AN84" s="68">
        <f t="shared" si="51"/>
        <v>1830970.6913961559</v>
      </c>
      <c r="AO84" s="68">
        <f t="shared" si="51"/>
        <v>1768233.3673599365</v>
      </c>
      <c r="AP84" s="68">
        <f t="shared" si="51"/>
        <v>1792456.9265325696</v>
      </c>
      <c r="AQ84" s="68">
        <f t="shared" ref="AQ84:AV84" si="52">AQ22+AQ43+AQ58-AQ63</f>
        <v>1943153.4150156281</v>
      </c>
      <c r="AR84" s="68">
        <f t="shared" si="52"/>
        <v>1759879.0398071429</v>
      </c>
      <c r="AS84" s="68">
        <f t="shared" si="52"/>
        <v>1886581.5202623913</v>
      </c>
      <c r="AT84" s="68">
        <f t="shared" si="52"/>
        <v>1862953.8810000001</v>
      </c>
      <c r="AU84" s="68">
        <f t="shared" si="52"/>
        <v>1750196.3540000001</v>
      </c>
      <c r="AV84" s="68">
        <f t="shared" si="52"/>
        <v>1843566.3975454548</v>
      </c>
      <c r="AW84" s="94"/>
      <c r="AX84" s="102"/>
      <c r="AY84" s="51">
        <f>(AU84*AU29)/1000000</f>
        <v>711.31993703347553</v>
      </c>
      <c r="AZ84" s="51">
        <f>(AV84*AV29)/1000000</f>
        <v>759.54935578872744</v>
      </c>
      <c r="BA84" s="26">
        <f>(AZ84-AY84)/AY84</f>
        <v>6.7802709082484466E-2</v>
      </c>
    </row>
    <row r="85" spans="1:68" ht="18" customHeight="1">
      <c r="A85" s="5" t="s">
        <v>141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68">
        <f>Y84-Y86</f>
        <v>1841739.4426308719</v>
      </c>
      <c r="Z85" s="68">
        <f>Z84-Z86</f>
        <v>1859027.3949211903</v>
      </c>
      <c r="AA85" s="68">
        <f t="shared" ref="AA85:AR85" si="53">AA84-AA86</f>
        <v>1840067.4549313227</v>
      </c>
      <c r="AB85" s="68">
        <f t="shared" si="53"/>
        <v>1874199.2942906313</v>
      </c>
      <c r="AC85" s="68">
        <f t="shared" si="53"/>
        <v>1968177.1983796528</v>
      </c>
      <c r="AD85" s="68">
        <f t="shared" si="53"/>
        <v>2012566.712179089</v>
      </c>
      <c r="AE85" s="68">
        <f t="shared" si="53"/>
        <v>2130376.5546899205</v>
      </c>
      <c r="AF85" s="68">
        <f t="shared" si="53"/>
        <v>1671768.1102819205</v>
      </c>
      <c r="AG85" s="68">
        <f t="shared" si="53"/>
        <v>1825388.2418179347</v>
      </c>
      <c r="AH85" s="68">
        <f t="shared" si="53"/>
        <v>2076607.3113326104</v>
      </c>
      <c r="AI85" s="68">
        <f t="shared" si="53"/>
        <v>1983833.2250474638</v>
      </c>
      <c r="AJ85" s="68">
        <f t="shared" si="53"/>
        <v>2097927.8181318953</v>
      </c>
      <c r="AK85" s="68">
        <f t="shared" si="53"/>
        <v>1997493.7306346507</v>
      </c>
      <c r="AL85" s="68">
        <f t="shared" si="53"/>
        <v>1806821.7597431252</v>
      </c>
      <c r="AM85" s="68">
        <f t="shared" si="53"/>
        <v>1879351.9189882269</v>
      </c>
      <c r="AN85" s="68">
        <f t="shared" si="53"/>
        <v>1647873.6222565402</v>
      </c>
      <c r="AO85" s="68">
        <f t="shared" si="53"/>
        <v>1591410.0306239428</v>
      </c>
      <c r="AP85" s="68">
        <f t="shared" si="53"/>
        <v>1613211.2338793126</v>
      </c>
      <c r="AQ85" s="68">
        <f t="shared" si="53"/>
        <v>1748838.0735140652</v>
      </c>
      <c r="AR85" s="68">
        <f t="shared" si="53"/>
        <v>1583891.1358264287</v>
      </c>
      <c r="AS85" s="68">
        <f>AS84-AS86</f>
        <v>1697923.3682361522</v>
      </c>
      <c r="AT85" s="68">
        <f>AT84-AT86</f>
        <v>1676658.4929</v>
      </c>
      <c r="AU85" s="68">
        <f>AU84-AU86</f>
        <v>1575176.7186</v>
      </c>
      <c r="AV85" s="68">
        <f>AV84-AV86</f>
        <v>1659209.7577909094</v>
      </c>
      <c r="AW85" s="94"/>
      <c r="AX85" s="102"/>
      <c r="AY85" s="51">
        <f>(AU85*AU30)/1000000</f>
        <v>590.88775572992824</v>
      </c>
      <c r="AZ85" s="51">
        <f>(AV85*AV30)/1000000</f>
        <v>629.18414112002176</v>
      </c>
      <c r="BA85" s="26">
        <f t="shared" ref="BA85:BA87" si="54">(AZ85-AY85)/AY85</f>
        <v>6.4811607650907738E-2</v>
      </c>
    </row>
    <row r="86" spans="1:68" ht="18" customHeight="1">
      <c r="A86" s="5" t="s">
        <v>142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68">
        <f t="shared" ref="Y86:AR86" si="55">Y84*0.1</f>
        <v>204637.71584787467</v>
      </c>
      <c r="Z86" s="68">
        <f t="shared" si="55"/>
        <v>206558.59943568782</v>
      </c>
      <c r="AA86" s="68">
        <f t="shared" si="55"/>
        <v>204451.93943681364</v>
      </c>
      <c r="AB86" s="68">
        <f t="shared" si="55"/>
        <v>208244.36603229237</v>
      </c>
      <c r="AC86" s="68">
        <f t="shared" si="55"/>
        <v>218686.35537551699</v>
      </c>
      <c r="AD86" s="68">
        <f t="shared" si="55"/>
        <v>223618.52357545437</v>
      </c>
      <c r="AE86" s="68">
        <f t="shared" si="55"/>
        <v>236708.50607665782</v>
      </c>
      <c r="AF86" s="68">
        <f t="shared" si="55"/>
        <v>185752.01225354674</v>
      </c>
      <c r="AG86" s="68">
        <f t="shared" si="55"/>
        <v>202820.9157575483</v>
      </c>
      <c r="AH86" s="68">
        <f t="shared" si="55"/>
        <v>230734.14570362342</v>
      </c>
      <c r="AI86" s="68">
        <f t="shared" si="55"/>
        <v>220425.91389416266</v>
      </c>
      <c r="AJ86" s="68">
        <f t="shared" si="55"/>
        <v>233103.09090354393</v>
      </c>
      <c r="AK86" s="68">
        <f t="shared" si="55"/>
        <v>221943.74784829456</v>
      </c>
      <c r="AL86" s="68">
        <f t="shared" si="55"/>
        <v>200757.9733047917</v>
      </c>
      <c r="AM86" s="68">
        <f t="shared" si="55"/>
        <v>208816.87988758078</v>
      </c>
      <c r="AN86" s="68">
        <f t="shared" si="55"/>
        <v>183097.0691396156</v>
      </c>
      <c r="AO86" s="68">
        <f t="shared" si="55"/>
        <v>176823.33673599365</v>
      </c>
      <c r="AP86" s="68">
        <f t="shared" si="55"/>
        <v>179245.69265325696</v>
      </c>
      <c r="AQ86" s="68">
        <f t="shared" si="55"/>
        <v>194315.34150156283</v>
      </c>
      <c r="AR86" s="68">
        <f t="shared" si="55"/>
        <v>175987.9039807143</v>
      </c>
      <c r="AS86" s="68">
        <f>AS84*0.1</f>
        <v>188658.15202623914</v>
      </c>
      <c r="AT86" s="68">
        <f>AT84*0.1</f>
        <v>186295.38810000001</v>
      </c>
      <c r="AU86" s="68">
        <f>AU84*0.1</f>
        <v>175019.63540000003</v>
      </c>
      <c r="AV86" s="68">
        <f>AV84*0.1</f>
        <v>184356.6397545455</v>
      </c>
      <c r="AW86" s="94"/>
      <c r="AX86" s="102"/>
      <c r="AY86" s="26"/>
      <c r="AZ86" s="20"/>
      <c r="BA86" s="26" t="e">
        <f t="shared" si="54"/>
        <v>#DIV/0!</v>
      </c>
    </row>
    <row r="87" spans="1:68" ht="18" customHeight="1">
      <c r="A87" s="5" t="s">
        <v>102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68"/>
      <c r="Z87" s="68">
        <f t="shared" ref="Z87:AS87" si="56">Z23+Z44+Z59</f>
        <v>1044426.9808964593</v>
      </c>
      <c r="AA87" s="68">
        <f t="shared" si="56"/>
        <v>1439203.8845768077</v>
      </c>
      <c r="AB87" s="68">
        <f t="shared" si="56"/>
        <v>1525248.0858094494</v>
      </c>
      <c r="AC87" s="68">
        <f t="shared" si="56"/>
        <v>1383869.8262529557</v>
      </c>
      <c r="AD87" s="68">
        <f t="shared" si="56"/>
        <v>1495124.5482859474</v>
      </c>
      <c r="AE87" s="68">
        <f t="shared" si="56"/>
        <v>1612663.0067781233</v>
      </c>
      <c r="AF87" s="68">
        <f t="shared" si="56"/>
        <v>1175934.6585022605</v>
      </c>
      <c r="AG87" s="68">
        <f t="shared" si="56"/>
        <v>1413729.7077630644</v>
      </c>
      <c r="AH87" s="68">
        <f t="shared" si="56"/>
        <v>1533090.1754562785</v>
      </c>
      <c r="AI87" s="68">
        <f t="shared" si="56"/>
        <v>1585136.5451524407</v>
      </c>
      <c r="AJ87" s="68">
        <f t="shared" si="56"/>
        <v>1686332.4417582494</v>
      </c>
      <c r="AK87" s="68">
        <f t="shared" si="56"/>
        <v>1720449.9889805538</v>
      </c>
      <c r="AL87" s="68">
        <f t="shared" si="56"/>
        <v>1492027.2616737161</v>
      </c>
      <c r="AM87" s="68">
        <f t="shared" si="56"/>
        <v>1515118.9963850786</v>
      </c>
      <c r="AN87" s="68">
        <f t="shared" si="56"/>
        <v>1206421.0206137332</v>
      </c>
      <c r="AO87" s="68">
        <f t="shared" si="56"/>
        <v>1157144.5651962946</v>
      </c>
      <c r="AP87" s="68">
        <f t="shared" si="56"/>
        <v>1172393.2099188224</v>
      </c>
      <c r="AQ87" s="68">
        <f t="shared" si="56"/>
        <v>1186943.8213278996</v>
      </c>
      <c r="AR87" s="68">
        <f t="shared" si="56"/>
        <v>960311.31465696509</v>
      </c>
      <c r="AS87" s="68">
        <f t="shared" si="56"/>
        <v>1043832.6911458988</v>
      </c>
      <c r="AT87" s="68">
        <f>AT23+AT44+AT59-AT64</f>
        <v>1154106.9610000001</v>
      </c>
      <c r="AU87" s="68">
        <f>AU23+AU44+AU59-AU64</f>
        <v>1132524.0389999999</v>
      </c>
      <c r="AV87" s="68">
        <f>AV23+AV44+AV59-AV64</f>
        <v>1318740.9863636363</v>
      </c>
      <c r="AW87" s="94"/>
      <c r="AX87" s="72"/>
      <c r="AY87" s="60">
        <f>(AU87*AU30)/1000000</f>
        <v>424.83778474689274</v>
      </c>
      <c r="AZ87" s="60">
        <f>(AV87*AV30)/1000000</f>
        <v>500.07596144425287</v>
      </c>
      <c r="BA87" s="26">
        <f t="shared" si="54"/>
        <v>0.17709859950942233</v>
      </c>
    </row>
    <row r="88" spans="1:68" ht="18" customHeight="1">
      <c r="A88" s="5" t="s">
        <v>143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68">
        <f t="shared" ref="Y88:AS88" si="57">Y24+Y46</f>
        <v>747504.18069700012</v>
      </c>
      <c r="Z88" s="68">
        <f t="shared" si="57"/>
        <v>911739.37214660621</v>
      </c>
      <c r="AA88" s="68">
        <f t="shared" si="57"/>
        <v>826421.79460099433</v>
      </c>
      <c r="AB88" s="68">
        <f t="shared" si="57"/>
        <v>508120.92781777994</v>
      </c>
      <c r="AC88" s="68">
        <f t="shared" si="57"/>
        <v>653795.05962497089</v>
      </c>
      <c r="AD88" s="68">
        <f t="shared" si="57"/>
        <v>757818.84934672271</v>
      </c>
      <c r="AE88" s="68">
        <f t="shared" si="57"/>
        <v>895580.37695971818</v>
      </c>
      <c r="AF88" s="68">
        <f t="shared" si="57"/>
        <v>487609.7486433803</v>
      </c>
      <c r="AG88" s="68">
        <f t="shared" si="57"/>
        <v>434338.18848929269</v>
      </c>
      <c r="AH88" s="68">
        <f t="shared" si="57"/>
        <v>588798.55755113042</v>
      </c>
      <c r="AI88" s="68">
        <f t="shared" si="57"/>
        <v>723599.13427046093</v>
      </c>
      <c r="AJ88" s="68">
        <f t="shared" si="57"/>
        <v>740531.61770915322</v>
      </c>
      <c r="AK88" s="68">
        <f t="shared" si="57"/>
        <v>988866.47219323122</v>
      </c>
      <c r="AL88" s="68">
        <f t="shared" si="57"/>
        <v>843770.59205763298</v>
      </c>
      <c r="AM88" s="68">
        <f t="shared" si="57"/>
        <v>790799.07487139071</v>
      </c>
      <c r="AN88" s="68">
        <f t="shared" si="57"/>
        <v>642780.94967793417</v>
      </c>
      <c r="AO88" s="68">
        <f t="shared" si="57"/>
        <v>619202.56219838513</v>
      </c>
      <c r="AP88" s="68">
        <f t="shared" si="57"/>
        <v>763022.56706295034</v>
      </c>
      <c r="AQ88" s="68">
        <f t="shared" si="57"/>
        <v>711066.63029704848</v>
      </c>
      <c r="AR88" s="68">
        <f t="shared" si="57"/>
        <v>579190.34544568392</v>
      </c>
      <c r="AS88" s="68">
        <f t="shared" si="57"/>
        <v>601087.89011676388</v>
      </c>
      <c r="AT88" s="68">
        <f>AT24+AT46-AT65</f>
        <v>567291.30599999998</v>
      </c>
      <c r="AU88" s="68">
        <f>AU24+AU46-AU65</f>
        <v>666801.01699999999</v>
      </c>
      <c r="AV88" s="68">
        <f>AV24+AV46-AV65</f>
        <v>666866.83700000017</v>
      </c>
      <c r="AW88" s="94"/>
      <c r="AX88" s="72"/>
      <c r="AY88" s="60">
        <f>(AU88*AU31)/1000000</f>
        <v>220.19012082736097</v>
      </c>
      <c r="AZ88" s="60">
        <f>(AV88*AV31)/1000000</f>
        <v>219.90936700489891</v>
      </c>
      <c r="BA88" s="20"/>
    </row>
    <row r="89" spans="1:68" ht="18" customHeight="1">
      <c r="A89" s="5" t="s">
        <v>141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73"/>
      <c r="Z89" s="73"/>
      <c r="AA89" s="68">
        <f>AA88-AA90</f>
        <v>441781.79460099433</v>
      </c>
      <c r="AB89" s="68">
        <f t="shared" ref="AB89:AQ89" si="58">AB88-AB90</f>
        <v>124888.92781777994</v>
      </c>
      <c r="AC89" s="68">
        <f t="shared" si="58"/>
        <v>294755.05962497089</v>
      </c>
      <c r="AD89" s="68">
        <f t="shared" si="58"/>
        <v>414458.84934672271</v>
      </c>
      <c r="AE89" s="68">
        <f t="shared" si="58"/>
        <v>557980.37695971818</v>
      </c>
      <c r="AF89" s="68">
        <f t="shared" si="58"/>
        <v>141689.7486433803</v>
      </c>
      <c r="AG89" s="68">
        <f t="shared" si="58"/>
        <v>90978.18848929269</v>
      </c>
      <c r="AH89" s="68">
        <f t="shared" si="58"/>
        <v>245438.55755113042</v>
      </c>
      <c r="AI89" s="68">
        <f t="shared" si="58"/>
        <v>403471.13427046093</v>
      </c>
      <c r="AJ89" s="68">
        <f t="shared" si="58"/>
        <v>427219.61770915322</v>
      </c>
      <c r="AK89" s="68">
        <f t="shared" si="58"/>
        <v>674690.47219323122</v>
      </c>
      <c r="AL89" s="68">
        <f t="shared" si="58"/>
        <v>490836.79205763299</v>
      </c>
      <c r="AM89" s="68">
        <f t="shared" si="58"/>
        <v>437426.07487139071</v>
      </c>
      <c r="AN89" s="68">
        <f t="shared" si="58"/>
        <v>291933.34967793419</v>
      </c>
      <c r="AO89" s="68">
        <f t="shared" si="58"/>
        <v>250739.86219838506</v>
      </c>
      <c r="AP89" s="68">
        <f t="shared" si="58"/>
        <v>365913.46706295037</v>
      </c>
      <c r="AQ89" s="68">
        <f t="shared" si="58"/>
        <v>347599.63029704848</v>
      </c>
      <c r="AR89" s="68">
        <f>AR88-AR90</f>
        <v>269261.12544568395</v>
      </c>
      <c r="AS89" s="68">
        <f>AS88-AS90</f>
        <v>292485.99011676386</v>
      </c>
      <c r="AT89" s="68">
        <f>AT88-AT90</f>
        <v>253711.95599999995</v>
      </c>
      <c r="AU89" s="68">
        <f>AU88-AU90</f>
        <v>353221.66699999996</v>
      </c>
      <c r="AV89" s="68">
        <f>AV88-AV90</f>
        <v>345423.11600000015</v>
      </c>
      <c r="AW89" s="94"/>
      <c r="AX89" s="72"/>
      <c r="AY89" s="43"/>
      <c r="AZ89" s="20"/>
      <c r="BA89" s="20"/>
    </row>
    <row r="90" spans="1:68" ht="18" customHeight="1">
      <c r="A90" s="5" t="s">
        <v>142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73"/>
      <c r="Z90" s="73"/>
      <c r="AA90" s="68">
        <f>0.32*AA77*1000</f>
        <v>384640</v>
      </c>
      <c r="AB90" s="68">
        <f t="shared" ref="AB90:AK90" si="59">0.32*AB77*1000</f>
        <v>383232</v>
      </c>
      <c r="AC90" s="68">
        <f t="shared" si="59"/>
        <v>359040</v>
      </c>
      <c r="AD90" s="68">
        <f t="shared" si="59"/>
        <v>343360</v>
      </c>
      <c r="AE90" s="68">
        <f t="shared" si="59"/>
        <v>337600</v>
      </c>
      <c r="AF90" s="68">
        <f t="shared" si="59"/>
        <v>345920</v>
      </c>
      <c r="AG90" s="68">
        <f t="shared" si="59"/>
        <v>343360</v>
      </c>
      <c r="AH90" s="68">
        <f t="shared" si="59"/>
        <v>343360</v>
      </c>
      <c r="AI90" s="68">
        <f t="shared" si="59"/>
        <v>320128</v>
      </c>
      <c r="AJ90" s="68">
        <f t="shared" si="59"/>
        <v>313312</v>
      </c>
      <c r="AK90" s="68">
        <f t="shared" si="59"/>
        <v>314176</v>
      </c>
      <c r="AL90" s="68">
        <f>(0.366*AL77*1000)</f>
        <v>352933.8</v>
      </c>
      <c r="AM90" s="68">
        <f>(0.366*AM77*1000)</f>
        <v>353373</v>
      </c>
      <c r="AN90" s="68">
        <f>(0.366*AN77*1000)</f>
        <v>350847.6</v>
      </c>
      <c r="AO90" s="68">
        <f>(0.387*AO77*1000)</f>
        <v>368462.70000000007</v>
      </c>
      <c r="AP90" s="68">
        <f>(0.417*AP77*1000)</f>
        <v>397109.1</v>
      </c>
      <c r="AQ90" s="68">
        <f>(0.383*AQ77*1000)</f>
        <v>363467</v>
      </c>
      <c r="AR90" s="68">
        <f>(0.33183*AR77*1000)</f>
        <v>309929.21999999997</v>
      </c>
      <c r="AS90" s="68">
        <f>(0.33183*AS77*1000)</f>
        <v>308601.90000000002</v>
      </c>
      <c r="AT90" s="68">
        <f>(0.33183*AT77*1000)</f>
        <v>313579.35000000003</v>
      </c>
      <c r="AU90" s="68">
        <f>(0.33183*AU77*1000)</f>
        <v>313579.35000000003</v>
      </c>
      <c r="AV90" s="68">
        <f>(0.33183*AV77*1000)</f>
        <v>321443.72100000002</v>
      </c>
      <c r="AW90" s="94"/>
      <c r="AX90" s="72"/>
      <c r="AY90" s="43"/>
      <c r="AZ90" s="20"/>
      <c r="BA90" s="20"/>
    </row>
    <row r="91" spans="1:68" ht="18" customHeight="1">
      <c r="A91" s="5" t="s">
        <v>104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73"/>
      <c r="Z91" s="73"/>
      <c r="AA91" s="68">
        <f t="shared" ref="AA91:AV91" si="60">AA25+AA47</f>
        <v>77657.233497356749</v>
      </c>
      <c r="AB91" s="68">
        <f t="shared" si="60"/>
        <v>53338.660931148166</v>
      </c>
      <c r="AC91" s="68">
        <f t="shared" si="60"/>
        <v>63287.560366904014</v>
      </c>
      <c r="AD91" s="68">
        <f t="shared" si="60"/>
        <v>66235.366612786311</v>
      </c>
      <c r="AE91" s="68">
        <f t="shared" si="60"/>
        <v>67811.555495580513</v>
      </c>
      <c r="AF91" s="68">
        <f t="shared" si="60"/>
        <v>32563.209413512734</v>
      </c>
      <c r="AG91" s="68">
        <f t="shared" si="60"/>
        <v>35215.946172159995</v>
      </c>
      <c r="AH91" s="68">
        <f t="shared" si="60"/>
        <v>50986.809956357029</v>
      </c>
      <c r="AI91" s="68">
        <f t="shared" si="60"/>
        <v>48428.181635471796</v>
      </c>
      <c r="AJ91" s="68">
        <f t="shared" si="60"/>
        <v>51114.031497158277</v>
      </c>
      <c r="AK91" s="68">
        <f t="shared" si="60"/>
        <v>69743.060343269768</v>
      </c>
      <c r="AL91" s="68">
        <f t="shared" si="60"/>
        <v>57330.413220734117</v>
      </c>
      <c r="AM91" s="68">
        <f t="shared" si="60"/>
        <v>59248.129867722848</v>
      </c>
      <c r="AN91" s="68">
        <f t="shared" si="60"/>
        <v>50976.338312176624</v>
      </c>
      <c r="AO91" s="68">
        <f t="shared" si="60"/>
        <v>42187.505245383938</v>
      </c>
      <c r="AP91" s="68">
        <f t="shared" si="60"/>
        <v>47643.2964856576</v>
      </c>
      <c r="AQ91" s="68">
        <f t="shared" si="60"/>
        <v>51377.1333594237</v>
      </c>
      <c r="AR91" s="68">
        <f t="shared" si="60"/>
        <v>44135.300090208075</v>
      </c>
      <c r="AS91" s="68">
        <f t="shared" si="60"/>
        <v>42944.898474946029</v>
      </c>
      <c r="AT91" s="68">
        <f t="shared" si="60"/>
        <v>46044.490000000005</v>
      </c>
      <c r="AU91" s="68">
        <f t="shared" si="60"/>
        <v>48483.010999999999</v>
      </c>
      <c r="AV91" s="68">
        <f t="shared" si="60"/>
        <v>49742.013545454545</v>
      </c>
      <c r="AW91" s="94"/>
      <c r="AX91" s="72"/>
      <c r="AY91" s="43"/>
      <c r="AZ91" s="20"/>
      <c r="BA91" s="20"/>
    </row>
    <row r="92" spans="1:68" ht="18" customHeight="1">
      <c r="A92" s="18" t="s">
        <v>48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73"/>
      <c r="Z92" s="73"/>
      <c r="AA92" s="70">
        <f>AA85+AA87+AA88+AA91</f>
        <v>4183350.3676064811</v>
      </c>
      <c r="AB92" s="70">
        <f t="shared" ref="AB92:AV92" si="61">AB85+AB87+AB88+AB91</f>
        <v>3960906.9688490089</v>
      </c>
      <c r="AC92" s="70">
        <f t="shared" si="61"/>
        <v>4069129.6446244833</v>
      </c>
      <c r="AD92" s="70">
        <f t="shared" si="61"/>
        <v>4331745.476424545</v>
      </c>
      <c r="AE92" s="70">
        <f t="shared" si="61"/>
        <v>4706431.4939233428</v>
      </c>
      <c r="AF92" s="70">
        <f t="shared" si="61"/>
        <v>3367875.7268410739</v>
      </c>
      <c r="AG92" s="70">
        <f t="shared" si="61"/>
        <v>3708672.0842424519</v>
      </c>
      <c r="AH92" s="70">
        <f t="shared" si="61"/>
        <v>4249482.854296376</v>
      </c>
      <c r="AI92" s="70">
        <f t="shared" si="61"/>
        <v>4340997.0861058375</v>
      </c>
      <c r="AJ92" s="70">
        <f t="shared" si="61"/>
        <v>4575905.9090964561</v>
      </c>
      <c r="AK92" s="70">
        <f t="shared" si="61"/>
        <v>4776553.2521517053</v>
      </c>
      <c r="AL92" s="70">
        <f t="shared" si="61"/>
        <v>4199950.0266952086</v>
      </c>
      <c r="AM92" s="70">
        <f t="shared" si="61"/>
        <v>4244518.1201124191</v>
      </c>
      <c r="AN92" s="70">
        <f t="shared" si="61"/>
        <v>3548051.9308603839</v>
      </c>
      <c r="AO92" s="70">
        <f t="shared" si="61"/>
        <v>3409944.6632640064</v>
      </c>
      <c r="AP92" s="70">
        <f t="shared" si="61"/>
        <v>3596270.3073467431</v>
      </c>
      <c r="AQ92" s="70">
        <f t="shared" si="61"/>
        <v>3698225.6584984371</v>
      </c>
      <c r="AR92" s="70">
        <f t="shared" si="61"/>
        <v>3167528.0960192862</v>
      </c>
      <c r="AS92" s="70">
        <f t="shared" si="61"/>
        <v>3385788.8479737611</v>
      </c>
      <c r="AT92" s="70">
        <f t="shared" si="61"/>
        <v>3444101.2499000002</v>
      </c>
      <c r="AU92" s="70">
        <f t="shared" si="61"/>
        <v>3422984.7856000001</v>
      </c>
      <c r="AV92" s="70">
        <f t="shared" si="61"/>
        <v>3694559.5947000002</v>
      </c>
      <c r="AW92" s="94"/>
      <c r="AX92" s="72"/>
      <c r="AY92" s="43"/>
      <c r="AZ92" s="20"/>
      <c r="BA92" s="20"/>
    </row>
    <row r="93" spans="1:68" ht="18" customHeight="1">
      <c r="A93" s="5" t="s">
        <v>144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73"/>
      <c r="Z93" s="73"/>
      <c r="AA93" s="148">
        <f t="shared" ref="AA93:AR93" si="62">AA89/(AA75*1000)</f>
        <v>9.6016560083674415E-2</v>
      </c>
      <c r="AB93" s="148">
        <f t="shared" si="62"/>
        <v>2.7051557999822371E-2</v>
      </c>
      <c r="AC93" s="148">
        <f t="shared" si="62"/>
        <v>6.2572721017486288E-2</v>
      </c>
      <c r="AD93" s="148">
        <f t="shared" si="62"/>
        <v>8.6358187516246687E-2</v>
      </c>
      <c r="AE93" s="148">
        <f t="shared" si="62"/>
        <v>0.11572514869746935</v>
      </c>
      <c r="AF93" s="148">
        <f t="shared" si="62"/>
        <v>2.877416608654813E-2</v>
      </c>
      <c r="AG93" s="148">
        <f t="shared" si="62"/>
        <v>1.7054040243929872E-2</v>
      </c>
      <c r="AH93" s="148">
        <f t="shared" si="62"/>
        <v>4.5148919751136898E-2</v>
      </c>
      <c r="AI93" s="148">
        <f t="shared" si="62"/>
        <v>7.8122436252654789E-2</v>
      </c>
      <c r="AJ93" s="148">
        <f t="shared" si="62"/>
        <v>8.4930940660242774E-2</v>
      </c>
      <c r="AK93" s="148">
        <f t="shared" si="62"/>
        <v>0.14152168313823704</v>
      </c>
      <c r="AL93" s="148">
        <f t="shared" si="62"/>
        <v>0.1121963957341211</v>
      </c>
      <c r="AM93" s="148">
        <f t="shared" si="62"/>
        <v>0.10679347531039812</v>
      </c>
      <c r="AN93" s="148">
        <f t="shared" si="62"/>
        <v>7.401585864761781E-2</v>
      </c>
      <c r="AO93" s="148">
        <f t="shared" si="62"/>
        <v>6.3785261307144514E-2</v>
      </c>
      <c r="AP93" s="148">
        <f t="shared" si="62"/>
        <v>9.3060393454463472E-2</v>
      </c>
      <c r="AQ93" s="148">
        <f t="shared" si="62"/>
        <v>9.033254425598973E-2</v>
      </c>
      <c r="AR93" s="148">
        <f t="shared" si="62"/>
        <v>7.2052749650972428E-2</v>
      </c>
      <c r="AS93" s="148">
        <f>AS89/(AS75*1000)</f>
        <v>7.8267591682302351E-2</v>
      </c>
      <c r="AT93" s="148">
        <f>AT89/(AT75*1000)</f>
        <v>6.7279754972155908E-2</v>
      </c>
      <c r="AU93" s="148">
        <f>AU89/(AU75*1000)</f>
        <v>9.4799159151905524E-2</v>
      </c>
      <c r="AV93" s="148">
        <f>AV89/(AV75*1000)</f>
        <v>9.4352121278339293E-2</v>
      </c>
      <c r="AW93" s="148"/>
      <c r="AX93" s="110"/>
      <c r="AY93" s="43"/>
      <c r="AZ93" s="20"/>
      <c r="BA93" s="20"/>
    </row>
    <row r="94" spans="1:68" ht="18" customHeight="1">
      <c r="A94" s="5" t="s">
        <v>145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73"/>
      <c r="Z94" s="73"/>
      <c r="AA94" s="149">
        <f t="shared" ref="AA94:AP94" si="63">AA90/(AA77*1000)</f>
        <v>0.32</v>
      </c>
      <c r="AB94" s="149">
        <f t="shared" si="63"/>
        <v>0.32</v>
      </c>
      <c r="AC94" s="149">
        <f t="shared" si="63"/>
        <v>0.32</v>
      </c>
      <c r="AD94" s="149">
        <f t="shared" si="63"/>
        <v>0.32</v>
      </c>
      <c r="AE94" s="149">
        <f t="shared" si="63"/>
        <v>0.32</v>
      </c>
      <c r="AF94" s="149">
        <f t="shared" si="63"/>
        <v>0.32</v>
      </c>
      <c r="AG94" s="149">
        <f t="shared" si="63"/>
        <v>0.32</v>
      </c>
      <c r="AH94" s="149">
        <f t="shared" si="63"/>
        <v>0.32</v>
      </c>
      <c r="AI94" s="149">
        <f t="shared" si="63"/>
        <v>0.32</v>
      </c>
      <c r="AJ94" s="149">
        <f t="shared" si="63"/>
        <v>0.32</v>
      </c>
      <c r="AK94" s="149">
        <f t="shared" si="63"/>
        <v>0.32</v>
      </c>
      <c r="AL94" s="149">
        <f t="shared" si="63"/>
        <v>0.36599999999999999</v>
      </c>
      <c r="AM94" s="149">
        <f t="shared" si="63"/>
        <v>0.36599999999999999</v>
      </c>
      <c r="AN94" s="149">
        <f t="shared" si="63"/>
        <v>0.36599999999999999</v>
      </c>
      <c r="AO94" s="149">
        <f t="shared" si="63"/>
        <v>0.38700000000000007</v>
      </c>
      <c r="AP94" s="149">
        <f t="shared" si="63"/>
        <v>0.41699999999999998</v>
      </c>
      <c r="AQ94" s="153">
        <f>[1]Sheet1!B40</f>
        <v>0.31579999999999997</v>
      </c>
      <c r="AR94" s="153">
        <f>[1]Sheet1!C40</f>
        <v>0.2984</v>
      </c>
      <c r="AS94" s="153">
        <f>[1]Sheet1!D40</f>
        <v>0.29459999999999997</v>
      </c>
      <c r="AT94" s="153">
        <f>[1]Sheet1!E40</f>
        <v>0.26989999999999997</v>
      </c>
      <c r="AU94" s="153">
        <f>[1]Sheet1!F40</f>
        <v>0.32950000000000002</v>
      </c>
      <c r="AV94" s="153">
        <f>[1]Sheet1!G40</f>
        <v>0.32700000000000001</v>
      </c>
      <c r="AW94" s="149"/>
      <c r="AX94" s="72"/>
      <c r="AY94" s="43"/>
      <c r="AZ94" s="20"/>
      <c r="BA94" s="20"/>
    </row>
    <row r="95" spans="1:68" ht="18" customHeight="1">
      <c r="A95" s="5" t="s">
        <v>146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72"/>
      <c r="Z95" s="72"/>
      <c r="AA95" s="76">
        <f>(AA88+AA87)/(AA84+AA91)</f>
        <v>1.0675952460453737</v>
      </c>
      <c r="AB95" s="76">
        <f t="shared" ref="AB95:AV95" si="64">(AB88+AB87)/(AB84+AB91)</f>
        <v>0.95204880824806704</v>
      </c>
      <c r="AC95" s="76">
        <f t="shared" si="64"/>
        <v>0.90556801856081059</v>
      </c>
      <c r="AD95" s="76">
        <f t="shared" si="64"/>
        <v>0.9785107878709095</v>
      </c>
      <c r="AE95" s="76">
        <f t="shared" si="64"/>
        <v>1.0301231547104774</v>
      </c>
      <c r="AF95" s="76">
        <f t="shared" si="64"/>
        <v>0.88014341961857256</v>
      </c>
      <c r="AG95" s="76">
        <f t="shared" si="64"/>
        <v>0.89563119732131358</v>
      </c>
      <c r="AH95" s="76">
        <f t="shared" si="64"/>
        <v>0.89974273840736485</v>
      </c>
      <c r="AI95" s="76">
        <f t="shared" si="64"/>
        <v>1.0248806651210893</v>
      </c>
      <c r="AJ95" s="76">
        <f t="shared" si="64"/>
        <v>1.0187726272125186</v>
      </c>
      <c r="AK95" s="76">
        <f t="shared" si="64"/>
        <v>1.1835311436654952</v>
      </c>
      <c r="AL95" s="76">
        <f t="shared" si="64"/>
        <v>1.1311861961413672</v>
      </c>
      <c r="AM95" s="76">
        <f t="shared" si="64"/>
        <v>1.0738101392381587</v>
      </c>
      <c r="AN95" s="76">
        <f t="shared" si="64"/>
        <v>0.98260043513459572</v>
      </c>
      <c r="AO95" s="76">
        <f t="shared" si="64"/>
        <v>0.98117910275658382</v>
      </c>
      <c r="AP95" s="76">
        <f t="shared" si="64"/>
        <v>1.0517991100545623</v>
      </c>
      <c r="AQ95" s="76">
        <f t="shared" si="64"/>
        <v>0.95160761171156849</v>
      </c>
      <c r="AR95" s="76">
        <f t="shared" si="64"/>
        <v>0.85337551152184699</v>
      </c>
      <c r="AS95" s="76">
        <f t="shared" si="64"/>
        <v>0.8524996420308576</v>
      </c>
      <c r="AT95" s="76">
        <f t="shared" si="64"/>
        <v>0.90172851540898458</v>
      </c>
      <c r="AU95" s="76">
        <f t="shared" si="64"/>
        <v>1.0003589806013036</v>
      </c>
      <c r="AV95" s="76">
        <f t="shared" si="64"/>
        <v>1.0487503312888919</v>
      </c>
      <c r="AW95" s="154"/>
      <c r="AX95" s="155" t="s">
        <v>147</v>
      </c>
      <c r="AY95" s="52" t="s">
        <v>148</v>
      </c>
      <c r="BE95" s="15"/>
      <c r="BJ95" s="15"/>
      <c r="BN95" s="15"/>
    </row>
    <row r="96" spans="1:68" ht="61.5" customHeight="1">
      <c r="A96" s="61" t="s">
        <v>149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75" t="s">
        <v>150</v>
      </c>
      <c r="AY96" s="15" t="s">
        <v>151</v>
      </c>
      <c r="AZ96" s="15" t="s">
        <v>152</v>
      </c>
      <c r="BA96" s="15" t="s">
        <v>153</v>
      </c>
      <c r="BB96" s="15" t="s">
        <v>154</v>
      </c>
      <c r="BC96" s="15"/>
      <c r="BD96" s="15"/>
      <c r="BE96" s="15"/>
      <c r="BF96" s="15"/>
      <c r="BG96" s="15"/>
      <c r="BI96" s="15"/>
      <c r="BJ96" s="15"/>
      <c r="BK96" s="15"/>
      <c r="BL96" s="15"/>
      <c r="BM96" s="15"/>
      <c r="BN96" s="15"/>
      <c r="BO96" s="15"/>
      <c r="BP96" s="15"/>
    </row>
    <row r="97" spans="1:150" ht="18" customHeight="1">
      <c r="A97" s="5" t="s">
        <v>155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06"/>
      <c r="Z97" s="106"/>
      <c r="AA97" s="73">
        <f t="shared" ref="AA97:AQ97" si="65">(AA84/AA79)/10</f>
        <v>34.565268639803833</v>
      </c>
      <c r="AB97" s="73">
        <f t="shared" si="65"/>
        <v>35.680900124067065</v>
      </c>
      <c r="AC97" s="73">
        <f t="shared" si="65"/>
        <v>37.635735523452809</v>
      </c>
      <c r="AD97" s="73">
        <f t="shared" si="65"/>
        <v>38.379161151055371</v>
      </c>
      <c r="AE97" s="73">
        <f t="shared" si="65"/>
        <v>40.399465195952175</v>
      </c>
      <c r="AF97" s="73">
        <f t="shared" si="65"/>
        <v>31.616389733958272</v>
      </c>
      <c r="AG97" s="73">
        <f t="shared" si="65"/>
        <v>34.0145918548398</v>
      </c>
      <c r="AH97" s="73">
        <f t="shared" si="65"/>
        <v>36.771114277754279</v>
      </c>
      <c r="AI97" s="73">
        <f t="shared" si="65"/>
        <v>34.038906017825497</v>
      </c>
      <c r="AJ97" s="73">
        <f t="shared" si="65"/>
        <v>37.126685993238588</v>
      </c>
      <c r="AK97" s="73">
        <f t="shared" si="65"/>
        <v>36.62026558538463</v>
      </c>
      <c r="AL97" s="73">
        <f t="shared" si="65"/>
        <v>34.405627749627413</v>
      </c>
      <c r="AM97" s="73">
        <f>(AM84/AF79)/10</f>
        <v>35.542203701908207</v>
      </c>
      <c r="AN97" s="73">
        <f t="shared" si="65"/>
        <v>35.531385940216197</v>
      </c>
      <c r="AO97" s="73">
        <f t="shared" si="65"/>
        <v>35.684608409274603</v>
      </c>
      <c r="AP97" s="73">
        <f t="shared" si="65"/>
        <v>36.658552027712879</v>
      </c>
      <c r="AQ97" s="73">
        <f t="shared" si="65"/>
        <v>39.786888010403729</v>
      </c>
      <c r="AR97" s="73">
        <f>(AR84/AR79)/10</f>
        <v>36.468062449366371</v>
      </c>
      <c r="AS97" s="73">
        <f>(AS84/AS79)/10</f>
        <v>40.032880508392246</v>
      </c>
      <c r="AT97" s="73">
        <f>(AT84/AT79)/10</f>
        <v>39.906302074407918</v>
      </c>
      <c r="AU97" s="73">
        <f>(AU84/AU79)/10</f>
        <v>37.239567260943481</v>
      </c>
      <c r="AV97" s="73">
        <f>(AV84/AV79)/10</f>
        <v>39.343265310358944</v>
      </c>
      <c r="AW97" s="106"/>
      <c r="AX97" s="156" t="s">
        <v>155</v>
      </c>
      <c r="AY97" s="21">
        <f t="shared" ref="AY97:AY103" si="66">AVERAGE(AC97:AV97)</f>
        <v>36.860082938803664</v>
      </c>
      <c r="AZ97" s="21">
        <f>STDEV(AC97:AV97)</f>
        <v>2.3446496501951235</v>
      </c>
      <c r="BA97" s="21">
        <f>MIN(AC97:AV97)</f>
        <v>31.616389733958272</v>
      </c>
      <c r="BB97" s="21">
        <f>MAX(AC97:AV97)</f>
        <v>40.399465195952175</v>
      </c>
      <c r="BC97" s="45"/>
      <c r="BD97" s="15"/>
      <c r="BE97" s="8"/>
      <c r="BF97" s="8"/>
      <c r="BG97" s="8"/>
      <c r="BI97" s="15"/>
      <c r="BJ97" s="8"/>
      <c r="BK97" s="8"/>
      <c r="BL97" s="8"/>
      <c r="BM97" s="15"/>
      <c r="BN97" s="8"/>
      <c r="BO97" s="8"/>
      <c r="BP97" s="8"/>
    </row>
    <row r="98" spans="1:150" ht="18" customHeight="1">
      <c r="A98" s="36" t="s">
        <v>156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106"/>
      <c r="Z98" s="106"/>
      <c r="AA98" s="73"/>
      <c r="AB98" s="73"/>
      <c r="AC98" s="76">
        <f>(AA97+AB97+AC97)/3</f>
        <v>35.960634762441238</v>
      </c>
      <c r="AD98" s="76">
        <f t="shared" ref="AD98:AV98" si="67">(AB97+AC97+AD97)/3</f>
        <v>37.231932266191748</v>
      </c>
      <c r="AE98" s="76">
        <f t="shared" si="67"/>
        <v>38.804787290153449</v>
      </c>
      <c r="AF98" s="76">
        <f t="shared" si="67"/>
        <v>36.798338693655275</v>
      </c>
      <c r="AG98" s="76">
        <f t="shared" si="67"/>
        <v>35.343482261583411</v>
      </c>
      <c r="AH98" s="76">
        <f t="shared" si="67"/>
        <v>34.13403195551745</v>
      </c>
      <c r="AI98" s="76">
        <f t="shared" si="67"/>
        <v>34.941537383473189</v>
      </c>
      <c r="AJ98" s="76">
        <f t="shared" si="67"/>
        <v>35.978902096272783</v>
      </c>
      <c r="AK98" s="76">
        <f t="shared" si="67"/>
        <v>35.928619198816243</v>
      </c>
      <c r="AL98" s="76">
        <f t="shared" si="67"/>
        <v>36.050859776083549</v>
      </c>
      <c r="AM98" s="76">
        <f t="shared" si="67"/>
        <v>35.522699012306752</v>
      </c>
      <c r="AN98" s="76">
        <f t="shared" si="67"/>
        <v>35.159739130583937</v>
      </c>
      <c r="AO98" s="76">
        <f t="shared" si="67"/>
        <v>35.586066017133</v>
      </c>
      <c r="AP98" s="76">
        <f t="shared" si="67"/>
        <v>35.95818212573456</v>
      </c>
      <c r="AQ98" s="76">
        <f t="shared" si="67"/>
        <v>37.376682815797075</v>
      </c>
      <c r="AR98" s="76">
        <f t="shared" si="67"/>
        <v>37.637834162494322</v>
      </c>
      <c r="AS98" s="76">
        <f t="shared" si="67"/>
        <v>38.762610322720782</v>
      </c>
      <c r="AT98" s="76">
        <f t="shared" si="67"/>
        <v>38.802415010722179</v>
      </c>
      <c r="AU98" s="76">
        <f t="shared" si="67"/>
        <v>39.059583281247882</v>
      </c>
      <c r="AV98" s="76">
        <f t="shared" si="67"/>
        <v>38.82971154857011</v>
      </c>
      <c r="AW98" s="106"/>
      <c r="AX98" s="157" t="s">
        <v>157</v>
      </c>
      <c r="AY98" s="21">
        <f t="shared" si="66"/>
        <v>36.69343245557495</v>
      </c>
      <c r="AZ98" s="21">
        <f>STDEV(AC98:AV98)</f>
        <v>1.5215348575819476</v>
      </c>
      <c r="BA98" s="21">
        <f>MIN(AC98:AV98)</f>
        <v>34.13403195551745</v>
      </c>
      <c r="BB98" s="21" t="s">
        <v>158</v>
      </c>
      <c r="BC98" s="45"/>
      <c r="BD98" s="15"/>
      <c r="BE98" s="8"/>
      <c r="BF98" s="8"/>
      <c r="BG98" s="8"/>
      <c r="BI98" s="15"/>
      <c r="BJ98" s="8"/>
      <c r="BK98" s="8"/>
      <c r="BL98" s="8"/>
      <c r="BM98" s="15"/>
      <c r="BN98" s="8"/>
      <c r="BO98" s="8"/>
      <c r="BP98" s="8"/>
    </row>
    <row r="99" spans="1:150" ht="18" customHeight="1">
      <c r="A99" s="36" t="s">
        <v>159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76"/>
      <c r="Z99" s="76"/>
      <c r="AA99" s="76">
        <f t="shared" ref="AA99:AV99" si="68">(AA85)/(AA76*10)</f>
        <v>39.165087454803711</v>
      </c>
      <c r="AB99" s="76">
        <f t="shared" si="68"/>
        <v>40.480262015746554</v>
      </c>
      <c r="AC99" s="76">
        <f t="shared" si="68"/>
        <v>42.679280172481043</v>
      </c>
      <c r="AD99" s="76">
        <f t="shared" si="68"/>
        <v>43.007118583931806</v>
      </c>
      <c r="AE99" s="76">
        <f t="shared" si="68"/>
        <v>44.661710750394185</v>
      </c>
      <c r="AF99" s="76">
        <f t="shared" si="68"/>
        <v>34.725476150486031</v>
      </c>
      <c r="AG99" s="76">
        <f t="shared" si="68"/>
        <v>37.326392342660995</v>
      </c>
      <c r="AH99" s="76">
        <f t="shared" si="68"/>
        <v>39.94063186858471</v>
      </c>
      <c r="AI99" s="76">
        <f t="shared" si="68"/>
        <v>36.719258687036657</v>
      </c>
      <c r="AJ99" s="76">
        <f t="shared" si="68"/>
        <v>39.928374218475</v>
      </c>
      <c r="AK99" s="76">
        <f t="shared" si="68"/>
        <v>39.362957176015748</v>
      </c>
      <c r="AL99" s="76">
        <f t="shared" si="68"/>
        <v>37.222406344442895</v>
      </c>
      <c r="AM99" s="76">
        <f t="shared" si="68"/>
        <v>41.722969599401885</v>
      </c>
      <c r="AN99" s="76">
        <f t="shared" si="68"/>
        <v>39.347470113603997</v>
      </c>
      <c r="AO99" s="76">
        <f t="shared" si="68"/>
        <v>39.842085500565126</v>
      </c>
      <c r="AP99" s="76">
        <f t="shared" si="68"/>
        <v>40.992764920868979</v>
      </c>
      <c r="AQ99" s="76">
        <f t="shared" si="68"/>
        <v>44.480795018759594</v>
      </c>
      <c r="AR99" s="76">
        <f t="shared" si="68"/>
        <v>40.867016601468336</v>
      </c>
      <c r="AS99" s="76">
        <f t="shared" si="68"/>
        <v>44.994431574800714</v>
      </c>
      <c r="AT99" s="76">
        <f t="shared" si="68"/>
        <v>44.866430101685843</v>
      </c>
      <c r="AU99" s="76">
        <f t="shared" si="68"/>
        <v>41.895449164578778</v>
      </c>
      <c r="AV99" s="76">
        <f t="shared" si="68"/>
        <v>44.353816854215204</v>
      </c>
      <c r="AW99" s="76"/>
      <c r="AX99" s="157" t="s">
        <v>159</v>
      </c>
      <c r="AY99" s="21">
        <f t="shared" si="66"/>
        <v>40.946841787222873</v>
      </c>
      <c r="AZ99" s="21">
        <f>STDEV(AC99:AV99)</f>
        <v>2.9937947248218593</v>
      </c>
      <c r="BA99" s="21">
        <f t="shared" ref="BA99" si="69">MIN(AC99:AU99)</f>
        <v>34.725476150486031</v>
      </c>
      <c r="BB99" s="21">
        <f>MAX(AC99:AV99)</f>
        <v>44.994431574800714</v>
      </c>
      <c r="BC99" s="45"/>
      <c r="BD99" s="62"/>
      <c r="BE99" s="8"/>
      <c r="BF99" s="8"/>
      <c r="BG99" s="8"/>
      <c r="BH99" s="43"/>
      <c r="BI99" s="62"/>
      <c r="BJ99" s="8"/>
      <c r="BK99" s="8"/>
      <c r="BL99" s="8"/>
      <c r="BM99" s="43"/>
      <c r="BN99" s="8"/>
      <c r="BO99" s="8"/>
      <c r="BP99" s="8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20"/>
      <c r="EN99" s="45"/>
      <c r="EO99" s="45"/>
      <c r="EP99" s="45"/>
      <c r="EQ99" s="45"/>
      <c r="ER99" s="45"/>
      <c r="ES99" s="15"/>
      <c r="ET99" s="11"/>
    </row>
    <row r="100" spans="1:150" ht="18" customHeight="1">
      <c r="A100" s="36" t="s">
        <v>156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76"/>
      <c r="Z100" s="76"/>
      <c r="AA100" s="76"/>
      <c r="AB100" s="76"/>
      <c r="AC100" s="76">
        <f>(AA99+AB99+AC99)/3</f>
        <v>40.774876547677103</v>
      </c>
      <c r="AD100" s="76">
        <f t="shared" ref="AD100:AV100" si="70">(AB99+AC99+AD99)/3</f>
        <v>42.055553590719796</v>
      </c>
      <c r="AE100" s="76">
        <f t="shared" si="70"/>
        <v>43.44936983560234</v>
      </c>
      <c r="AF100" s="76">
        <f t="shared" si="70"/>
        <v>40.798101828270674</v>
      </c>
      <c r="AG100" s="76">
        <f t="shared" si="70"/>
        <v>38.904526414513732</v>
      </c>
      <c r="AH100" s="76">
        <f t="shared" si="70"/>
        <v>37.330833453910579</v>
      </c>
      <c r="AI100" s="76">
        <f t="shared" si="70"/>
        <v>37.995427632760787</v>
      </c>
      <c r="AJ100" s="76">
        <f t="shared" si="70"/>
        <v>38.862754924698784</v>
      </c>
      <c r="AK100" s="76">
        <f t="shared" si="70"/>
        <v>38.670196693842463</v>
      </c>
      <c r="AL100" s="76">
        <f t="shared" si="70"/>
        <v>38.837912579644552</v>
      </c>
      <c r="AM100" s="76">
        <f t="shared" si="70"/>
        <v>39.436111039953509</v>
      </c>
      <c r="AN100" s="76">
        <f t="shared" si="70"/>
        <v>39.430948685816254</v>
      </c>
      <c r="AO100" s="76">
        <f t="shared" si="70"/>
        <v>40.304175071190336</v>
      </c>
      <c r="AP100" s="76">
        <f t="shared" si="70"/>
        <v>40.060773511679365</v>
      </c>
      <c r="AQ100" s="76">
        <f t="shared" si="70"/>
        <v>41.771881813397904</v>
      </c>
      <c r="AR100" s="76">
        <f t="shared" si="70"/>
        <v>42.113525513698967</v>
      </c>
      <c r="AS100" s="76">
        <f t="shared" si="70"/>
        <v>43.447414398342879</v>
      </c>
      <c r="AT100" s="76">
        <f t="shared" si="70"/>
        <v>43.575959425984962</v>
      </c>
      <c r="AU100" s="76">
        <f t="shared" si="70"/>
        <v>43.918770280355112</v>
      </c>
      <c r="AV100" s="76">
        <f t="shared" si="70"/>
        <v>43.705232040159949</v>
      </c>
      <c r="AW100" s="76"/>
      <c r="AX100" s="157" t="s">
        <v>157</v>
      </c>
      <c r="AY100" s="21">
        <f t="shared" si="66"/>
        <v>40.772217264111006</v>
      </c>
      <c r="AZ100" s="21">
        <f t="shared" ref="AZ100:AZ103" si="71">STDEV(AC100:AU100)</f>
        <v>2.0444547147587513</v>
      </c>
      <c r="BA100" s="21">
        <f t="shared" ref="BA100:BA108" si="72">MIN(AC100:AV100)</f>
        <v>37.330833453910579</v>
      </c>
      <c r="BB100" s="21">
        <f>MAX(AC100:AV100)</f>
        <v>43.918770280355112</v>
      </c>
      <c r="BC100" s="45"/>
      <c r="BD100" s="62"/>
      <c r="BE100" s="8"/>
      <c r="BF100" s="8"/>
      <c r="BG100" s="8"/>
      <c r="BH100" s="43"/>
      <c r="BI100" s="62"/>
      <c r="BJ100" s="8"/>
      <c r="BK100" s="8"/>
      <c r="BL100" s="8"/>
      <c r="BM100" s="43"/>
      <c r="BN100" s="8"/>
      <c r="BO100" s="8"/>
      <c r="BP100" s="8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20"/>
      <c r="EN100" s="45"/>
      <c r="EO100" s="45"/>
      <c r="EP100" s="45"/>
      <c r="EQ100" s="45"/>
      <c r="ER100" s="45"/>
      <c r="ES100" s="15"/>
      <c r="ET100" s="11"/>
    </row>
    <row r="101" spans="1:150" ht="18" customHeight="1">
      <c r="A101" s="5" t="s">
        <v>160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06"/>
      <c r="Z101" s="106"/>
      <c r="AA101" s="73">
        <f t="shared" ref="AA101:AV101" si="73">(AA87/AA76)/10</f>
        <v>30.632869384045318</v>
      </c>
      <c r="AB101" s="73">
        <f t="shared" si="73"/>
        <v>32.943370718721454</v>
      </c>
      <c r="AC101" s="73">
        <f t="shared" si="73"/>
        <v>30.008765514363837</v>
      </c>
      <c r="AD101" s="73">
        <f t="shared" si="73"/>
        <v>31.949747730975776</v>
      </c>
      <c r="AE101" s="73">
        <f t="shared" si="73"/>
        <v>33.80824323663699</v>
      </c>
      <c r="AF101" s="73">
        <f t="shared" si="73"/>
        <v>24.426169327673048</v>
      </c>
      <c r="AG101" s="73">
        <f t="shared" si="73"/>
        <v>28.908606141719009</v>
      </c>
      <c r="AH101" s="73">
        <f t="shared" si="73"/>
        <v>29.486841342164343</v>
      </c>
      <c r="AI101" s="73">
        <f t="shared" si="73"/>
        <v>29.339683457683527</v>
      </c>
      <c r="AJ101" s="73">
        <f t="shared" si="73"/>
        <v>32.094770949381129</v>
      </c>
      <c r="AK101" s="73">
        <f t="shared" si="73"/>
        <v>33.903485253093358</v>
      </c>
      <c r="AL101" s="73">
        <f t="shared" si="73"/>
        <v>30.737312472316653</v>
      </c>
      <c r="AM101" s="73">
        <f t="shared" si="73"/>
        <v>33.636735720941331</v>
      </c>
      <c r="AN101" s="73">
        <f t="shared" si="73"/>
        <v>28.806587114380335</v>
      </c>
      <c r="AO101" s="73">
        <f t="shared" si="73"/>
        <v>28.969939748959256</v>
      </c>
      <c r="AP101" s="73">
        <f t="shared" si="73"/>
        <v>29.791287241073555</v>
      </c>
      <c r="AQ101" s="73">
        <f t="shared" si="73"/>
        <v>30.189304324317646</v>
      </c>
      <c r="AR101" s="73">
        <f t="shared" si="73"/>
        <v>24.777623632691864</v>
      </c>
      <c r="AS101" s="73">
        <f t="shared" si="73"/>
        <v>27.661235763598945</v>
      </c>
      <c r="AT101" s="73">
        <f t="shared" si="73"/>
        <v>30.883247551511907</v>
      </c>
      <c r="AU101" s="73">
        <f t="shared" si="73"/>
        <v>30.122082648452828</v>
      </c>
      <c r="AV101" s="73">
        <f t="shared" si="73"/>
        <v>35.252442262149948</v>
      </c>
      <c r="AW101" s="106"/>
      <c r="AX101" s="75" t="s">
        <v>160</v>
      </c>
      <c r="AY101" s="21">
        <f t="shared" si="66"/>
        <v>30.237705571704272</v>
      </c>
      <c r="AZ101" s="21">
        <f>STDEV(AC101:AV101)</f>
        <v>2.7835788881346835</v>
      </c>
      <c r="BA101" s="21">
        <f t="shared" si="72"/>
        <v>24.426169327673048</v>
      </c>
      <c r="BB101" s="21">
        <f>MAX(AC101:AV101)</f>
        <v>35.252442262149948</v>
      </c>
      <c r="BC101" s="45"/>
      <c r="BD101" s="15"/>
      <c r="BE101" s="8"/>
      <c r="BF101" s="8"/>
      <c r="BG101" s="8"/>
      <c r="BI101" s="15"/>
      <c r="BJ101" s="8"/>
      <c r="BK101" s="8"/>
      <c r="BL101" s="8"/>
      <c r="BM101" s="15"/>
      <c r="BN101" s="8"/>
      <c r="BO101" s="8"/>
      <c r="BP101" s="8"/>
    </row>
    <row r="102" spans="1:150" ht="18" customHeight="1">
      <c r="A102" s="36" t="s">
        <v>156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106"/>
      <c r="Z102" s="106"/>
      <c r="AA102" s="73"/>
      <c r="AB102" s="73"/>
      <c r="AC102" s="73">
        <f>(AA101+AB101+AC101)/3</f>
        <v>31.195001872376867</v>
      </c>
      <c r="AD102" s="73">
        <f t="shared" ref="AD102:AV104" si="74">(AB101+AC101+AD101)/3</f>
        <v>31.633961321353691</v>
      </c>
      <c r="AE102" s="73">
        <f t="shared" si="74"/>
        <v>31.922252160658871</v>
      </c>
      <c r="AF102" s="73">
        <f t="shared" si="74"/>
        <v>30.061386765095275</v>
      </c>
      <c r="AG102" s="73">
        <f t="shared" si="74"/>
        <v>29.04767290200968</v>
      </c>
      <c r="AH102" s="73">
        <f t="shared" si="74"/>
        <v>27.607205603852133</v>
      </c>
      <c r="AI102" s="73">
        <f t="shared" si="74"/>
        <v>29.245043647188961</v>
      </c>
      <c r="AJ102" s="73">
        <f t="shared" si="74"/>
        <v>30.307098583076336</v>
      </c>
      <c r="AK102" s="73">
        <f t="shared" si="74"/>
        <v>31.779313220052671</v>
      </c>
      <c r="AL102" s="73">
        <f t="shared" si="74"/>
        <v>32.245189558263718</v>
      </c>
      <c r="AM102" s="73">
        <f t="shared" si="74"/>
        <v>32.75917781545045</v>
      </c>
      <c r="AN102" s="73">
        <f t="shared" si="74"/>
        <v>31.060211769212771</v>
      </c>
      <c r="AO102" s="73">
        <f t="shared" si="74"/>
        <v>30.471087528093637</v>
      </c>
      <c r="AP102" s="73">
        <f t="shared" si="74"/>
        <v>29.189271368137714</v>
      </c>
      <c r="AQ102" s="73">
        <f t="shared" si="74"/>
        <v>29.650177104783484</v>
      </c>
      <c r="AR102" s="73">
        <f t="shared" si="74"/>
        <v>28.252738399361021</v>
      </c>
      <c r="AS102" s="73">
        <f t="shared" si="74"/>
        <v>27.54272124020282</v>
      </c>
      <c r="AT102" s="73">
        <f t="shared" si="74"/>
        <v>27.774035649267574</v>
      </c>
      <c r="AU102" s="73">
        <f t="shared" si="74"/>
        <v>29.555521987854561</v>
      </c>
      <c r="AV102" s="73">
        <f t="shared" si="74"/>
        <v>32.085924154038224</v>
      </c>
      <c r="AW102" s="106"/>
      <c r="AX102" s="157" t="s">
        <v>157</v>
      </c>
      <c r="AY102" s="21">
        <f t="shared" si="66"/>
        <v>30.169249632516529</v>
      </c>
      <c r="AZ102" s="21">
        <f>STDEV(AC102:AV102)</f>
        <v>1.6393300217134301</v>
      </c>
      <c r="BA102" s="21">
        <f t="shared" si="72"/>
        <v>27.54272124020282</v>
      </c>
      <c r="BB102" s="21">
        <f>MAX(AC102:AV102)</f>
        <v>32.75917781545045</v>
      </c>
      <c r="BC102" s="45"/>
      <c r="BD102" s="15"/>
      <c r="BE102" s="8"/>
      <c r="BF102" s="8"/>
      <c r="BG102" s="8"/>
      <c r="BI102" s="15"/>
      <c r="BJ102" s="8"/>
      <c r="BK102" s="8"/>
      <c r="BL102" s="8"/>
      <c r="BM102" s="15"/>
      <c r="BN102" s="8"/>
      <c r="BO102" s="8"/>
      <c r="BP102" s="8"/>
    </row>
    <row r="103" spans="1:150" ht="18" customHeight="1">
      <c r="A103" s="5" t="s">
        <v>161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06"/>
      <c r="Z103" s="106"/>
      <c r="AA103" s="73">
        <f t="shared" ref="AA103:AV103" si="75">(AA89/AA75)/10</f>
        <v>9.6016560083674403</v>
      </c>
      <c r="AB103" s="73">
        <f t="shared" si="75"/>
        <v>2.7051557999822373</v>
      </c>
      <c r="AC103" s="73">
        <f t="shared" si="75"/>
        <v>6.2572721017486277</v>
      </c>
      <c r="AD103" s="73">
        <f t="shared" si="75"/>
        <v>8.6358187516246687</v>
      </c>
      <c r="AE103" s="73">
        <f t="shared" si="75"/>
        <v>11.572514869746934</v>
      </c>
      <c r="AF103" s="73">
        <f t="shared" si="75"/>
        <v>2.877416608654813</v>
      </c>
      <c r="AG103" s="73">
        <f t="shared" si="75"/>
        <v>1.7054040243929873</v>
      </c>
      <c r="AH103" s="73">
        <f t="shared" si="75"/>
        <v>4.5148919751136898</v>
      </c>
      <c r="AI103" s="73">
        <f t="shared" si="75"/>
        <v>7.8122436252654781</v>
      </c>
      <c r="AJ103" s="73">
        <f t="shared" si="75"/>
        <v>8.4930940660242786</v>
      </c>
      <c r="AK103" s="73">
        <f t="shared" si="75"/>
        <v>14.152168313823704</v>
      </c>
      <c r="AL103" s="73">
        <f t="shared" si="75"/>
        <v>11.21963957341211</v>
      </c>
      <c r="AM103" s="73">
        <f t="shared" si="75"/>
        <v>10.679347531039813</v>
      </c>
      <c r="AN103" s="73">
        <f t="shared" si="75"/>
        <v>7.401585864761782</v>
      </c>
      <c r="AO103" s="73">
        <f t="shared" si="75"/>
        <v>6.3785261307144507</v>
      </c>
      <c r="AP103" s="73">
        <f t="shared" si="75"/>
        <v>9.3060393454463473</v>
      </c>
      <c r="AQ103" s="73">
        <f t="shared" si="75"/>
        <v>9.0332544255989724</v>
      </c>
      <c r="AR103" s="73">
        <f t="shared" si="75"/>
        <v>7.2052749650972432</v>
      </c>
      <c r="AS103" s="73">
        <f t="shared" si="75"/>
        <v>7.8267591682302342</v>
      </c>
      <c r="AT103" s="73">
        <f t="shared" si="75"/>
        <v>6.7279754972155912</v>
      </c>
      <c r="AU103" s="73">
        <f t="shared" si="75"/>
        <v>9.479915915190551</v>
      </c>
      <c r="AV103" s="73">
        <f t="shared" si="75"/>
        <v>9.43521212783393</v>
      </c>
      <c r="AW103" s="106"/>
      <c r="AX103" s="75" t="s">
        <v>162</v>
      </c>
      <c r="AY103" s="21">
        <f t="shared" si="66"/>
        <v>8.0357177440468099</v>
      </c>
      <c r="AZ103" s="21">
        <f t="shared" si="71"/>
        <v>2.9822496715750608</v>
      </c>
      <c r="BA103" s="21">
        <f t="shared" si="72"/>
        <v>1.7054040243929873</v>
      </c>
      <c r="BB103" s="21">
        <f t="shared" ref="BB103:BB109" si="76">MAX(AC103:AV103)</f>
        <v>14.152168313823704</v>
      </c>
      <c r="BC103" s="45"/>
      <c r="BD103" s="15"/>
      <c r="BE103" s="8"/>
      <c r="BF103" s="8"/>
      <c r="BG103" s="8"/>
      <c r="BI103" s="15"/>
      <c r="BJ103" s="8"/>
      <c r="BK103" s="8"/>
      <c r="BL103" s="8"/>
      <c r="BM103" s="15"/>
      <c r="BN103" s="8"/>
      <c r="BO103" s="8"/>
      <c r="BP103" s="8"/>
    </row>
    <row r="104" spans="1:150" ht="18" customHeight="1">
      <c r="A104" s="36" t="s">
        <v>156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106"/>
      <c r="Z104" s="106"/>
      <c r="AA104" s="73">
        <v>3</v>
      </c>
      <c r="AB104" s="73">
        <v>2.7</v>
      </c>
      <c r="AC104" s="73">
        <f t="shared" ref="AC104:AQ104" si="77">(AA103+AB103+AC103)/3</f>
        <v>6.1880279700327678</v>
      </c>
      <c r="AD104" s="73">
        <f t="shared" si="77"/>
        <v>5.8660822177851779</v>
      </c>
      <c r="AE104" s="73">
        <f t="shared" si="77"/>
        <v>8.8218685743734095</v>
      </c>
      <c r="AF104" s="73">
        <f t="shared" si="77"/>
        <v>7.695250076675471</v>
      </c>
      <c r="AG104" s="73">
        <f t="shared" si="77"/>
        <v>5.3851118342649116</v>
      </c>
      <c r="AH104" s="73">
        <f t="shared" si="77"/>
        <v>3.0325708693871634</v>
      </c>
      <c r="AI104" s="73">
        <f t="shared" si="77"/>
        <v>4.6775132082573849</v>
      </c>
      <c r="AJ104" s="73">
        <f t="shared" si="77"/>
        <v>6.9400765554678161</v>
      </c>
      <c r="AK104" s="73">
        <f t="shared" si="77"/>
        <v>10.152502001704487</v>
      </c>
      <c r="AL104" s="73">
        <f t="shared" si="77"/>
        <v>11.288300651086699</v>
      </c>
      <c r="AM104" s="73">
        <f t="shared" si="77"/>
        <v>12.017051806091876</v>
      </c>
      <c r="AN104" s="73">
        <f t="shared" si="77"/>
        <v>9.7668576564045679</v>
      </c>
      <c r="AO104" s="73">
        <f t="shared" si="77"/>
        <v>8.1531531755053486</v>
      </c>
      <c r="AP104" s="73">
        <f t="shared" si="77"/>
        <v>7.6953837803075267</v>
      </c>
      <c r="AQ104" s="73">
        <f t="shared" si="77"/>
        <v>8.239273300586591</v>
      </c>
      <c r="AR104" s="73">
        <f t="shared" si="74"/>
        <v>8.5148562453808534</v>
      </c>
      <c r="AS104" s="73">
        <f t="shared" si="74"/>
        <v>8.021762852975483</v>
      </c>
      <c r="AT104" s="73">
        <f t="shared" si="74"/>
        <v>7.2533365435143571</v>
      </c>
      <c r="AU104" s="73">
        <f t="shared" si="74"/>
        <v>8.0115501935454585</v>
      </c>
      <c r="AV104" s="73">
        <f t="shared" si="74"/>
        <v>8.5477011800800238</v>
      </c>
      <c r="AW104" s="106"/>
      <c r="AX104" s="157" t="s">
        <v>157</v>
      </c>
      <c r="AY104" s="21">
        <f t="shared" ref="AY104:AY106" si="78">AVERAGE(AC104:AU104)</f>
        <v>7.7747647112288076</v>
      </c>
      <c r="AZ104" s="21">
        <f>STDEV(AC104:AV104)</f>
        <v>2.1470368116081371</v>
      </c>
      <c r="BA104" s="21">
        <f t="shared" si="72"/>
        <v>3.0325708693871634</v>
      </c>
      <c r="BB104" s="21">
        <f t="shared" si="76"/>
        <v>12.017051806091876</v>
      </c>
      <c r="BC104" s="45"/>
      <c r="BD104" s="15"/>
      <c r="BE104" s="8"/>
      <c r="BF104" s="8"/>
      <c r="BG104" s="8"/>
      <c r="BI104" s="15"/>
      <c r="BJ104" s="8"/>
      <c r="BK104" s="8"/>
      <c r="BL104" s="8"/>
      <c r="BM104" s="15"/>
      <c r="BN104" s="8"/>
      <c r="BO104" s="8"/>
      <c r="BP104" s="8"/>
    </row>
    <row r="105" spans="1:150" ht="18" customHeight="1">
      <c r="A105" s="57" t="s">
        <v>163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106"/>
      <c r="Z105" s="106"/>
      <c r="AA105" s="106">
        <f t="shared" ref="AA105:AV105" si="79">(AA91*0.9)/(AA76*10)</f>
        <v>1.4876123698313253</v>
      </c>
      <c r="AB105" s="106">
        <f t="shared" si="79"/>
        <v>1.0368410013681337</v>
      </c>
      <c r="AC105" s="106">
        <f t="shared" si="79"/>
        <v>1.2351330816656436</v>
      </c>
      <c r="AD105" s="106">
        <f t="shared" si="79"/>
        <v>1.2738623888665084</v>
      </c>
      <c r="AE105" s="106">
        <f t="shared" si="79"/>
        <v>1.2794555325768975</v>
      </c>
      <c r="AF105" s="106">
        <f t="shared" si="79"/>
        <v>0.60875407924450509</v>
      </c>
      <c r="AG105" s="106">
        <f t="shared" si="79"/>
        <v>0.64810092126366603</v>
      </c>
      <c r="AH105" s="106">
        <f t="shared" si="79"/>
        <v>0.8825938616108201</v>
      </c>
      <c r="AI105" s="106">
        <f t="shared" si="79"/>
        <v>0.80673224749314676</v>
      </c>
      <c r="AJ105" s="106">
        <f t="shared" si="79"/>
        <v>0.87553544207526657</v>
      </c>
      <c r="AK105" s="106">
        <f t="shared" si="79"/>
        <v>1.236931936236791</v>
      </c>
      <c r="AL105" s="106">
        <f t="shared" si="79"/>
        <v>1.0629594937966296</v>
      </c>
      <c r="AM105" s="106">
        <f t="shared" si="79"/>
        <v>1.1838161371931486</v>
      </c>
      <c r="AN105" s="106">
        <f t="shared" si="79"/>
        <v>1.0954790033858361</v>
      </c>
      <c r="AO105" s="106">
        <f t="shared" si="79"/>
        <v>0.9505748630632983</v>
      </c>
      <c r="AP105" s="106">
        <f t="shared" si="79"/>
        <v>1.0895829205055869</v>
      </c>
      <c r="AQ105" s="106">
        <f t="shared" si="79"/>
        <v>1.1760758157088804</v>
      </c>
      <c r="AR105" s="106">
        <f t="shared" si="79"/>
        <v>1.0248875068680727</v>
      </c>
      <c r="AS105" s="106">
        <f t="shared" si="79"/>
        <v>1.0242235891555722</v>
      </c>
      <c r="AT105" s="106">
        <f t="shared" si="79"/>
        <v>1.1089119882258498</v>
      </c>
      <c r="AU105" s="106">
        <f t="shared" si="79"/>
        <v>1.1605655091521312</v>
      </c>
      <c r="AV105" s="106">
        <f t="shared" si="79"/>
        <v>1.1967283422459893</v>
      </c>
      <c r="AW105" s="106"/>
      <c r="AX105" s="158" t="s">
        <v>163</v>
      </c>
      <c r="AY105" s="21">
        <f>AVERAGE(AC105:AV105)</f>
        <v>1.046045233016712</v>
      </c>
      <c r="AZ105" s="21">
        <f t="shared" ref="AZ105" si="80">STDEV(AC105:AU105)</f>
        <v>0.19827610752363217</v>
      </c>
      <c r="BA105" s="21">
        <f t="shared" si="72"/>
        <v>0.60875407924450509</v>
      </c>
      <c r="BB105" s="21">
        <f t="shared" si="76"/>
        <v>1.2794555325768975</v>
      </c>
      <c r="BC105" s="45"/>
      <c r="BD105" s="15"/>
      <c r="BE105" s="8"/>
      <c r="BF105" s="8"/>
      <c r="BG105" s="8"/>
      <c r="BI105" s="15"/>
      <c r="BJ105" s="8"/>
      <c r="BK105" s="8"/>
      <c r="BL105" s="8"/>
      <c r="BM105" s="15"/>
      <c r="BN105" s="8"/>
      <c r="BO105" s="8"/>
      <c r="BP105" s="8"/>
    </row>
    <row r="106" spans="1:150" ht="18" customHeight="1">
      <c r="A106" s="63" t="s">
        <v>164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136"/>
      <c r="Z106" s="136"/>
      <c r="AA106" s="136">
        <f t="shared" ref="AA106:AU106" si="81">AA97+AA101+AA103+AA105</f>
        <v>76.287406402047921</v>
      </c>
      <c r="AB106" s="136">
        <f t="shared" si="81"/>
        <v>72.366267644138887</v>
      </c>
      <c r="AC106" s="136">
        <f t="shared" si="81"/>
        <v>75.136906221230902</v>
      </c>
      <c r="AD106" s="136">
        <f t="shared" si="81"/>
        <v>80.238590022522317</v>
      </c>
      <c r="AE106" s="136">
        <f t="shared" si="81"/>
        <v>87.059678834913001</v>
      </c>
      <c r="AF106" s="136">
        <f t="shared" si="81"/>
        <v>59.52872974953064</v>
      </c>
      <c r="AG106" s="136">
        <f t="shared" si="81"/>
        <v>65.276702942215465</v>
      </c>
      <c r="AH106" s="136">
        <f t="shared" si="81"/>
        <v>71.655441456643118</v>
      </c>
      <c r="AI106" s="136">
        <f t="shared" si="81"/>
        <v>71.997565348267642</v>
      </c>
      <c r="AJ106" s="136">
        <f t="shared" si="81"/>
        <v>78.590086450719255</v>
      </c>
      <c r="AK106" s="136">
        <f t="shared" si="81"/>
        <v>85.912851088538474</v>
      </c>
      <c r="AL106" s="136">
        <f t="shared" si="81"/>
        <v>77.425539289152795</v>
      </c>
      <c r="AM106" s="136">
        <f t="shared" si="81"/>
        <v>81.042103091082495</v>
      </c>
      <c r="AN106" s="136">
        <f t="shared" si="81"/>
        <v>72.835037922744149</v>
      </c>
      <c r="AO106" s="136">
        <f t="shared" si="81"/>
        <v>71.983649152011608</v>
      </c>
      <c r="AP106" s="136">
        <f t="shared" si="81"/>
        <v>76.845461534738376</v>
      </c>
      <c r="AQ106" s="136">
        <f t="shared" si="81"/>
        <v>80.185522576029229</v>
      </c>
      <c r="AR106" s="136">
        <f t="shared" si="81"/>
        <v>69.475848554023543</v>
      </c>
      <c r="AS106" s="136">
        <f t="shared" si="81"/>
        <v>76.545099029376999</v>
      </c>
      <c r="AT106" s="136">
        <f t="shared" si="81"/>
        <v>78.62643711136127</v>
      </c>
      <c r="AU106" s="136">
        <f t="shared" si="81"/>
        <v>78.002131333738987</v>
      </c>
      <c r="AV106" s="136">
        <f>AV97+AV101+AV103+AV105</f>
        <v>85.227648042588825</v>
      </c>
      <c r="AW106" s="76"/>
      <c r="AX106" s="158" t="s">
        <v>165</v>
      </c>
      <c r="AY106" s="21">
        <f t="shared" si="78"/>
        <v>75.703335879412634</v>
      </c>
      <c r="AZ106" s="21">
        <f>STDEV(AC106:AV106)</f>
        <v>6.7951076909243131</v>
      </c>
      <c r="BA106" s="21">
        <f t="shared" si="72"/>
        <v>59.52872974953064</v>
      </c>
      <c r="BB106" s="21">
        <f t="shared" si="76"/>
        <v>87.059678834913001</v>
      </c>
      <c r="BC106" s="45"/>
      <c r="BD106" s="15"/>
      <c r="BE106" s="8"/>
      <c r="BF106" s="8"/>
      <c r="BG106" s="8"/>
      <c r="BI106" s="15"/>
      <c r="BJ106" s="8"/>
      <c r="BK106" s="8"/>
      <c r="BL106" s="8"/>
      <c r="BM106" s="15"/>
      <c r="BN106" s="8"/>
      <c r="BO106" s="8"/>
      <c r="BP106" s="8"/>
    </row>
    <row r="107" spans="1:150" ht="18" customHeight="1">
      <c r="A107" s="36" t="s">
        <v>156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136"/>
      <c r="Z107" s="136"/>
      <c r="AA107" s="136">
        <f>AA106</f>
        <v>76.287406402047921</v>
      </c>
      <c r="AB107" s="136">
        <f t="shared" ref="AB107" si="82">AB106</f>
        <v>72.366267644138887</v>
      </c>
      <c r="AC107" s="73">
        <f t="shared" ref="AC107:AV107" si="83">(AA106+AB106+AC106)/3</f>
        <v>74.596860089139241</v>
      </c>
      <c r="AD107" s="73">
        <f t="shared" si="83"/>
        <v>75.91392129596403</v>
      </c>
      <c r="AE107" s="73">
        <f t="shared" si="83"/>
        <v>80.811725026222078</v>
      </c>
      <c r="AF107" s="73">
        <f t="shared" si="83"/>
        <v>75.608999535655315</v>
      </c>
      <c r="AG107" s="73">
        <f t="shared" si="83"/>
        <v>70.621703842219702</v>
      </c>
      <c r="AH107" s="73">
        <f t="shared" si="83"/>
        <v>65.48695804946307</v>
      </c>
      <c r="AI107" s="73">
        <f t="shared" si="83"/>
        <v>69.643236582375408</v>
      </c>
      <c r="AJ107" s="73">
        <f t="shared" si="83"/>
        <v>74.08103108521</v>
      </c>
      <c r="AK107" s="73">
        <f t="shared" si="83"/>
        <v>78.833500962508452</v>
      </c>
      <c r="AL107" s="73">
        <f t="shared" si="83"/>
        <v>80.642825609470179</v>
      </c>
      <c r="AM107" s="73">
        <f t="shared" si="83"/>
        <v>81.46016448959125</v>
      </c>
      <c r="AN107" s="73">
        <f t="shared" si="83"/>
        <v>77.100893434326494</v>
      </c>
      <c r="AO107" s="73">
        <f t="shared" si="83"/>
        <v>75.286930055279413</v>
      </c>
      <c r="AP107" s="73">
        <f t="shared" si="83"/>
        <v>73.888049536498045</v>
      </c>
      <c r="AQ107" s="73">
        <f t="shared" si="83"/>
        <v>76.338211087593066</v>
      </c>
      <c r="AR107" s="73">
        <f t="shared" si="83"/>
        <v>75.502277554930387</v>
      </c>
      <c r="AS107" s="73">
        <f t="shared" si="83"/>
        <v>75.402156719809923</v>
      </c>
      <c r="AT107" s="73">
        <f t="shared" si="83"/>
        <v>74.882461564920604</v>
      </c>
      <c r="AU107" s="73">
        <f t="shared" si="83"/>
        <v>77.724555824825757</v>
      </c>
      <c r="AV107" s="73">
        <f t="shared" si="83"/>
        <v>80.618738829229699</v>
      </c>
      <c r="AW107" s="76"/>
      <c r="AX107" s="157" t="s">
        <v>157</v>
      </c>
      <c r="AY107" s="21">
        <f>AVERAGE(AC107:AV107)</f>
        <v>75.722260058761577</v>
      </c>
      <c r="AZ107" s="21">
        <f>STDEV(AC107:AV107)</f>
        <v>3.9678576477275165</v>
      </c>
      <c r="BA107" s="21">
        <f t="shared" si="72"/>
        <v>65.48695804946307</v>
      </c>
      <c r="BB107" s="21">
        <f t="shared" si="76"/>
        <v>81.46016448959125</v>
      </c>
      <c r="BC107" s="45"/>
      <c r="BD107" s="15"/>
      <c r="BE107" s="8"/>
      <c r="BF107" s="8"/>
      <c r="BG107" s="8"/>
      <c r="BI107" s="15"/>
      <c r="BJ107" s="8"/>
      <c r="BK107" s="8"/>
      <c r="BL107" s="8"/>
      <c r="BM107" s="15"/>
      <c r="BN107" s="8"/>
      <c r="BO107" s="8"/>
      <c r="BP107" s="8"/>
    </row>
    <row r="108" spans="1:150" ht="18" customHeight="1">
      <c r="A108" s="36" t="s">
        <v>166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76"/>
      <c r="Z108" s="76"/>
      <c r="AA108" s="76">
        <f>AA101/AA99*100</f>
        <v>78.214735047880268</v>
      </c>
      <c r="AB108" s="76">
        <f>AB101/AB99*100</f>
        <v>81.381317902306805</v>
      </c>
      <c r="AC108" s="76">
        <f>AC101/AC99*100</f>
        <v>70.312257828830568</v>
      </c>
      <c r="AD108" s="76">
        <f t="shared" ref="AD108:AV108" si="84">AD101/AD99*100</f>
        <v>74.289440406530161</v>
      </c>
      <c r="AE108" s="76">
        <f t="shared" si="84"/>
        <v>75.698495800093369</v>
      </c>
      <c r="AF108" s="76">
        <f t="shared" si="84"/>
        <v>70.340775809149463</v>
      </c>
      <c r="AG108" s="76">
        <f t="shared" si="84"/>
        <v>77.448165566964931</v>
      </c>
      <c r="AH108" s="76">
        <f t="shared" si="84"/>
        <v>73.826677152188992</v>
      </c>
      <c r="AI108" s="76">
        <f t="shared" si="84"/>
        <v>79.902711837811665</v>
      </c>
      <c r="AJ108" s="76">
        <f t="shared" si="84"/>
        <v>80.380860923034433</v>
      </c>
      <c r="AK108" s="76">
        <f t="shared" si="84"/>
        <v>86.13043248120367</v>
      </c>
      <c r="AL108" s="76">
        <f t="shared" si="84"/>
        <v>82.577445928359666</v>
      </c>
      <c r="AM108" s="76">
        <f t="shared" si="84"/>
        <v>80.619227355819675</v>
      </c>
      <c r="AN108" s="76">
        <f t="shared" si="84"/>
        <v>73.210773224326672</v>
      </c>
      <c r="AO108" s="76">
        <f t="shared" si="84"/>
        <v>72.711905978286055</v>
      </c>
      <c r="AP108" s="76">
        <f t="shared" si="84"/>
        <v>72.674500728559366</v>
      </c>
      <c r="AQ108" s="76">
        <f t="shared" si="84"/>
        <v>67.870424329388513</v>
      </c>
      <c r="AR108" s="76">
        <f t="shared" si="84"/>
        <v>60.629881242179081</v>
      </c>
      <c r="AS108" s="76">
        <f t="shared" si="84"/>
        <v>61.47702014551222</v>
      </c>
      <c r="AT108" s="76">
        <f t="shared" si="84"/>
        <v>68.833752722286405</v>
      </c>
      <c r="AU108" s="76">
        <f t="shared" si="84"/>
        <v>71.898221045736051</v>
      </c>
      <c r="AV108" s="76">
        <f t="shared" si="84"/>
        <v>79.480064541051334</v>
      </c>
      <c r="AW108" s="76"/>
      <c r="AX108" s="157" t="s">
        <v>166</v>
      </c>
      <c r="AY108" s="21">
        <f>AVERAGE(AC108:AV108)</f>
        <v>74.015651752365628</v>
      </c>
      <c r="AZ108" s="21">
        <f>STDEV(AC108:AV108)</f>
        <v>6.5706646864030613</v>
      </c>
      <c r="BA108" s="21">
        <f t="shared" si="72"/>
        <v>60.629881242179081</v>
      </c>
      <c r="BB108" s="21">
        <f t="shared" si="76"/>
        <v>86.13043248120367</v>
      </c>
      <c r="BC108" s="45"/>
      <c r="BD108" s="15"/>
      <c r="BI108" s="15"/>
      <c r="BM108" s="15"/>
    </row>
    <row r="109" spans="1:150" ht="18" customHeight="1">
      <c r="A109" s="58" t="s">
        <v>167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76"/>
      <c r="Z109" s="76"/>
      <c r="AA109" s="76" t="s">
        <v>11</v>
      </c>
      <c r="AB109" s="76" t="s">
        <v>11</v>
      </c>
      <c r="AC109" s="76">
        <f t="shared" ref="AC109:AV109" si="85">(AC102+AC104)/(AC100+(AC105*0.9))</f>
        <v>0.8924840491733903</v>
      </c>
      <c r="AD109" s="76">
        <f t="shared" si="85"/>
        <v>0.8680157799116307</v>
      </c>
      <c r="AE109" s="76">
        <f t="shared" si="85"/>
        <v>0.91352728699762198</v>
      </c>
      <c r="AF109" s="76">
        <f t="shared" si="85"/>
        <v>0.91318760337886973</v>
      </c>
      <c r="AG109" s="76">
        <f t="shared" si="85"/>
        <v>0.8719850105619803</v>
      </c>
      <c r="AH109" s="76">
        <f t="shared" si="85"/>
        <v>0.80366272825367691</v>
      </c>
      <c r="AI109" s="76">
        <f t="shared" si="85"/>
        <v>0.8760654557829054</v>
      </c>
      <c r="AJ109" s="76">
        <f t="shared" si="85"/>
        <v>0.93938166408412305</v>
      </c>
      <c r="AK109" s="76">
        <f t="shared" si="85"/>
        <v>1.0540018669009392</v>
      </c>
      <c r="AL109" s="76">
        <f t="shared" si="85"/>
        <v>1.0939553690340273</v>
      </c>
      <c r="AM109" s="76">
        <f t="shared" si="85"/>
        <v>1.1055437267553316</v>
      </c>
      <c r="AN109" s="76">
        <f t="shared" si="85"/>
        <v>1.0101489684235065</v>
      </c>
      <c r="AO109" s="76">
        <f t="shared" si="85"/>
        <v>0.93839964310824753</v>
      </c>
      <c r="AP109" s="76">
        <f t="shared" si="85"/>
        <v>0.89871828982297097</v>
      </c>
      <c r="AQ109" s="76">
        <f t="shared" si="85"/>
        <v>0.88464022272332388</v>
      </c>
      <c r="AR109" s="76">
        <f t="shared" si="85"/>
        <v>0.854346578318398</v>
      </c>
      <c r="AS109" s="76">
        <f t="shared" si="85"/>
        <v>0.80155764733121548</v>
      </c>
      <c r="AT109" s="76">
        <f t="shared" si="85"/>
        <v>0.78582554269383986</v>
      </c>
      <c r="AU109" s="76">
        <f t="shared" si="85"/>
        <v>0.83550561297042059</v>
      </c>
      <c r="AV109" s="76">
        <f t="shared" si="85"/>
        <v>0.90735930562726308</v>
      </c>
      <c r="AW109" s="76"/>
      <c r="AX109" s="159" t="s">
        <v>168</v>
      </c>
      <c r="AY109" s="21">
        <f>AVERAGE(AC109:AV109)</f>
        <v>0.91241561759268408</v>
      </c>
      <c r="AZ109" s="21">
        <f>STDEV(AC109:AV109)</f>
        <v>9.0900731678925983E-2</v>
      </c>
      <c r="BA109" s="21">
        <f>MIN(AC109:AV109)</f>
        <v>0.78582554269383986</v>
      </c>
      <c r="BB109" s="21">
        <f t="shared" si="76"/>
        <v>1.1055437267553316</v>
      </c>
      <c r="BC109" s="45"/>
      <c r="BD109" s="15"/>
      <c r="BE109" s="8"/>
    </row>
    <row r="110" spans="1:150" ht="24" customHeight="1">
      <c r="A110" s="58" t="s">
        <v>226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76"/>
      <c r="Z110" s="76"/>
      <c r="AA110" s="76"/>
      <c r="AB110" s="76"/>
      <c r="AC110" s="76">
        <f t="shared" ref="AC110:AV110" si="86">(AC87+AC88)/(AC84+AC91)</f>
        <v>0.90556801856081059</v>
      </c>
      <c r="AD110" s="76">
        <f t="shared" si="86"/>
        <v>0.9785107878709095</v>
      </c>
      <c r="AE110" s="76">
        <f t="shared" si="86"/>
        <v>1.0301231547104774</v>
      </c>
      <c r="AF110" s="76">
        <f t="shared" si="86"/>
        <v>0.88014341961857256</v>
      </c>
      <c r="AG110" s="76">
        <f t="shared" si="86"/>
        <v>0.89563119732131358</v>
      </c>
      <c r="AH110" s="76">
        <f t="shared" si="86"/>
        <v>0.89974273840736485</v>
      </c>
      <c r="AI110" s="76">
        <f t="shared" si="86"/>
        <v>1.0248806651210893</v>
      </c>
      <c r="AJ110" s="76">
        <f t="shared" si="86"/>
        <v>1.0187726272125186</v>
      </c>
      <c r="AK110" s="76">
        <f t="shared" si="86"/>
        <v>1.1835311436654952</v>
      </c>
      <c r="AL110" s="76">
        <f t="shared" si="86"/>
        <v>1.1311861961413672</v>
      </c>
      <c r="AM110" s="76">
        <f t="shared" si="86"/>
        <v>1.0738101392381587</v>
      </c>
      <c r="AN110" s="76">
        <f t="shared" si="86"/>
        <v>0.98260043513459572</v>
      </c>
      <c r="AO110" s="76">
        <f t="shared" si="86"/>
        <v>0.98117910275658382</v>
      </c>
      <c r="AP110" s="76">
        <f t="shared" si="86"/>
        <v>1.0517991100545623</v>
      </c>
      <c r="AQ110" s="76">
        <f t="shared" si="86"/>
        <v>0.95160761171156849</v>
      </c>
      <c r="AR110" s="76">
        <f t="shared" si="86"/>
        <v>0.85337551152184699</v>
      </c>
      <c r="AS110" s="76">
        <f t="shared" si="86"/>
        <v>0.8524996420308576</v>
      </c>
      <c r="AT110" s="76">
        <f t="shared" si="86"/>
        <v>0.90172851540898458</v>
      </c>
      <c r="AU110" s="76">
        <f t="shared" si="86"/>
        <v>1.0003589806013036</v>
      </c>
      <c r="AV110" s="76">
        <f t="shared" si="86"/>
        <v>1.0487503312888919</v>
      </c>
      <c r="AW110" s="76"/>
      <c r="AX110" s="160" t="s">
        <v>169</v>
      </c>
      <c r="AY110" s="45"/>
      <c r="AZ110" s="45"/>
      <c r="BA110" s="45"/>
      <c r="BB110" s="45"/>
      <c r="BC110" s="45"/>
      <c r="BD110" s="15"/>
    </row>
    <row r="111" spans="1:150" ht="18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2"/>
      <c r="AY111" s="45"/>
      <c r="AZ111" s="45"/>
      <c r="BA111" s="45"/>
      <c r="BB111" s="45"/>
      <c r="BC111" s="45"/>
      <c r="BD111" s="15"/>
    </row>
    <row r="112" spans="1:150" ht="18" customHeight="1">
      <c r="A112" s="57" t="s">
        <v>170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73"/>
      <c r="Z112" s="73"/>
      <c r="AA112" s="73">
        <f t="shared" ref="AA112:AV112" si="87">((AA99*AA29)/100)*2.2046</f>
        <v>309.79584176749739</v>
      </c>
      <c r="AB112" s="73">
        <f t="shared" si="87"/>
        <v>322.2228856453425</v>
      </c>
      <c r="AC112" s="73">
        <f t="shared" si="87"/>
        <v>346.98254780227086</v>
      </c>
      <c r="AD112" s="73">
        <f t="shared" si="87"/>
        <v>353.08844357408015</v>
      </c>
      <c r="AE112" s="73">
        <f t="shared" si="87"/>
        <v>371.58543344327961</v>
      </c>
      <c r="AF112" s="73">
        <f t="shared" si="87"/>
        <v>289.9577258565584</v>
      </c>
      <c r="AG112" s="73">
        <f t="shared" si="87"/>
        <v>311.30211213779273</v>
      </c>
      <c r="AH112" s="73">
        <f t="shared" si="87"/>
        <v>330.30902555319557</v>
      </c>
      <c r="AI112" s="73">
        <f t="shared" si="87"/>
        <v>308.8089655579783</v>
      </c>
      <c r="AJ112" s="73">
        <f t="shared" si="87"/>
        <v>335.37941738581043</v>
      </c>
      <c r="AK112" s="73">
        <f t="shared" si="87"/>
        <v>331.43609942205262</v>
      </c>
      <c r="AL112" s="73">
        <f t="shared" si="87"/>
        <v>314.90155767398693</v>
      </c>
      <c r="AM112" s="73">
        <f t="shared" si="87"/>
        <v>354.22801189892198</v>
      </c>
      <c r="AN112" s="73">
        <f t="shared" si="87"/>
        <v>336.81434417245021</v>
      </c>
      <c r="AO112" s="73">
        <f t="shared" si="87"/>
        <v>349.81351069496179</v>
      </c>
      <c r="AP112" s="73">
        <f t="shared" si="87"/>
        <v>358.27676540839485</v>
      </c>
      <c r="AQ112" s="73">
        <f t="shared" si="87"/>
        <v>382.84620272646384</v>
      </c>
      <c r="AR112" s="73">
        <f t="shared" si="87"/>
        <v>365.31843480384578</v>
      </c>
      <c r="AS112" s="73">
        <f t="shared" si="87"/>
        <v>413.4988261724186</v>
      </c>
      <c r="AT112" s="73">
        <f t="shared" si="87"/>
        <v>401.09031645782613</v>
      </c>
      <c r="AU112" s="73">
        <f t="shared" si="87"/>
        <v>375.38322451462591</v>
      </c>
      <c r="AV112" s="73">
        <f t="shared" si="87"/>
        <v>402.86358950362768</v>
      </c>
      <c r="AW112" s="76"/>
      <c r="AX112" s="157" t="s">
        <v>171</v>
      </c>
      <c r="AY112" s="21">
        <f>AVERAGE(AC112:AV112)</f>
        <v>351.69422773802711</v>
      </c>
      <c r="AZ112" s="21">
        <f>STDEV(AC112:AV112)</f>
        <v>33.292544630957366</v>
      </c>
      <c r="BA112" s="21">
        <f>MIN(AC112:AV112)</f>
        <v>289.9577258565584</v>
      </c>
      <c r="BB112" s="21">
        <f>MAX(AC112:AV112)</f>
        <v>413.4988261724186</v>
      </c>
      <c r="BC112" s="45"/>
      <c r="BD112" s="15"/>
    </row>
    <row r="113" spans="1:56" ht="18" customHeight="1">
      <c r="A113" s="36" t="s">
        <v>156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73"/>
      <c r="Z113" s="73"/>
      <c r="AA113" s="73"/>
      <c r="AB113" s="73"/>
      <c r="AC113" s="73">
        <f>(AA112+AB112+AC112)/3</f>
        <v>326.33375840503692</v>
      </c>
      <c r="AD113" s="73">
        <f t="shared" ref="AD113:AV113" si="88">(AB112+AC112+AD112)/3</f>
        <v>340.76462567389785</v>
      </c>
      <c r="AE113" s="73">
        <f t="shared" si="88"/>
        <v>357.21880827321019</v>
      </c>
      <c r="AF113" s="73">
        <f t="shared" si="88"/>
        <v>338.21053429130603</v>
      </c>
      <c r="AG113" s="73">
        <f t="shared" si="88"/>
        <v>324.2817571458769</v>
      </c>
      <c r="AH113" s="73">
        <f t="shared" si="88"/>
        <v>310.52295451584888</v>
      </c>
      <c r="AI113" s="73">
        <f t="shared" si="88"/>
        <v>316.80670108298887</v>
      </c>
      <c r="AJ113" s="73">
        <f t="shared" si="88"/>
        <v>324.83246949899473</v>
      </c>
      <c r="AK113" s="73">
        <f t="shared" si="88"/>
        <v>325.20816078861378</v>
      </c>
      <c r="AL113" s="73">
        <f t="shared" si="88"/>
        <v>327.23902482728334</v>
      </c>
      <c r="AM113" s="73">
        <f t="shared" si="88"/>
        <v>333.52188966498716</v>
      </c>
      <c r="AN113" s="73">
        <f t="shared" si="88"/>
        <v>335.3146379151197</v>
      </c>
      <c r="AO113" s="73">
        <f t="shared" si="88"/>
        <v>346.95195558877799</v>
      </c>
      <c r="AP113" s="73">
        <f t="shared" si="88"/>
        <v>348.30154009193558</v>
      </c>
      <c r="AQ113" s="73">
        <f t="shared" si="88"/>
        <v>363.6454929432735</v>
      </c>
      <c r="AR113" s="73">
        <f t="shared" si="88"/>
        <v>368.81380097956816</v>
      </c>
      <c r="AS113" s="73">
        <f t="shared" si="88"/>
        <v>387.22115456757609</v>
      </c>
      <c r="AT113" s="73">
        <f t="shared" si="88"/>
        <v>393.30252581136347</v>
      </c>
      <c r="AU113" s="73">
        <f t="shared" si="88"/>
        <v>396.65745571495682</v>
      </c>
      <c r="AV113" s="73">
        <f t="shared" si="88"/>
        <v>393.11237682535989</v>
      </c>
      <c r="AW113" s="76"/>
      <c r="AX113" s="157"/>
      <c r="AY113" s="21"/>
      <c r="AZ113" s="21"/>
      <c r="BA113" s="21"/>
      <c r="BB113" s="21"/>
      <c r="BC113" s="45"/>
      <c r="BD113" s="15"/>
    </row>
    <row r="114" spans="1:56" ht="18" customHeight="1">
      <c r="A114" s="57" t="s">
        <v>172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73"/>
      <c r="Z114" s="73"/>
      <c r="AA114" s="73">
        <f t="shared" ref="AA114:AV114" si="89">((AA101*AA30)/100)*2.2046</f>
        <v>223.92627519737121</v>
      </c>
      <c r="AB114" s="73">
        <f t="shared" si="89"/>
        <v>243.78094331853879</v>
      </c>
      <c r="AC114" s="73">
        <f t="shared" si="89"/>
        <v>228.6667932194525</v>
      </c>
      <c r="AD114" s="73">
        <f t="shared" si="89"/>
        <v>246.01305752851349</v>
      </c>
      <c r="AE114" s="73">
        <f t="shared" si="89"/>
        <v>262.69004994866941</v>
      </c>
      <c r="AF114" s="73">
        <f t="shared" si="89"/>
        <v>190.76838244912651</v>
      </c>
      <c r="AG114" s="73">
        <f t="shared" si="89"/>
        <v>225.19804184399106</v>
      </c>
      <c r="AH114" s="73">
        <f t="shared" si="89"/>
        <v>227.63841516150876</v>
      </c>
      <c r="AI114" s="73">
        <f t="shared" si="89"/>
        <v>228.55613413535468</v>
      </c>
      <c r="AJ114" s="73">
        <f t="shared" si="89"/>
        <v>251.30205653365425</v>
      </c>
      <c r="AK114" s="73">
        <f t="shared" si="89"/>
        <v>267.58217244851124</v>
      </c>
      <c r="AL114" s="73">
        <f t="shared" si="89"/>
        <v>241.90264915713206</v>
      </c>
      <c r="AM114" s="73">
        <f t="shared" si="89"/>
        <v>264.38474276659889</v>
      </c>
      <c r="AN114" s="73">
        <f t="shared" si="89"/>
        <v>225.84364297674182</v>
      </c>
      <c r="AO114" s="73">
        <f t="shared" si="89"/>
        <v>237.26380654397627</v>
      </c>
      <c r="AP114" s="73">
        <f t="shared" si="89"/>
        <v>241.90525239751727</v>
      </c>
      <c r="AQ114" s="73">
        <f t="shared" si="89"/>
        <v>239.78156852632534</v>
      </c>
      <c r="AR114" s="73">
        <f t="shared" si="89"/>
        <v>204.28159580209135</v>
      </c>
      <c r="AS114" s="73">
        <f t="shared" si="89"/>
        <v>232.63099277186714</v>
      </c>
      <c r="AT114" s="73">
        <f t="shared" si="89"/>
        <v>254.16207979185177</v>
      </c>
      <c r="AU114" s="73">
        <f t="shared" si="89"/>
        <v>249.10962350270489</v>
      </c>
      <c r="AV114" s="73">
        <f t="shared" si="89"/>
        <v>294.71041731157356</v>
      </c>
      <c r="AW114" s="76"/>
      <c r="AX114" s="157" t="s">
        <v>173</v>
      </c>
      <c r="AY114" s="21">
        <f t="shared" ref="AY114:AY125" si="90">AVERAGE(AC114:AV114)</f>
        <v>240.71957374085815</v>
      </c>
      <c r="AZ114" s="21">
        <f t="shared" ref="AZ114:AZ125" si="91">STDEV(AC114:AV114)</f>
        <v>22.827619001994719</v>
      </c>
      <c r="BA114" s="21">
        <f t="shared" ref="BA114:BA125" si="92">MIN(AC114:AV114)</f>
        <v>190.76838244912651</v>
      </c>
      <c r="BB114" s="21">
        <f t="shared" ref="BB114:BB125" si="93">MAX(AC114:AV114)</f>
        <v>294.71041731157356</v>
      </c>
      <c r="BC114" s="45"/>
      <c r="BD114" s="15"/>
    </row>
    <row r="115" spans="1:56" ht="18" customHeight="1">
      <c r="A115" s="57" t="s">
        <v>174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73"/>
      <c r="Z115" s="73"/>
      <c r="AA115" s="73">
        <f t="shared" ref="AA115:AV115" si="94">((AA103*AA31)/100)*2.2046</f>
        <v>61.162548773300593</v>
      </c>
      <c r="AB115" s="73">
        <f t="shared" si="94"/>
        <v>17.69171893188383</v>
      </c>
      <c r="AC115" s="73">
        <f t="shared" si="94"/>
        <v>42.799741175960619</v>
      </c>
      <c r="AD115" s="73">
        <f t="shared" si="94"/>
        <v>59.932582136275201</v>
      </c>
      <c r="AE115" s="73">
        <f t="shared" si="94"/>
        <v>81.470504683018405</v>
      </c>
      <c r="AF115" s="73">
        <f t="shared" si="94"/>
        <v>20.199464592756787</v>
      </c>
      <c r="AG115" s="73">
        <f t="shared" si="94"/>
        <v>11.238612520749786</v>
      </c>
      <c r="AH115" s="73">
        <f t="shared" si="94"/>
        <v>29.933733795003764</v>
      </c>
      <c r="AI115" s="73">
        <f t="shared" si="94"/>
        <v>52.420154725531361</v>
      </c>
      <c r="AJ115" s="73">
        <f t="shared" si="94"/>
        <v>57.158523064343392</v>
      </c>
      <c r="AK115" s="73">
        <f t="shared" si="94"/>
        <v>96.095600415139685</v>
      </c>
      <c r="AL115" s="73">
        <f t="shared" si="94"/>
        <v>75.620370724797638</v>
      </c>
      <c r="AM115" s="73">
        <f t="shared" si="94"/>
        <v>71.765215408587551</v>
      </c>
      <c r="AN115" s="73">
        <f t="shared" si="94"/>
        <v>49.516609435256314</v>
      </c>
      <c r="AO115" s="73">
        <f t="shared" si="94"/>
        <v>43.118836643629685</v>
      </c>
      <c r="AP115" s="73">
        <f t="shared" si="94"/>
        <v>62.350463614490536</v>
      </c>
      <c r="AQ115" s="73">
        <f t="shared" si="94"/>
        <v>61.653768105598111</v>
      </c>
      <c r="AR115" s="73">
        <f t="shared" si="94"/>
        <v>52.223832947024817</v>
      </c>
      <c r="AS115" s="73">
        <f t="shared" si="94"/>
        <v>58.465890986679845</v>
      </c>
      <c r="AT115" s="73">
        <f t="shared" si="94"/>
        <v>49.184552694331508</v>
      </c>
      <c r="AU115" s="73">
        <f t="shared" si="94"/>
        <v>69.013787862587208</v>
      </c>
      <c r="AV115" s="73">
        <f t="shared" si="94"/>
        <v>68.593992169352674</v>
      </c>
      <c r="AW115" s="76"/>
      <c r="AX115" s="157" t="s">
        <v>175</v>
      </c>
      <c r="AY115" s="21">
        <f t="shared" si="90"/>
        <v>55.637811885055747</v>
      </c>
      <c r="AZ115" s="21">
        <f t="shared" si="91"/>
        <v>20.171463582870356</v>
      </c>
      <c r="BA115" s="21">
        <f t="shared" si="92"/>
        <v>11.238612520749786</v>
      </c>
      <c r="BB115" s="21">
        <f t="shared" si="93"/>
        <v>96.095600415139685</v>
      </c>
      <c r="BC115" s="45"/>
      <c r="BD115" s="15"/>
    </row>
    <row r="116" spans="1:56" ht="18" customHeight="1">
      <c r="A116" s="56" t="s">
        <v>176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73"/>
      <c r="Z116" s="73"/>
      <c r="AA116" s="73">
        <f t="shared" ref="AA116:AV116" si="95">((AA105*AA32)/100)*2.2046</f>
        <v>13.135617225610602</v>
      </c>
      <c r="AB116" s="73">
        <f t="shared" si="95"/>
        <v>9.414516292422654</v>
      </c>
      <c r="AC116" s="73">
        <f t="shared" si="95"/>
        <v>11.375575682140576</v>
      </c>
      <c r="AD116" s="73">
        <f t="shared" si="95"/>
        <v>11.617624986462555</v>
      </c>
      <c r="AE116" s="73">
        <f t="shared" si="95"/>
        <v>11.681429012427074</v>
      </c>
      <c r="AF116" s="73">
        <f t="shared" si="95"/>
        <v>6.0023152213508197</v>
      </c>
      <c r="AG116" s="73">
        <f t="shared" si="95"/>
        <v>6.5782243508262104</v>
      </c>
      <c r="AH116" s="73">
        <f t="shared" si="95"/>
        <v>9.1613242835203117</v>
      </c>
      <c r="AI116" s="73">
        <f t="shared" si="95"/>
        <v>8.2932075042295494</v>
      </c>
      <c r="AJ116" s="73">
        <f t="shared" si="95"/>
        <v>8.9392168635884719</v>
      </c>
      <c r="AK116" s="73">
        <f t="shared" si="95"/>
        <v>12.380308265689438</v>
      </c>
      <c r="AL116" s="73">
        <f t="shared" si="95"/>
        <v>10.130003975881881</v>
      </c>
      <c r="AM116" s="73">
        <f t="shared" si="95"/>
        <v>11.956542985650803</v>
      </c>
      <c r="AN116" s="73">
        <f t="shared" si="95"/>
        <v>10.910970873722928</v>
      </c>
      <c r="AO116" s="73">
        <f t="shared" si="95"/>
        <v>9.477231384741085</v>
      </c>
      <c r="AP116" s="73">
        <f t="shared" si="95"/>
        <v>9.4684755791935498</v>
      </c>
      <c r="AQ116" s="73">
        <f t="shared" si="95"/>
        <v>10.903869317763313</v>
      </c>
      <c r="AR116" s="73">
        <f t="shared" si="95"/>
        <v>10.275932098862045</v>
      </c>
      <c r="AS116" s="73">
        <f t="shared" si="95"/>
        <v>10.406111665820612</v>
      </c>
      <c r="AT116" s="73">
        <f t="shared" si="95"/>
        <v>11.343442193286169</v>
      </c>
      <c r="AU116" s="73">
        <f t="shared" si="95"/>
        <v>11.269091093867193</v>
      </c>
      <c r="AV116" s="73">
        <f t="shared" si="95"/>
        <v>11.452690235294119</v>
      </c>
      <c r="AW116" s="76"/>
      <c r="AX116" s="162" t="s">
        <v>176</v>
      </c>
      <c r="AY116" s="21">
        <f t="shared" si="90"/>
        <v>10.181179378715935</v>
      </c>
      <c r="AZ116" s="21">
        <f t="shared" si="91"/>
        <v>1.7258361658772943</v>
      </c>
      <c r="BA116" s="21">
        <f t="shared" si="92"/>
        <v>6.0023152213508197</v>
      </c>
      <c r="BB116" s="21">
        <f t="shared" si="93"/>
        <v>12.380308265689438</v>
      </c>
      <c r="BC116" s="45"/>
      <c r="BD116" s="15"/>
    </row>
    <row r="117" spans="1:56" ht="18" customHeight="1">
      <c r="A117" s="63" t="s">
        <v>177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163"/>
      <c r="Z117" s="163"/>
      <c r="AA117" s="144">
        <f t="shared" ref="AA117:AV117" si="96">SUM(AA112:AA116)</f>
        <v>608.02028296377989</v>
      </c>
      <c r="AB117" s="144">
        <f t="shared" si="96"/>
        <v>593.11006418818772</v>
      </c>
      <c r="AC117" s="144">
        <f t="shared" si="96"/>
        <v>956.15841628486157</v>
      </c>
      <c r="AD117" s="144">
        <f t="shared" si="96"/>
        <v>1011.4163338992294</v>
      </c>
      <c r="AE117" s="144">
        <f t="shared" si="96"/>
        <v>1084.6462253606046</v>
      </c>
      <c r="AF117" s="144">
        <f t="shared" si="96"/>
        <v>845.13842241109865</v>
      </c>
      <c r="AG117" s="144">
        <f t="shared" si="96"/>
        <v>878.59874799923671</v>
      </c>
      <c r="AH117" s="144">
        <f t="shared" si="96"/>
        <v>907.56545330907727</v>
      </c>
      <c r="AI117" s="144">
        <f t="shared" si="96"/>
        <v>914.88516300608285</v>
      </c>
      <c r="AJ117" s="144">
        <f t="shared" si="96"/>
        <v>977.61168334639126</v>
      </c>
      <c r="AK117" s="144">
        <f t="shared" si="96"/>
        <v>1032.7023413400066</v>
      </c>
      <c r="AL117" s="144">
        <f t="shared" si="96"/>
        <v>969.79360635908188</v>
      </c>
      <c r="AM117" s="144">
        <f t="shared" si="96"/>
        <v>1035.8564027247464</v>
      </c>
      <c r="AN117" s="144">
        <f t="shared" si="96"/>
        <v>958.4002053732911</v>
      </c>
      <c r="AO117" s="144">
        <f t="shared" si="96"/>
        <v>986.62534085608695</v>
      </c>
      <c r="AP117" s="144">
        <f t="shared" si="96"/>
        <v>1020.3024970915318</v>
      </c>
      <c r="AQ117" s="144">
        <f t="shared" si="96"/>
        <v>1058.8309016194241</v>
      </c>
      <c r="AR117" s="144">
        <f t="shared" si="96"/>
        <v>1000.9135966313922</v>
      </c>
      <c r="AS117" s="144">
        <f t="shared" si="96"/>
        <v>1102.2229761643623</v>
      </c>
      <c r="AT117" s="144">
        <f t="shared" si="96"/>
        <v>1109.0829169486592</v>
      </c>
      <c r="AU117" s="144">
        <f t="shared" si="96"/>
        <v>1101.4331826887419</v>
      </c>
      <c r="AV117" s="144">
        <f t="shared" si="96"/>
        <v>1170.733066045208</v>
      </c>
      <c r="AW117" s="104"/>
      <c r="AX117" s="162" t="s">
        <v>178</v>
      </c>
      <c r="AY117" s="21">
        <f t="shared" si="90"/>
        <v>1006.1458739729558</v>
      </c>
      <c r="AZ117" s="21">
        <f t="shared" si="91"/>
        <v>84.077164283865756</v>
      </c>
      <c r="BA117" s="21">
        <f t="shared" si="92"/>
        <v>845.13842241109865</v>
      </c>
      <c r="BB117" s="21">
        <f t="shared" si="93"/>
        <v>1170.733066045208</v>
      </c>
      <c r="BC117" s="45"/>
      <c r="BD117" s="15"/>
    </row>
    <row r="118" spans="1:56" ht="18" customHeight="1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104"/>
      <c r="Z118" s="104"/>
      <c r="AA118" s="105">
        <f t="shared" ref="AA118:AV118" si="97">AA115+AA116</f>
        <v>74.298165998911202</v>
      </c>
      <c r="AB118" s="105">
        <f t="shared" si="97"/>
        <v>27.106235224306484</v>
      </c>
      <c r="AC118" s="105">
        <f t="shared" si="97"/>
        <v>54.175316858101198</v>
      </c>
      <c r="AD118" s="105">
        <f t="shared" si="97"/>
        <v>71.55020712273776</v>
      </c>
      <c r="AE118" s="105">
        <f t="shared" si="97"/>
        <v>93.151933695445479</v>
      </c>
      <c r="AF118" s="105">
        <f t="shared" si="97"/>
        <v>26.201779814107606</v>
      </c>
      <c r="AG118" s="105">
        <f t="shared" si="97"/>
        <v>17.816836871575997</v>
      </c>
      <c r="AH118" s="105">
        <f t="shared" si="97"/>
        <v>39.095058078524076</v>
      </c>
      <c r="AI118" s="105">
        <f t="shared" si="97"/>
        <v>60.713362229760911</v>
      </c>
      <c r="AJ118" s="105">
        <f t="shared" si="97"/>
        <v>66.097739927931869</v>
      </c>
      <c r="AK118" s="105">
        <f t="shared" si="97"/>
        <v>108.47590868082912</v>
      </c>
      <c r="AL118" s="105">
        <f t="shared" si="97"/>
        <v>85.750374700679515</v>
      </c>
      <c r="AM118" s="105">
        <f t="shared" si="97"/>
        <v>83.72175839423835</v>
      </c>
      <c r="AN118" s="105">
        <f t="shared" si="97"/>
        <v>60.427580308979245</v>
      </c>
      <c r="AO118" s="105">
        <f t="shared" si="97"/>
        <v>52.596068028370766</v>
      </c>
      <c r="AP118" s="105">
        <f t="shared" si="97"/>
        <v>71.818939193684088</v>
      </c>
      <c r="AQ118" s="105">
        <f t="shared" si="97"/>
        <v>72.557637423361427</v>
      </c>
      <c r="AR118" s="105">
        <f t="shared" si="97"/>
        <v>62.499765045886861</v>
      </c>
      <c r="AS118" s="105">
        <f t="shared" si="97"/>
        <v>68.872002652500456</v>
      </c>
      <c r="AT118" s="105">
        <f t="shared" si="97"/>
        <v>60.52799488761768</v>
      </c>
      <c r="AU118" s="105">
        <f t="shared" si="97"/>
        <v>80.282878956454397</v>
      </c>
      <c r="AV118" s="105">
        <f t="shared" si="97"/>
        <v>80.046682404646788</v>
      </c>
      <c r="AW118" s="76"/>
      <c r="AX118" s="157" t="s">
        <v>179</v>
      </c>
      <c r="AY118" s="21">
        <f t="shared" si="90"/>
        <v>65.818991263771679</v>
      </c>
      <c r="AZ118" s="21">
        <f t="shared" si="91"/>
        <v>21.536044740663989</v>
      </c>
      <c r="BA118" s="21">
        <f t="shared" si="92"/>
        <v>17.816836871575997</v>
      </c>
      <c r="BB118" s="21">
        <f t="shared" si="93"/>
        <v>108.47590868082912</v>
      </c>
      <c r="BC118" s="45"/>
      <c r="BD118" s="15"/>
    </row>
    <row r="119" spans="1:56" ht="18" customHeight="1">
      <c r="A119" s="36" t="s">
        <v>179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57"/>
      <c r="AY119" s="21"/>
      <c r="AZ119" s="21"/>
      <c r="BA119" s="21"/>
      <c r="BB119" s="21"/>
      <c r="BC119" s="45"/>
      <c r="BD119" s="15"/>
    </row>
    <row r="120" spans="1:56" ht="18" customHeight="1">
      <c r="A120" s="36" t="s">
        <v>180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105"/>
      <c r="Z120" s="105"/>
      <c r="AA120" s="105">
        <f t="shared" ref="AA120:AV120" si="98">(AA112/(AA29*2*2.2046))*100</f>
        <v>19.582543727401859</v>
      </c>
      <c r="AB120" s="105">
        <f t="shared" si="98"/>
        <v>20.24013100787327</v>
      </c>
      <c r="AC120" s="105">
        <f t="shared" si="98"/>
        <v>21.339640086240518</v>
      </c>
      <c r="AD120" s="105">
        <f t="shared" si="98"/>
        <v>21.503559291965903</v>
      </c>
      <c r="AE120" s="105">
        <f t="shared" si="98"/>
        <v>22.330855375197093</v>
      </c>
      <c r="AF120" s="105">
        <f t="shared" si="98"/>
        <v>17.362738075243016</v>
      </c>
      <c r="AG120" s="105">
        <f t="shared" si="98"/>
        <v>18.663196171330497</v>
      </c>
      <c r="AH120" s="105">
        <f t="shared" si="98"/>
        <v>19.970315934292358</v>
      </c>
      <c r="AI120" s="105">
        <f t="shared" si="98"/>
        <v>18.359629343518328</v>
      </c>
      <c r="AJ120" s="105">
        <f t="shared" si="98"/>
        <v>19.964187109237496</v>
      </c>
      <c r="AK120" s="105">
        <f t="shared" si="98"/>
        <v>19.681478588007874</v>
      </c>
      <c r="AL120" s="105">
        <f t="shared" si="98"/>
        <v>18.611203172221447</v>
      </c>
      <c r="AM120" s="105">
        <f t="shared" si="98"/>
        <v>20.861484799700943</v>
      </c>
      <c r="AN120" s="105">
        <f t="shared" si="98"/>
        <v>19.673735056801998</v>
      </c>
      <c r="AO120" s="105">
        <f t="shared" si="98"/>
        <v>19.92104275028256</v>
      </c>
      <c r="AP120" s="105">
        <f t="shared" si="98"/>
        <v>20.496382460434486</v>
      </c>
      <c r="AQ120" s="105">
        <f t="shared" si="98"/>
        <v>22.240397509379797</v>
      </c>
      <c r="AR120" s="105">
        <f t="shared" si="98"/>
        <v>20.433508300734168</v>
      </c>
      <c r="AS120" s="105">
        <f t="shared" si="98"/>
        <v>22.497215787400361</v>
      </c>
      <c r="AT120" s="105">
        <f t="shared" si="98"/>
        <v>22.433215050842918</v>
      </c>
      <c r="AU120" s="105">
        <f t="shared" si="98"/>
        <v>20.947724582289393</v>
      </c>
      <c r="AV120" s="105">
        <f t="shared" si="98"/>
        <v>22.176908427107598</v>
      </c>
      <c r="AW120" s="76"/>
      <c r="AX120" s="157" t="s">
        <v>180</v>
      </c>
      <c r="AY120" s="21">
        <f t="shared" si="90"/>
        <v>20.473420893611436</v>
      </c>
      <c r="AZ120" s="21">
        <f t="shared" si="91"/>
        <v>1.4968973624109294</v>
      </c>
      <c r="BA120" s="21">
        <f t="shared" si="92"/>
        <v>17.362738075243016</v>
      </c>
      <c r="BB120" s="21">
        <f t="shared" si="93"/>
        <v>22.497215787400361</v>
      </c>
      <c r="BC120" s="45"/>
      <c r="BD120" s="15"/>
    </row>
    <row r="121" spans="1:56" ht="18" customHeight="1">
      <c r="A121" s="36" t="s">
        <v>181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105"/>
      <c r="Z121" s="105"/>
      <c r="AA121" s="105">
        <f t="shared" ref="AA121:AV121" si="99">(AA114/(AA30*2*2.2046)*100)</f>
        <v>15.316434692022657</v>
      </c>
      <c r="AB121" s="105">
        <f t="shared" si="99"/>
        <v>16.471685359360727</v>
      </c>
      <c r="AC121" s="105">
        <f t="shared" si="99"/>
        <v>15.004382757181919</v>
      </c>
      <c r="AD121" s="105">
        <f t="shared" si="99"/>
        <v>15.974873865487888</v>
      </c>
      <c r="AE121" s="105">
        <f t="shared" si="99"/>
        <v>16.904121618318495</v>
      </c>
      <c r="AF121" s="105">
        <f t="shared" si="99"/>
        <v>12.213084663836524</v>
      </c>
      <c r="AG121" s="105">
        <f t="shared" si="99"/>
        <v>14.454303070859503</v>
      </c>
      <c r="AH121" s="105">
        <f t="shared" si="99"/>
        <v>14.743420671082175</v>
      </c>
      <c r="AI121" s="105">
        <f t="shared" si="99"/>
        <v>14.669841728841766</v>
      </c>
      <c r="AJ121" s="105">
        <f t="shared" si="99"/>
        <v>16.047385474690564</v>
      </c>
      <c r="AK121" s="105">
        <f t="shared" si="99"/>
        <v>16.951742626546679</v>
      </c>
      <c r="AL121" s="105">
        <f t="shared" si="99"/>
        <v>15.368656236158326</v>
      </c>
      <c r="AM121" s="105">
        <f t="shared" si="99"/>
        <v>16.818367860470669</v>
      </c>
      <c r="AN121" s="105">
        <f t="shared" si="99"/>
        <v>14.403293557190169</v>
      </c>
      <c r="AO121" s="105">
        <f t="shared" si="99"/>
        <v>14.484969874479624</v>
      </c>
      <c r="AP121" s="105">
        <f t="shared" si="99"/>
        <v>14.895643620536777</v>
      </c>
      <c r="AQ121" s="105">
        <f t="shared" si="99"/>
        <v>15.094652162158823</v>
      </c>
      <c r="AR121" s="105">
        <f t="shared" si="99"/>
        <v>12.388811816345932</v>
      </c>
      <c r="AS121" s="105">
        <f t="shared" si="99"/>
        <v>13.830617881799471</v>
      </c>
      <c r="AT121" s="105">
        <f t="shared" si="99"/>
        <v>15.441623775755954</v>
      </c>
      <c r="AU121" s="105">
        <f t="shared" si="99"/>
        <v>15.061041324226416</v>
      </c>
      <c r="AV121" s="105">
        <f t="shared" si="99"/>
        <v>17.626221131074974</v>
      </c>
      <c r="AW121" s="76"/>
      <c r="AX121" s="157" t="s">
        <v>181</v>
      </c>
      <c r="AY121" s="21">
        <f t="shared" si="90"/>
        <v>15.118852785852136</v>
      </c>
      <c r="AZ121" s="21">
        <f t="shared" si="91"/>
        <v>1.3917894440673422</v>
      </c>
      <c r="BA121" s="21">
        <f t="shared" si="92"/>
        <v>12.213084663836524</v>
      </c>
      <c r="BB121" s="21">
        <f t="shared" si="93"/>
        <v>17.626221131074974</v>
      </c>
      <c r="BC121" s="45"/>
      <c r="BD121" s="15"/>
    </row>
    <row r="122" spans="1:56" ht="18" customHeight="1">
      <c r="A122" s="36" t="s">
        <v>182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105"/>
      <c r="Z122" s="105"/>
      <c r="AA122" s="73">
        <f t="shared" ref="AA122:AV122" si="100">(Y121+Z121+AA121)/3</f>
        <v>5.105478230674219</v>
      </c>
      <c r="AB122" s="73">
        <f t="shared" si="100"/>
        <v>10.596040017127795</v>
      </c>
      <c r="AC122" s="73">
        <f t="shared" si="100"/>
        <v>15.597500936188434</v>
      </c>
      <c r="AD122" s="73">
        <f t="shared" si="100"/>
        <v>15.816980660676846</v>
      </c>
      <c r="AE122" s="73">
        <f t="shared" si="100"/>
        <v>15.961126080329436</v>
      </c>
      <c r="AF122" s="73">
        <f t="shared" si="100"/>
        <v>15.030693382547637</v>
      </c>
      <c r="AG122" s="73">
        <f t="shared" si="100"/>
        <v>14.52383645100484</v>
      </c>
      <c r="AH122" s="73">
        <f t="shared" si="100"/>
        <v>13.803602801926068</v>
      </c>
      <c r="AI122" s="73">
        <f t="shared" si="100"/>
        <v>14.622521823594482</v>
      </c>
      <c r="AJ122" s="73">
        <f t="shared" si="100"/>
        <v>15.15354929153817</v>
      </c>
      <c r="AK122" s="73">
        <f t="shared" si="100"/>
        <v>15.889656610026336</v>
      </c>
      <c r="AL122" s="73">
        <f t="shared" si="100"/>
        <v>16.122594779131859</v>
      </c>
      <c r="AM122" s="73">
        <f t="shared" si="100"/>
        <v>16.379588907725225</v>
      </c>
      <c r="AN122" s="73">
        <f t="shared" si="100"/>
        <v>15.530105884606387</v>
      </c>
      <c r="AO122" s="73">
        <f t="shared" si="100"/>
        <v>15.235543764046822</v>
      </c>
      <c r="AP122" s="73">
        <f t="shared" si="100"/>
        <v>14.594635684068857</v>
      </c>
      <c r="AQ122" s="73">
        <f t="shared" si="100"/>
        <v>14.825088552391742</v>
      </c>
      <c r="AR122" s="73">
        <f t="shared" si="100"/>
        <v>14.126369199680511</v>
      </c>
      <c r="AS122" s="73">
        <f t="shared" si="100"/>
        <v>13.77136062010141</v>
      </c>
      <c r="AT122" s="73">
        <f t="shared" si="100"/>
        <v>13.887017824633787</v>
      </c>
      <c r="AU122" s="73">
        <f t="shared" si="100"/>
        <v>14.777760993927281</v>
      </c>
      <c r="AV122" s="73">
        <f t="shared" si="100"/>
        <v>16.042962077019116</v>
      </c>
      <c r="AW122" s="76"/>
      <c r="AX122" s="157"/>
      <c r="AY122" s="21"/>
      <c r="AZ122" s="21"/>
      <c r="BA122" s="21"/>
      <c r="BB122" s="21"/>
      <c r="BC122" s="45"/>
      <c r="BD122" s="15"/>
    </row>
    <row r="123" spans="1:56" ht="18" customHeight="1">
      <c r="A123" s="36" t="s">
        <v>183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73"/>
      <c r="Z123" s="73"/>
      <c r="AA123" s="105">
        <f t="shared" ref="AA123:AV124" si="101">(AA115/(AA31*2*2.2046)*100)</f>
        <v>4.8008280041837201</v>
      </c>
      <c r="AB123" s="105">
        <f t="shared" si="101"/>
        <v>1.3525778999911187</v>
      </c>
      <c r="AC123" s="105">
        <f t="shared" si="101"/>
        <v>3.1286360508743143</v>
      </c>
      <c r="AD123" s="105">
        <f t="shared" si="101"/>
        <v>4.3179093758123344</v>
      </c>
      <c r="AE123" s="105">
        <f t="shared" si="101"/>
        <v>5.7862574348734661</v>
      </c>
      <c r="AF123" s="105">
        <f t="shared" si="101"/>
        <v>1.4387083043274065</v>
      </c>
      <c r="AG123" s="105">
        <f t="shared" si="101"/>
        <v>0.85270201219649366</v>
      </c>
      <c r="AH123" s="105">
        <f t="shared" si="101"/>
        <v>2.2574459875568449</v>
      </c>
      <c r="AI123" s="105">
        <f t="shared" si="101"/>
        <v>3.9061218126327395</v>
      </c>
      <c r="AJ123" s="105">
        <f t="shared" si="101"/>
        <v>4.2465470330121393</v>
      </c>
      <c r="AK123" s="105">
        <f t="shared" si="101"/>
        <v>7.0760841569118531</v>
      </c>
      <c r="AL123" s="105">
        <f t="shared" si="101"/>
        <v>5.6098197867060566</v>
      </c>
      <c r="AM123" s="105">
        <f t="shared" si="101"/>
        <v>5.3396737655199065</v>
      </c>
      <c r="AN123" s="105">
        <f t="shared" si="101"/>
        <v>3.7007929323808906</v>
      </c>
      <c r="AO123" s="105">
        <f t="shared" si="101"/>
        <v>3.1892630653572249</v>
      </c>
      <c r="AP123" s="105">
        <f t="shared" si="101"/>
        <v>4.6530196727231745</v>
      </c>
      <c r="AQ123" s="105">
        <f t="shared" si="101"/>
        <v>4.5166272127994862</v>
      </c>
      <c r="AR123" s="105">
        <f t="shared" si="101"/>
        <v>3.6026374825486216</v>
      </c>
      <c r="AS123" s="105">
        <f t="shared" si="101"/>
        <v>3.9133795841151167</v>
      </c>
      <c r="AT123" s="105">
        <f t="shared" si="101"/>
        <v>3.3639877486077956</v>
      </c>
      <c r="AU123" s="105">
        <f t="shared" si="101"/>
        <v>4.7399579575952755</v>
      </c>
      <c r="AV123" s="105">
        <f t="shared" si="101"/>
        <v>4.717606063916965</v>
      </c>
      <c r="AW123" s="76"/>
      <c r="AX123" s="157" t="s">
        <v>183</v>
      </c>
      <c r="AY123" s="21">
        <f t="shared" si="90"/>
        <v>4.017858872023405</v>
      </c>
      <c r="AZ123" s="21">
        <f t="shared" si="91"/>
        <v>1.460669924670261</v>
      </c>
      <c r="BA123" s="21">
        <f t="shared" si="92"/>
        <v>0.85270201219649366</v>
      </c>
      <c r="BB123" s="21">
        <f t="shared" si="93"/>
        <v>7.0760841569118531</v>
      </c>
      <c r="BC123" s="45"/>
      <c r="BD123" s="15"/>
    </row>
    <row r="124" spans="1:56" ht="18" customHeight="1">
      <c r="A124" s="36" t="s">
        <v>184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76"/>
      <c r="Z124" s="76"/>
      <c r="AA124" s="105">
        <f t="shared" si="101"/>
        <v>0.74380618491566264</v>
      </c>
      <c r="AB124" s="105">
        <f t="shared" si="101"/>
        <v>0.51842050068406687</v>
      </c>
      <c r="AC124" s="105">
        <f t="shared" si="101"/>
        <v>0.61756654083282181</v>
      </c>
      <c r="AD124" s="105">
        <f t="shared" si="101"/>
        <v>0.63693119443325419</v>
      </c>
      <c r="AE124" s="105">
        <f t="shared" si="101"/>
        <v>0.63972776628844874</v>
      </c>
      <c r="AF124" s="105">
        <f t="shared" si="101"/>
        <v>0.30437703962225254</v>
      </c>
      <c r="AG124" s="105">
        <f t="shared" si="101"/>
        <v>0.32405046063183301</v>
      </c>
      <c r="AH124" s="105">
        <f t="shared" si="101"/>
        <v>0.44129693080540999</v>
      </c>
      <c r="AI124" s="105">
        <f t="shared" si="101"/>
        <v>0.40336612374657344</v>
      </c>
      <c r="AJ124" s="105">
        <f t="shared" si="101"/>
        <v>0.43776772103763328</v>
      </c>
      <c r="AK124" s="105">
        <f t="shared" si="101"/>
        <v>0.61846596811839549</v>
      </c>
      <c r="AL124" s="105">
        <f t="shared" si="101"/>
        <v>0.53147974689831479</v>
      </c>
      <c r="AM124" s="105">
        <f t="shared" si="101"/>
        <v>0.59190806859657441</v>
      </c>
      <c r="AN124" s="105">
        <f t="shared" si="101"/>
        <v>0.54773950169291818</v>
      </c>
      <c r="AO124" s="105">
        <f t="shared" si="101"/>
        <v>0.47528743153164921</v>
      </c>
      <c r="AP124" s="105">
        <f t="shared" si="101"/>
        <v>0.54479146025279346</v>
      </c>
      <c r="AQ124" s="105">
        <f t="shared" si="101"/>
        <v>0.58803790785444021</v>
      </c>
      <c r="AR124" s="105">
        <f t="shared" si="101"/>
        <v>0.51244375343403636</v>
      </c>
      <c r="AS124" s="105">
        <f t="shared" si="101"/>
        <v>0.51211179457778599</v>
      </c>
      <c r="AT124" s="105">
        <f t="shared" si="101"/>
        <v>0.5544559941129249</v>
      </c>
      <c r="AU124" s="105">
        <f t="shared" si="101"/>
        <v>0.5802827545760656</v>
      </c>
      <c r="AV124" s="105">
        <f t="shared" si="101"/>
        <v>0.59836417112299467</v>
      </c>
      <c r="AW124" s="76"/>
      <c r="AX124" s="157" t="s">
        <v>184</v>
      </c>
      <c r="AY124" s="21">
        <f t="shared" si="90"/>
        <v>0.52302261650835602</v>
      </c>
      <c r="AZ124" s="21">
        <f t="shared" si="91"/>
        <v>9.8109893211470803E-2</v>
      </c>
      <c r="BA124" s="21">
        <f t="shared" si="92"/>
        <v>0.30437703962225254</v>
      </c>
      <c r="BB124" s="21">
        <f t="shared" si="93"/>
        <v>0.63972776628844874</v>
      </c>
      <c r="BC124" s="45"/>
      <c r="BD124" s="15"/>
    </row>
    <row r="125" spans="1:56" ht="18" customHeight="1">
      <c r="A125" s="63" t="s">
        <v>177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76"/>
      <c r="Z125" s="76"/>
      <c r="AA125" s="76">
        <f t="shared" ref="AA125:AV125" si="102">SUM(AA120:AA124)</f>
        <v>45.549090839198115</v>
      </c>
      <c r="AB125" s="76">
        <f t="shared" si="102"/>
        <v>49.178854785036968</v>
      </c>
      <c r="AC125" s="76">
        <f t="shared" si="102"/>
        <v>55.687726371318</v>
      </c>
      <c r="AD125" s="76">
        <f t="shared" si="102"/>
        <v>58.250254388376227</v>
      </c>
      <c r="AE125" s="76">
        <f t="shared" si="102"/>
        <v>61.622088275006938</v>
      </c>
      <c r="AF125" s="76">
        <f t="shared" si="102"/>
        <v>46.349601465576839</v>
      </c>
      <c r="AG125" s="76">
        <f t="shared" si="102"/>
        <v>48.818088166023166</v>
      </c>
      <c r="AH125" s="76">
        <f t="shared" si="102"/>
        <v>51.216082325662853</v>
      </c>
      <c r="AI125" s="76">
        <f t="shared" si="102"/>
        <v>51.961480832333891</v>
      </c>
      <c r="AJ125" s="76">
        <f t="shared" si="102"/>
        <v>55.849436629515999</v>
      </c>
      <c r="AK125" s="76">
        <f t="shared" si="102"/>
        <v>60.217427949611135</v>
      </c>
      <c r="AL125" s="76">
        <f t="shared" si="102"/>
        <v>56.243753721116001</v>
      </c>
      <c r="AM125" s="76">
        <f t="shared" si="102"/>
        <v>59.991023402013319</v>
      </c>
      <c r="AN125" s="76">
        <f t="shared" si="102"/>
        <v>53.855666932672364</v>
      </c>
      <c r="AO125" s="76">
        <f t="shared" si="102"/>
        <v>53.306106885697879</v>
      </c>
      <c r="AP125" s="76">
        <f t="shared" si="102"/>
        <v>55.184472898016089</v>
      </c>
      <c r="AQ125" s="76">
        <f t="shared" si="102"/>
        <v>57.264803344584287</v>
      </c>
      <c r="AR125" s="76">
        <f t="shared" si="102"/>
        <v>51.063770552743264</v>
      </c>
      <c r="AS125" s="76">
        <f t="shared" si="102"/>
        <v>54.524685667994149</v>
      </c>
      <c r="AT125" s="76">
        <f t="shared" si="102"/>
        <v>55.680300393953388</v>
      </c>
      <c r="AU125" s="76">
        <f t="shared" si="102"/>
        <v>56.106767612614426</v>
      </c>
      <c r="AV125" s="76">
        <f t="shared" si="102"/>
        <v>61.162061870241651</v>
      </c>
      <c r="AW125" s="76"/>
      <c r="AX125" s="157" t="s">
        <v>178</v>
      </c>
      <c r="AY125" s="21">
        <f t="shared" si="90"/>
        <v>55.217779984253596</v>
      </c>
      <c r="AZ125" s="21">
        <f t="shared" si="91"/>
        <v>4.0370502475083967</v>
      </c>
      <c r="BA125" s="21">
        <f t="shared" si="92"/>
        <v>46.349601465576839</v>
      </c>
      <c r="BB125" s="21">
        <f t="shared" si="93"/>
        <v>61.622088275006938</v>
      </c>
      <c r="BC125" s="45"/>
      <c r="BD125" s="15"/>
    </row>
    <row r="126" spans="1:56" ht="18" customHeight="1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45"/>
      <c r="AZ126" s="45"/>
      <c r="BA126" s="45"/>
      <c r="BB126" s="45"/>
      <c r="BC126" s="45"/>
      <c r="BD126" s="15"/>
    </row>
    <row r="127" spans="1:56" ht="18" customHeight="1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45"/>
      <c r="AZ127" s="45"/>
      <c r="BA127" s="45"/>
      <c r="BB127" s="45"/>
      <c r="BC127" s="45"/>
      <c r="BD127" s="15"/>
    </row>
    <row r="128" spans="1:56" ht="18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76"/>
      <c r="AP128" s="76"/>
      <c r="AQ128" s="76" t="s">
        <v>185</v>
      </c>
      <c r="AR128" s="76"/>
      <c r="AS128" s="76"/>
      <c r="AT128" s="76"/>
      <c r="AU128" s="76"/>
      <c r="AV128" s="76"/>
      <c r="AW128" s="76"/>
      <c r="AX128" s="76"/>
      <c r="AY128" s="45"/>
      <c r="AZ128" s="45"/>
      <c r="BA128" s="45"/>
      <c r="BB128" s="45"/>
      <c r="BC128" s="45"/>
      <c r="BD128" s="15"/>
    </row>
    <row r="129" spans="1:56" ht="18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76"/>
      <c r="AP129" s="76"/>
      <c r="AQ129" s="68"/>
      <c r="AR129" s="68"/>
      <c r="AS129" s="68"/>
      <c r="AT129" s="68"/>
      <c r="AU129" s="68"/>
      <c r="AV129" s="76"/>
      <c r="AW129" s="76"/>
      <c r="AX129" s="76"/>
      <c r="AY129" s="45"/>
      <c r="AZ129" s="45"/>
      <c r="BA129" s="45"/>
      <c r="BB129" s="45"/>
      <c r="BC129" s="45"/>
      <c r="BD129" s="15"/>
    </row>
    <row r="130" spans="1:56" ht="18" customHeight="1">
      <c r="A130" s="58" t="s">
        <v>186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26">
        <f t="shared" ref="AM130:AV130" si="103">AM119</f>
        <v>0</v>
      </c>
      <c r="AN130" s="126">
        <f t="shared" si="103"/>
        <v>0</v>
      </c>
      <c r="AO130" s="126">
        <f t="shared" si="103"/>
        <v>0</v>
      </c>
      <c r="AP130" s="126">
        <f t="shared" si="103"/>
        <v>0</v>
      </c>
      <c r="AQ130" s="126">
        <f t="shared" si="103"/>
        <v>0</v>
      </c>
      <c r="AR130" s="126">
        <f t="shared" si="103"/>
        <v>0</v>
      </c>
      <c r="AS130" s="126">
        <f t="shared" si="103"/>
        <v>0</v>
      </c>
      <c r="AT130" s="126">
        <f t="shared" si="103"/>
        <v>0</v>
      </c>
      <c r="AU130" s="126">
        <f t="shared" si="103"/>
        <v>0</v>
      </c>
      <c r="AV130" s="126">
        <f t="shared" si="103"/>
        <v>0</v>
      </c>
      <c r="AW130" s="76"/>
      <c r="AX130" s="76"/>
      <c r="AY130" s="45"/>
      <c r="AZ130" s="45"/>
      <c r="BA130" s="45"/>
      <c r="BB130" s="45"/>
      <c r="BC130" s="45"/>
      <c r="BD130" s="15"/>
    </row>
    <row r="131" spans="1:56" ht="18" customHeight="1">
      <c r="A131" s="58" t="s">
        <v>28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73">
        <f t="shared" ref="AM131:AV131" si="104">AM100</f>
        <v>39.436111039953509</v>
      </c>
      <c r="AN131" s="73">
        <f t="shared" si="104"/>
        <v>39.430948685816254</v>
      </c>
      <c r="AO131" s="73">
        <f t="shared" si="104"/>
        <v>40.304175071190336</v>
      </c>
      <c r="AP131" s="73">
        <f t="shared" si="104"/>
        <v>40.060773511679365</v>
      </c>
      <c r="AQ131" s="73">
        <f t="shared" si="104"/>
        <v>41.771881813397904</v>
      </c>
      <c r="AR131" s="73">
        <f t="shared" si="104"/>
        <v>42.113525513698967</v>
      </c>
      <c r="AS131" s="73">
        <f t="shared" si="104"/>
        <v>43.447414398342879</v>
      </c>
      <c r="AT131" s="73">
        <f t="shared" si="104"/>
        <v>43.575959425984962</v>
      </c>
      <c r="AU131" s="73">
        <f t="shared" si="104"/>
        <v>43.918770280355112</v>
      </c>
      <c r="AV131" s="73">
        <f t="shared" si="104"/>
        <v>43.705232040159949</v>
      </c>
      <c r="AW131" s="76"/>
      <c r="AX131" s="76"/>
      <c r="AY131" s="45"/>
      <c r="AZ131" s="45"/>
      <c r="BA131" s="45"/>
      <c r="BB131" s="45"/>
      <c r="BC131" s="45"/>
      <c r="BD131" s="15"/>
    </row>
    <row r="132" spans="1:56" ht="18" customHeight="1">
      <c r="A132" s="58" t="s">
        <v>102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73">
        <f t="shared" ref="AM132:AV132" si="105">(AK112+AL112+AM112)/3</f>
        <v>333.52188966498716</v>
      </c>
      <c r="AN132" s="73">
        <f t="shared" si="105"/>
        <v>335.3146379151197</v>
      </c>
      <c r="AO132" s="73">
        <f t="shared" si="105"/>
        <v>346.95195558877799</v>
      </c>
      <c r="AP132" s="73">
        <f t="shared" si="105"/>
        <v>348.30154009193558</v>
      </c>
      <c r="AQ132" s="73">
        <f t="shared" si="105"/>
        <v>363.6454929432735</v>
      </c>
      <c r="AR132" s="73">
        <f t="shared" si="105"/>
        <v>368.81380097956816</v>
      </c>
      <c r="AS132" s="73">
        <f t="shared" si="105"/>
        <v>387.22115456757609</v>
      </c>
      <c r="AT132" s="73">
        <f t="shared" si="105"/>
        <v>393.30252581136347</v>
      </c>
      <c r="AU132" s="73">
        <f t="shared" si="105"/>
        <v>396.65745571495682</v>
      </c>
      <c r="AV132" s="73">
        <f t="shared" si="105"/>
        <v>393.11237682535989</v>
      </c>
      <c r="AW132" s="76"/>
      <c r="AX132" s="76"/>
      <c r="AY132" s="45"/>
      <c r="AZ132" s="45"/>
      <c r="BA132" s="45"/>
      <c r="BB132" s="45"/>
      <c r="BC132" s="45"/>
      <c r="BD132" s="15"/>
    </row>
    <row r="133" spans="1:56" ht="18" customHeight="1">
      <c r="A133" s="58" t="s">
        <v>103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73">
        <f>(AK122+AL122+AM122)/3</f>
        <v>16.130613432294471</v>
      </c>
      <c r="AN133" s="73">
        <f t="shared" ref="AN133:AV133" si="106">(AL122+AM122+AN122)/3</f>
        <v>16.010763190487822</v>
      </c>
      <c r="AO133" s="73">
        <f t="shared" si="106"/>
        <v>15.715079518792813</v>
      </c>
      <c r="AP133" s="73">
        <f t="shared" si="106"/>
        <v>15.120095110907355</v>
      </c>
      <c r="AQ133" s="73">
        <f t="shared" si="106"/>
        <v>14.885089333502473</v>
      </c>
      <c r="AR133" s="73">
        <f t="shared" si="106"/>
        <v>14.515364478713702</v>
      </c>
      <c r="AS133" s="73">
        <f t="shared" si="106"/>
        <v>14.240939457391221</v>
      </c>
      <c r="AT133" s="73">
        <f t="shared" si="106"/>
        <v>13.928249214805236</v>
      </c>
      <c r="AU133" s="73">
        <f t="shared" si="106"/>
        <v>14.145379812887493</v>
      </c>
      <c r="AV133" s="73">
        <f t="shared" si="106"/>
        <v>14.902580298526729</v>
      </c>
      <c r="AW133" s="76"/>
      <c r="AX133" s="76"/>
      <c r="AY133" s="45"/>
      <c r="AZ133" s="45"/>
      <c r="BA133" s="45"/>
      <c r="BB133" s="45"/>
      <c r="BC133" s="45"/>
      <c r="BD133" s="15"/>
    </row>
    <row r="134" spans="1:56" ht="18" customHeight="1">
      <c r="A134" s="36" t="s">
        <v>187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76"/>
      <c r="AP134" s="76"/>
      <c r="AQ134" s="68"/>
      <c r="AR134" s="68"/>
      <c r="AS134" s="68"/>
      <c r="AT134" s="68"/>
      <c r="AU134" s="68"/>
      <c r="AV134" s="76"/>
      <c r="AW134" s="76"/>
      <c r="AX134" s="76"/>
      <c r="AY134" s="45"/>
      <c r="AZ134" s="45"/>
      <c r="BA134" s="45"/>
      <c r="BB134" s="45"/>
      <c r="BC134" s="45"/>
      <c r="BD134" s="15"/>
    </row>
    <row r="135" spans="1:56" ht="18" customHeight="1">
      <c r="A135" s="58" t="s">
        <v>28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76"/>
      <c r="AP135" s="76"/>
      <c r="AQ135" s="68"/>
      <c r="AR135" s="68"/>
      <c r="AS135" s="68"/>
      <c r="AT135" s="68"/>
      <c r="AU135" s="68"/>
      <c r="AV135" s="76"/>
      <c r="AW135" s="76"/>
      <c r="AX135" s="76"/>
      <c r="AY135" s="45"/>
      <c r="AZ135" s="45"/>
      <c r="BA135" s="45"/>
      <c r="BB135" s="45"/>
      <c r="BC135" s="45"/>
      <c r="BD135" s="15"/>
    </row>
    <row r="136" spans="1:56" ht="18" customHeight="1">
      <c r="A136" s="58" t="s">
        <v>102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45"/>
      <c r="AZ136" s="45"/>
      <c r="BA136" s="45"/>
      <c r="BB136" s="45"/>
      <c r="BC136" s="45"/>
      <c r="BD136" s="15"/>
    </row>
    <row r="137" spans="1:56" ht="18" customHeight="1">
      <c r="A137" s="58" t="s">
        <v>103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45"/>
      <c r="AZ137" s="45"/>
      <c r="BA137" s="45"/>
      <c r="BB137" s="45"/>
      <c r="BC137" s="45"/>
      <c r="BD137" s="15"/>
    </row>
    <row r="138" spans="1:56" ht="18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45"/>
      <c r="AZ138" s="45"/>
      <c r="BA138" s="45"/>
      <c r="BB138" s="45"/>
      <c r="BC138" s="45"/>
      <c r="BD138" s="15"/>
    </row>
    <row r="139" spans="1:56" ht="18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45"/>
      <c r="AZ139" s="45"/>
      <c r="BA139" s="45"/>
      <c r="BB139" s="45"/>
      <c r="BC139" s="45"/>
      <c r="BD139" s="15"/>
    </row>
    <row r="140" spans="1:56" ht="18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45"/>
      <c r="AZ140" s="45"/>
      <c r="BA140" s="45"/>
      <c r="BB140" s="45"/>
      <c r="BC140" s="45"/>
      <c r="BD140" s="15"/>
    </row>
    <row r="141" spans="1:56" ht="18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45"/>
      <c r="AZ141" s="45"/>
      <c r="BA141" s="45"/>
      <c r="BB141" s="45"/>
      <c r="BC141" s="45"/>
      <c r="BD141" s="15"/>
    </row>
    <row r="142" spans="1:56" ht="18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45"/>
      <c r="AZ142" s="45"/>
      <c r="BA142" s="45"/>
      <c r="BB142" s="45"/>
      <c r="BC142" s="45"/>
      <c r="BD142" s="15"/>
    </row>
    <row r="143" spans="1:56" ht="18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45"/>
      <c r="AZ143" s="45"/>
      <c r="BA143" s="45"/>
      <c r="BB143" s="45"/>
      <c r="BC143" s="45"/>
      <c r="BD143" s="15"/>
    </row>
    <row r="144" spans="1:56" ht="18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45"/>
      <c r="AZ144" s="45"/>
      <c r="BA144" s="45"/>
      <c r="BB144" s="45"/>
      <c r="BC144" s="45"/>
      <c r="BD144" s="15"/>
    </row>
    <row r="145" spans="1:56" ht="18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45"/>
      <c r="AZ145" s="45"/>
      <c r="BA145" s="45"/>
      <c r="BB145" s="45"/>
      <c r="BC145" s="45"/>
      <c r="BD145" s="15"/>
    </row>
    <row r="146" spans="1:56" ht="18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45"/>
      <c r="AZ146" s="45"/>
      <c r="BA146" s="45"/>
      <c r="BB146" s="45"/>
      <c r="BC146" s="45"/>
      <c r="BD146" s="15"/>
    </row>
    <row r="147" spans="1:56" ht="18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45"/>
      <c r="AZ147" s="45"/>
      <c r="BA147" s="45"/>
      <c r="BB147" s="45"/>
      <c r="BC147" s="45"/>
      <c r="BD147" s="15"/>
    </row>
    <row r="148" spans="1:56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126"/>
      <c r="Z148" s="126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</row>
    <row r="149" spans="1:56">
      <c r="A149" s="58"/>
      <c r="Y149" s="68"/>
      <c r="Z149" s="68"/>
      <c r="AA149" s="68"/>
      <c r="AB149" s="68"/>
      <c r="AC149" s="68">
        <v>7388</v>
      </c>
      <c r="AD149" s="68">
        <v>6914</v>
      </c>
      <c r="AE149" s="68">
        <v>8346</v>
      </c>
      <c r="AF149" s="68">
        <v>4166</v>
      </c>
      <c r="AG149" s="68">
        <v>0</v>
      </c>
      <c r="AH149" s="68">
        <v>0</v>
      </c>
      <c r="AI149" s="68">
        <v>0</v>
      </c>
      <c r="AJ149" s="68">
        <v>3227</v>
      </c>
      <c r="AK149" s="68"/>
      <c r="AL149" s="68"/>
      <c r="AM149" s="68"/>
      <c r="AN149" s="68"/>
      <c r="AO149" s="68"/>
      <c r="AP149" s="68"/>
      <c r="AQ149" s="68"/>
      <c r="AR149" s="68"/>
      <c r="AS149" s="68"/>
      <c r="AT149" s="72"/>
      <c r="AU149" s="72"/>
      <c r="AV149" s="72"/>
      <c r="AW149" s="72"/>
      <c r="AX149" s="72"/>
      <c r="AY149" s="11"/>
    </row>
    <row r="150" spans="1:56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59"/>
      <c r="Z150" s="59"/>
      <c r="AA150" s="59"/>
      <c r="AB150" s="59"/>
      <c r="AC150" s="68">
        <v>2304</v>
      </c>
      <c r="AD150" s="68">
        <v>2638</v>
      </c>
      <c r="AE150" s="68">
        <v>2655</v>
      </c>
      <c r="AF150" s="68">
        <v>1914</v>
      </c>
      <c r="AG150" s="68">
        <v>0</v>
      </c>
      <c r="AH150" s="68">
        <v>0</v>
      </c>
      <c r="AI150" s="68">
        <v>0</v>
      </c>
      <c r="AJ150" s="68">
        <v>209</v>
      </c>
      <c r="AK150" s="68">
        <v>746</v>
      </c>
      <c r="AL150" s="68">
        <v>1174</v>
      </c>
      <c r="AM150" s="68">
        <v>761</v>
      </c>
      <c r="AN150" s="68">
        <v>1314</v>
      </c>
      <c r="AO150" s="68">
        <v>1708</v>
      </c>
      <c r="AP150" s="68">
        <v>1048</v>
      </c>
      <c r="AQ150" s="68">
        <v>2257</v>
      </c>
      <c r="AR150" s="68">
        <v>3212</v>
      </c>
      <c r="AS150" s="68">
        <v>1972</v>
      </c>
      <c r="AT150" s="72"/>
      <c r="AU150" s="72"/>
      <c r="AV150" s="72"/>
      <c r="AW150" s="72"/>
      <c r="AY150" s="11"/>
      <c r="AZ150" s="11"/>
      <c r="BA150" s="43"/>
      <c r="BB150" s="43"/>
      <c r="BC150" s="43"/>
    </row>
    <row r="151" spans="1:56">
      <c r="A151" s="36" t="s">
        <v>188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9"/>
      <c r="Z151" s="59"/>
      <c r="AA151" s="59"/>
      <c r="AB151" s="64"/>
      <c r="AC151" s="105">
        <v>7388</v>
      </c>
      <c r="AD151" s="105">
        <v>6914</v>
      </c>
      <c r="AE151" s="105">
        <v>8346</v>
      </c>
      <c r="AF151" s="105">
        <v>4166</v>
      </c>
      <c r="AG151" s="105">
        <v>0</v>
      </c>
      <c r="AH151" s="105">
        <v>0</v>
      </c>
      <c r="AI151" s="105">
        <v>0</v>
      </c>
      <c r="AJ151" s="105">
        <v>3227</v>
      </c>
      <c r="AK151" s="68">
        <v>9907</v>
      </c>
      <c r="AL151" s="72">
        <v>3257</v>
      </c>
      <c r="AM151" s="72">
        <v>1340</v>
      </c>
      <c r="AN151" s="72">
        <v>1719</v>
      </c>
      <c r="AO151" s="72">
        <v>2578</v>
      </c>
      <c r="AP151" s="72">
        <v>2823</v>
      </c>
      <c r="AQ151" s="72">
        <v>1681</v>
      </c>
      <c r="AR151" s="72">
        <v>771</v>
      </c>
      <c r="AS151" s="72">
        <v>500</v>
      </c>
      <c r="AT151" s="72"/>
      <c r="AU151" s="72"/>
      <c r="AV151" s="72"/>
      <c r="AW151" s="72"/>
      <c r="AY151" s="11"/>
      <c r="AZ151" s="11"/>
      <c r="BA151" s="43"/>
      <c r="BB151" s="43"/>
      <c r="BC151" s="43"/>
    </row>
    <row r="152" spans="1:56">
      <c r="A152" s="58" t="s">
        <v>104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9"/>
      <c r="Z152" s="59"/>
      <c r="AA152" s="59"/>
      <c r="AB152" s="59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Y152" s="11"/>
      <c r="AZ152" s="11"/>
      <c r="BA152" s="43"/>
      <c r="BB152" s="43"/>
      <c r="BC152" s="43"/>
    </row>
    <row r="153" spans="1:56">
      <c r="A153" s="58" t="s">
        <v>189</v>
      </c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Y153" s="11"/>
      <c r="AZ153" s="11"/>
      <c r="BA153" s="43"/>
      <c r="BB153" s="43"/>
      <c r="BC153" s="43"/>
    </row>
    <row r="154" spans="1:56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Y154" s="11"/>
      <c r="AZ154" s="11"/>
      <c r="BA154" s="43"/>
      <c r="BB154" s="43"/>
      <c r="BC154" s="43"/>
    </row>
    <row r="155" spans="1:56">
      <c r="A155" s="58" t="s">
        <v>190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Y155" s="11"/>
      <c r="AZ155" s="11"/>
      <c r="BA155" s="43"/>
      <c r="BB155" s="43"/>
      <c r="BC155" s="43"/>
    </row>
    <row r="156" spans="1:56">
      <c r="A156" s="58" t="s">
        <v>191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Y156" s="11"/>
      <c r="AZ156" s="11"/>
      <c r="BA156" s="43"/>
      <c r="BB156" s="43"/>
      <c r="BC156" s="43"/>
    </row>
    <row r="157" spans="1:56">
      <c r="A157" s="58" t="s">
        <v>192</v>
      </c>
      <c r="AB157" s="65"/>
      <c r="AC157" s="59"/>
      <c r="AJ157" s="59"/>
    </row>
    <row r="159" spans="1:56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56">
      <c r="A160" s="5" t="s">
        <v>89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55">
      <c r="A161" s="5" t="s">
        <v>90</v>
      </c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5">
      <c r="A162" s="36" t="s">
        <v>91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5">
      <c r="A163" s="5" t="s">
        <v>92</v>
      </c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11"/>
      <c r="Z164" s="11"/>
      <c r="AA164" s="11"/>
      <c r="AB164" s="43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66"/>
      <c r="AZ164" s="11"/>
      <c r="BA164" s="11"/>
      <c r="BB164" s="11"/>
      <c r="BC164" s="11"/>
    </row>
    <row r="165" spans="1:5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AB165" s="64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</row>
    <row r="166" spans="1:55">
      <c r="A166" s="5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</row>
    <row r="167" spans="1:55">
      <c r="A167" s="3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5">
      <c r="A168" s="5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BA168" s="11"/>
    </row>
    <row r="169" spans="1:55">
      <c r="A169" s="36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66"/>
      <c r="AZ169" s="11"/>
      <c r="BA169" s="11"/>
      <c r="BB169" s="11"/>
      <c r="BC169" s="11"/>
    </row>
    <row r="170" spans="1:55">
      <c r="BA170" s="11"/>
    </row>
    <row r="172" spans="1:55">
      <c r="AB172" s="67"/>
    </row>
    <row r="173" spans="1:55">
      <c r="AB173" s="67"/>
    </row>
    <row r="174" spans="1:55">
      <c r="AB174" s="67"/>
    </row>
    <row r="175" spans="1:55">
      <c r="AB175" s="67"/>
    </row>
    <row r="176" spans="1:55">
      <c r="AB176" s="34"/>
    </row>
    <row r="179" spans="1:28">
      <c r="AB179" s="67"/>
    </row>
    <row r="180" spans="1:28">
      <c r="AB180" s="67"/>
    </row>
    <row r="181" spans="1:28">
      <c r="AB181" s="67"/>
    </row>
    <row r="182" spans="1:28">
      <c r="AB182" s="67"/>
    </row>
    <row r="183" spans="1:28">
      <c r="AB183" s="34"/>
    </row>
    <row r="184" spans="1:28"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</row>
    <row r="185" spans="1:28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AB185" s="67"/>
    </row>
    <row r="186" spans="1:28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AB186" s="67"/>
    </row>
    <row r="187" spans="1:28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AB187" s="67"/>
    </row>
    <row r="188" spans="1:28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AB188" s="67"/>
    </row>
    <row r="189" spans="1:28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AB189" s="67"/>
    </row>
    <row r="190" spans="1:28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AB190" s="67"/>
    </row>
    <row r="191" spans="1:28">
      <c r="A191" s="56"/>
    </row>
    <row r="192" spans="1:28">
      <c r="AB192" s="67"/>
    </row>
    <row r="193" spans="28:28">
      <c r="AB193" s="67"/>
    </row>
    <row r="194" spans="28:28">
      <c r="AB194" s="67"/>
    </row>
    <row r="195" spans="28:28">
      <c r="AB195" s="67"/>
    </row>
    <row r="196" spans="28:28">
      <c r="AB196" s="67"/>
    </row>
    <row r="197" spans="28:28">
      <c r="AB197" s="67"/>
    </row>
    <row r="198" spans="28:28">
      <c r="AB198" s="67"/>
    </row>
    <row r="203" spans="28:28">
      <c r="AB203" s="67"/>
    </row>
    <row r="204" spans="28:28">
      <c r="AB204" s="67"/>
    </row>
    <row r="205" spans="28:28">
      <c r="AB205" s="67"/>
    </row>
    <row r="206" spans="28:28">
      <c r="AB206" s="67"/>
    </row>
    <row r="207" spans="28:28">
      <c r="AB207" s="67"/>
    </row>
    <row r="208" spans="28:28">
      <c r="AB208" s="67"/>
    </row>
    <row r="210" spans="28:28">
      <c r="AB210" s="34"/>
    </row>
    <row r="211" spans="28:28">
      <c r="AB211" s="67"/>
    </row>
    <row r="212" spans="28:28">
      <c r="AB212" s="34"/>
    </row>
    <row r="213" spans="28:28">
      <c r="AB213" s="67"/>
    </row>
    <row r="215" spans="28:28">
      <c r="AB215" s="34"/>
    </row>
    <row r="216" spans="28:28">
      <c r="AB216" s="34"/>
    </row>
    <row r="217" spans="28:28">
      <c r="AB217" s="34"/>
    </row>
    <row r="220" spans="28:28">
      <c r="AB220" s="65"/>
    </row>
    <row r="221" spans="28:28">
      <c r="AB221" s="65"/>
    </row>
    <row r="222" spans="28:28">
      <c r="AB222" s="65"/>
    </row>
    <row r="223" spans="28:28">
      <c r="AB223" s="65"/>
    </row>
    <row r="226" spans="28:28">
      <c r="AB226" s="67"/>
    </row>
  </sheetData>
  <sheetProtection algorithmName="SHA-512" hashValue="tHTCEhZ87EW3ipjldIKAJ0BNsdC16/MhOXe92Y58K/4LwiqcDMcyqLXS+nXQt801tUMgVHiQkKa9CK/n3bhNyQ==" saltValue="Q5j1gUwVXcLJ7SyaDvR8LQ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9E8A3-8503-48F5-A91B-0FDE4F15DC93}">
  <dimension ref="A1"/>
  <sheetViews>
    <sheetView workbookViewId="0">
      <selection activeCell="P5" sqref="P5"/>
    </sheetView>
  </sheetViews>
  <sheetFormatPr defaultRowHeight="15"/>
  <sheetData/>
  <sheetProtection algorithmName="SHA-512" hashValue="/r3AMseYW6xUCBbfhjqKV2gkNcQHoZJ3dsoIL22UoLjMkS0lMda6NubsWjuMLrIlft+utCUAGz456KtwxuEa+w==" saltValue="TrtcydXicsDo36eEwS+4OQ==" spinCount="100000" sheet="1" objects="1" scenarios="1" selectLockedCells="1" selectUnlockedCell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6E621-DC25-4F07-BC32-6D0F461EE682}">
  <dimension ref="A1"/>
  <sheetViews>
    <sheetView topLeftCell="A7" workbookViewId="0">
      <selection activeCell="P20" sqref="P20"/>
    </sheetView>
  </sheetViews>
  <sheetFormatPr defaultRowHeight="15"/>
  <sheetData/>
  <sheetProtection algorithmName="SHA-512" hashValue="wq2mEJAop6hH6mHEcFFNeDHQMa1KwYQE473EvqVanZfD0sb67NMDxw9vg8SJrSacslF5JaZSuEtQqt+X6/JgCA==" saltValue="O1wkKSwmWgQmZggA6T6Lpg==" spinCount="100000" sheet="1" objects="1" scenarios="1" selectLockedCells="1" selectUnlockedCell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9E5DA-AB57-484B-9B66-06C0EB1A6A67}">
  <dimension ref="A1"/>
  <sheetViews>
    <sheetView topLeftCell="A19" workbookViewId="0">
      <selection activeCell="L38" sqref="L38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D5AD1-B518-41ED-947D-ABDE8B28C3D8}">
  <dimension ref="A1"/>
  <sheetViews>
    <sheetView workbookViewId="0">
      <selection activeCell="P6" sqref="P6"/>
    </sheetView>
  </sheetViews>
  <sheetFormatPr defaultRowHeight="15"/>
  <sheetData/>
  <sheetProtection selectLockedCells="1" selectUnlockedCell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16D49-021F-43CB-A44E-ED1F8C676CC7}">
  <dimension ref="A1:Q59"/>
  <sheetViews>
    <sheetView tabSelected="1" topLeftCell="A50" workbookViewId="0">
      <selection activeCell="H83" sqref="H83"/>
    </sheetView>
  </sheetViews>
  <sheetFormatPr defaultRowHeight="15"/>
  <cols>
    <col min="1" max="1" width="30.7109375" style="72" customWidth="1"/>
    <col min="2" max="7" width="12.7109375" style="72" customWidth="1"/>
    <col min="8" max="8" width="13.42578125" style="72" bestFit="1" customWidth="1"/>
    <col min="9" max="16384" width="9.140625" style="72"/>
  </cols>
  <sheetData>
    <row r="1" spans="1:8" ht="23.25">
      <c r="A1" s="169" t="s">
        <v>193</v>
      </c>
      <c r="B1" s="169"/>
    </row>
    <row r="2" spans="1:8">
      <c r="G2" s="170" t="s">
        <v>194</v>
      </c>
    </row>
    <row r="3" spans="1:8">
      <c r="B3" s="72">
        <v>2014</v>
      </c>
      <c r="C3" s="72">
        <f>B3+1</f>
        <v>2015</v>
      </c>
      <c r="D3" s="72">
        <v>2016</v>
      </c>
      <c r="E3" s="72">
        <v>2017</v>
      </c>
      <c r="F3" s="72">
        <f t="shared" ref="F3:G3" si="0">E3+1</f>
        <v>2018</v>
      </c>
      <c r="G3" s="72">
        <f t="shared" si="0"/>
        <v>2019</v>
      </c>
    </row>
    <row r="4" spans="1:8">
      <c r="A4" s="75"/>
    </row>
    <row r="5" spans="1:8">
      <c r="A5" s="75" t="s">
        <v>195</v>
      </c>
      <c r="B5" s="68">
        <f>'[3]Cattle Exports Annual'!$G$41</f>
        <v>10328</v>
      </c>
      <c r="C5" s="68">
        <f>'[3]Cattle Exports Annual'!$F$41</f>
        <v>7201</v>
      </c>
      <c r="D5" s="68">
        <f>'[3]Cattle Exports Annual'!$E$41</f>
        <v>5222</v>
      </c>
      <c r="E5" s="68">
        <f>'[3]Cattle Exports Annual'!$D$41</f>
        <v>6559</v>
      </c>
      <c r="F5" s="68">
        <f>'[3]Cattle Exports Annual'!$C$41</f>
        <v>4629</v>
      </c>
      <c r="G5" s="69">
        <f>'[3]Cattle Exports Annual'!$B$41</f>
        <v>5049.8181818181811</v>
      </c>
    </row>
    <row r="8" spans="1:8">
      <c r="A8" s="75" t="s">
        <v>196</v>
      </c>
      <c r="B8" s="68">
        <f>'[3]Cattle Exports Annual'!$G$36</f>
        <v>231310</v>
      </c>
      <c r="C8" s="68">
        <f>'[3]Cattle Exports Annual'!$F$36</f>
        <v>137502</v>
      </c>
      <c r="D8" s="68">
        <f>'[3]Cattle Exports Annual'!$E$36</f>
        <v>177799</v>
      </c>
      <c r="E8" s="68">
        <f>'[3]Cattle Exports Annual'!$D$36</f>
        <v>187628</v>
      </c>
      <c r="F8" s="68">
        <f>'[3]Cattle Exports Annual'!$C$36</f>
        <v>115373</v>
      </c>
      <c r="G8" s="68">
        <f>'[3]Cattle Exports Annual'!$B$36</f>
        <v>138472.36363636365</v>
      </c>
      <c r="H8" s="71">
        <f>((G8+G10)-(F8+F10))/(F8+F10)</f>
        <v>0.41174486331746374</v>
      </c>
    </row>
    <row r="9" spans="1:8">
      <c r="B9" s="68"/>
      <c r="C9" s="68"/>
      <c r="D9" s="68"/>
      <c r="E9" s="68"/>
      <c r="F9" s="68"/>
      <c r="G9" s="68"/>
    </row>
    <row r="10" spans="1:8">
      <c r="A10" s="75" t="s">
        <v>197</v>
      </c>
      <c r="B10" s="68">
        <f>'[3]Cattle Exports Annual'!$G$37</f>
        <v>172006</v>
      </c>
      <c r="C10" s="68">
        <f>'[3]Cattle Exports Annual'!$F$37</f>
        <v>95369</v>
      </c>
      <c r="D10" s="68">
        <f>'[3]Cattle Exports Annual'!$E$37</f>
        <v>152669</v>
      </c>
      <c r="E10" s="68">
        <f>'[3]Cattle Exports Annual'!$D$37</f>
        <v>148758</v>
      </c>
      <c r="F10" s="68">
        <f>'[3]Cattle Exports Annual'!$C$37</f>
        <v>123944</v>
      </c>
      <c r="G10" s="68">
        <f>'[3]Cattle Exports Annual'!$B$37</f>
        <v>199382.18181818182</v>
      </c>
    </row>
    <row r="11" spans="1:8">
      <c r="B11" s="68"/>
      <c r="C11" s="68"/>
      <c r="D11" s="68"/>
      <c r="E11" s="68"/>
      <c r="F11" s="68"/>
      <c r="G11" s="68"/>
    </row>
    <row r="12" spans="1:8">
      <c r="A12" s="75" t="s">
        <v>198</v>
      </c>
      <c r="B12" s="68">
        <f>'[3]Cattle Exports Annual'!$G$38</f>
        <v>276560</v>
      </c>
      <c r="C12" s="68">
        <f>'[3]Cattle Exports Annual'!$F$38</f>
        <v>204938</v>
      </c>
      <c r="D12" s="68">
        <f>'[3]Cattle Exports Annual'!$E$38</f>
        <v>187225</v>
      </c>
      <c r="E12" s="68">
        <f>'[3]Cattle Exports Annual'!$D$38</f>
        <v>126292</v>
      </c>
      <c r="F12" s="68">
        <f>'[3]Cattle Exports Annual'!$C$38</f>
        <v>145537</v>
      </c>
      <c r="G12" s="68">
        <f>'[3]Cattle Exports Annual'!$B$38</f>
        <v>145358.18181818182</v>
      </c>
    </row>
    <row r="13" spans="1:8">
      <c r="A13" s="75"/>
      <c r="B13" s="68"/>
      <c r="C13" s="68"/>
      <c r="D13" s="68"/>
      <c r="E13" s="68"/>
      <c r="F13" s="68"/>
      <c r="G13" s="68"/>
    </row>
    <row r="14" spans="1:8">
      <c r="A14" s="75" t="s">
        <v>199</v>
      </c>
      <c r="B14" s="68">
        <f>'[3]Cattle Exports Annual'!$G$39</f>
        <v>44638</v>
      </c>
      <c r="C14" s="68">
        <f>'[3]Cattle Exports Annual'!$F$39</f>
        <v>33132</v>
      </c>
      <c r="D14" s="68">
        <f>'[3]Cattle Exports Annual'!$E$39</f>
        <v>28627</v>
      </c>
      <c r="E14" s="68">
        <f>'[3]Cattle Exports Annual'!$D$39</f>
        <v>26666</v>
      </c>
      <c r="F14" s="68">
        <f>'[3]Cattle Exports Annual'!$C$39</f>
        <v>29990</v>
      </c>
      <c r="G14" s="68">
        <f>'[3]Cattle Exports Annual'!$B$39</f>
        <v>32741.454545454544</v>
      </c>
    </row>
    <row r="15" spans="1:8">
      <c r="A15" s="171" t="s">
        <v>200</v>
      </c>
      <c r="B15" s="97"/>
      <c r="C15" s="97"/>
      <c r="D15" s="97"/>
      <c r="E15" s="97"/>
      <c r="F15" s="97"/>
      <c r="G15" s="97"/>
    </row>
    <row r="16" spans="1:8">
      <c r="A16" s="171"/>
      <c r="B16" s="97"/>
      <c r="C16" s="97"/>
      <c r="D16" s="97"/>
      <c r="E16" s="97"/>
      <c r="F16" s="97"/>
      <c r="G16" s="97"/>
    </row>
    <row r="17" spans="1:9">
      <c r="A17" s="75" t="s">
        <v>201</v>
      </c>
      <c r="B17" s="68">
        <f>'[3]Cattle Exports Annual'!$G$43</f>
        <v>141687</v>
      </c>
      <c r="C17" s="68">
        <f>'[3]Cattle Exports Annual'!$F$43</f>
        <v>76797</v>
      </c>
      <c r="D17" s="68">
        <f>'[3]Cattle Exports Annual'!$E$43</f>
        <v>29871</v>
      </c>
      <c r="E17" s="68">
        <f>'[3]Cattle Exports Annual'!$D$43</f>
        <v>58325</v>
      </c>
      <c r="F17" s="68">
        <f>'[3]Cattle Exports Annual'!$C$43</f>
        <v>43292</v>
      </c>
      <c r="G17" s="68">
        <f>'[3]Cattle Exports Annual'!$B$43</f>
        <v>47227.63636363636</v>
      </c>
    </row>
    <row r="18" spans="1:9">
      <c r="A18" s="75" t="s">
        <v>202</v>
      </c>
      <c r="B18" s="68">
        <f>'[3]Cattle Exports Annual'!$G$44</f>
        <v>121054</v>
      </c>
      <c r="C18" s="68">
        <f>'[3]Cattle Exports Annual'!$F$44</f>
        <v>72813</v>
      </c>
      <c r="D18" s="68">
        <f>'[3]Cattle Exports Annual'!$E$44</f>
        <v>69829</v>
      </c>
      <c r="E18" s="69">
        <f>'[3]Cattle Exports Annual'!$D$44</f>
        <v>84741</v>
      </c>
      <c r="F18" s="68">
        <f>'[3]Cattle Exports Annual'!$C$44</f>
        <v>62560</v>
      </c>
      <c r="G18" s="68">
        <f>'[3]Cattle Exports Annual'!$B$44</f>
        <v>148361.45454545453</v>
      </c>
    </row>
    <row r="19" spans="1:9">
      <c r="A19" s="75" t="s">
        <v>203</v>
      </c>
      <c r="B19" s="68"/>
      <c r="C19" s="68"/>
      <c r="D19" s="68"/>
      <c r="E19" s="68"/>
      <c r="F19" s="68"/>
      <c r="G19" s="68"/>
    </row>
    <row r="20" spans="1:9">
      <c r="A20" s="171" t="s">
        <v>200</v>
      </c>
      <c r="B20" s="68"/>
      <c r="C20" s="68"/>
      <c r="D20" s="68"/>
      <c r="E20" s="68"/>
      <c r="F20" s="68"/>
      <c r="G20" s="68"/>
    </row>
    <row r="21" spans="1:9">
      <c r="A21" s="75"/>
      <c r="B21" s="68"/>
      <c r="C21" s="68"/>
      <c r="D21" s="68"/>
      <c r="E21" s="68"/>
      <c r="F21" s="68"/>
      <c r="G21" s="68"/>
    </row>
    <row r="22" spans="1:9">
      <c r="A22" s="75" t="s">
        <v>204</v>
      </c>
      <c r="B22" s="68">
        <f>44755-17319</f>
        <v>27436</v>
      </c>
      <c r="C22" s="68">
        <f>'[3]Cattle Imports Annual'!$F$11</f>
        <v>25219</v>
      </c>
      <c r="D22" s="68">
        <f>'[3]Cattle Imports Annual'!$E$11</f>
        <v>13150</v>
      </c>
      <c r="E22" s="68">
        <f>'[3]Cattle Imports Annual'!$D$11</f>
        <v>31889</v>
      </c>
      <c r="F22" s="68">
        <f>'[3]Cattle Imports Annual'!$C$11</f>
        <v>15720</v>
      </c>
      <c r="G22" s="68">
        <f>'[3]Cattle Imports Annual'!$B$11</f>
        <v>17750.181818181816</v>
      </c>
    </row>
    <row r="23" spans="1:9">
      <c r="A23" s="75" t="s">
        <v>205</v>
      </c>
      <c r="B23" s="68">
        <f>'[3]Cattle Imports Annual'!$G$12</f>
        <v>17319</v>
      </c>
      <c r="C23" s="68">
        <f>'[3]Cattle Imports Annual'!$F$12</f>
        <v>10545</v>
      </c>
      <c r="D23" s="68">
        <f>'[3]Cattle Imports Annual'!$E$12</f>
        <v>17407</v>
      </c>
      <c r="E23" s="68">
        <f>'[3]Cattle Imports Annual'!$D$12</f>
        <v>106682</v>
      </c>
      <c r="F23" s="68">
        <f>'[3]Cattle Imports Annual'!$C$12</f>
        <v>180242</v>
      </c>
      <c r="G23" s="68">
        <f>'[3]Cattle Imports Annual'!$B$12</f>
        <v>254043.27272727274</v>
      </c>
    </row>
    <row r="24" spans="1:9">
      <c r="A24" s="171" t="s">
        <v>206</v>
      </c>
      <c r="C24" s="75"/>
      <c r="D24" s="68"/>
      <c r="E24" s="68"/>
      <c r="F24" s="68"/>
      <c r="G24" s="68"/>
      <c r="H24" s="68"/>
      <c r="I24" s="68"/>
    </row>
    <row r="25" spans="1:9">
      <c r="A25" s="75" t="s">
        <v>103</v>
      </c>
      <c r="B25" s="68">
        <f>[1]Productivity!AQ31</f>
        <v>309.58904109589042</v>
      </c>
      <c r="C25" s="68">
        <f>[1]Productivity!AR31</f>
        <v>328.76712328767127</v>
      </c>
      <c r="D25" s="68">
        <f>[1]Productivity!AS31</f>
        <v>338.83697722942935</v>
      </c>
      <c r="E25" s="68">
        <f>[1]Productivity!AT31</f>
        <v>331.6</v>
      </c>
      <c r="F25" s="68">
        <f>[1]Productivity!AU31</f>
        <v>330.21863376576249</v>
      </c>
      <c r="G25" s="68">
        <f>[1]Productivity!AV31</f>
        <v>329.76503674135898</v>
      </c>
      <c r="H25" s="68"/>
      <c r="I25" s="68"/>
    </row>
    <row r="26" spans="1:9">
      <c r="A26" s="75" t="s">
        <v>207</v>
      </c>
      <c r="B26" s="126">
        <f>[1]Productivity!AQ29</f>
        <v>390.41095890410958</v>
      </c>
      <c r="C26" s="126">
        <f>[1]Productivity!AR29</f>
        <v>405.47945205479454</v>
      </c>
      <c r="D26" s="126">
        <f>[1]Productivity!AS29</f>
        <v>416.85566542683478</v>
      </c>
      <c r="E26" s="126">
        <f>[1]Productivity!AT29</f>
        <v>405.5</v>
      </c>
      <c r="F26" s="126">
        <f>[1]Productivity!AU29</f>
        <v>406.42293386555383</v>
      </c>
      <c r="G26" s="126">
        <f>[1]Productivity!AV29</f>
        <v>412</v>
      </c>
      <c r="H26" s="68"/>
      <c r="I26" s="68"/>
    </row>
    <row r="27" spans="1:9">
      <c r="A27" s="75"/>
      <c r="B27" s="68"/>
      <c r="C27" s="68"/>
      <c r="D27" s="68"/>
      <c r="E27" s="68"/>
      <c r="F27" s="68"/>
      <c r="G27" s="68"/>
    </row>
    <row r="28" spans="1:9">
      <c r="A28" s="75" t="s">
        <v>208</v>
      </c>
      <c r="B28" s="68">
        <f t="shared" ref="B28:D28" si="1">((B22*B25)+(B23*B26))/1000000</f>
        <v>15.255412328767125</v>
      </c>
      <c r="C28" s="68">
        <f t="shared" si="1"/>
        <v>12.56695890410959</v>
      </c>
      <c r="D28" s="68">
        <f t="shared" si="1"/>
        <v>11.711912818651909</v>
      </c>
      <c r="E28" s="68">
        <f>((E22*E25)+(E23*E26))/1000000</f>
        <v>53.833943399999995</v>
      </c>
      <c r="F28" s="68">
        <f t="shared" ref="F28:G28" si="2">((F22*F25)+(F23*F26))/1000000</f>
        <v>78.445519368592926</v>
      </c>
      <c r="G28" s="68">
        <f t="shared" si="2"/>
        <v>110.51921772307489</v>
      </c>
    </row>
    <row r="29" spans="1:9">
      <c r="A29" s="75" t="s">
        <v>209</v>
      </c>
      <c r="B29" s="68">
        <f>(B23*B26)/1000000</f>
        <v>6.7615273972602736</v>
      </c>
      <c r="C29" s="68">
        <f t="shared" ref="C29:G29" si="3">(C23*C26)/1000000</f>
        <v>4.2757808219178086</v>
      </c>
      <c r="D29" s="68">
        <f t="shared" si="3"/>
        <v>7.256206568084913</v>
      </c>
      <c r="E29" s="68">
        <f t="shared" si="3"/>
        <v>43.259551000000002</v>
      </c>
      <c r="F29" s="68">
        <f t="shared" si="3"/>
        <v>73.254482445795148</v>
      </c>
      <c r="G29" s="68">
        <f t="shared" si="3"/>
        <v>104.66582836363636</v>
      </c>
    </row>
    <row r="30" spans="1:9">
      <c r="A30" s="75" t="s">
        <v>210</v>
      </c>
      <c r="B30" s="68">
        <f>(B22*B25)/1000000</f>
        <v>8.4938849315068499</v>
      </c>
      <c r="C30" s="68">
        <f t="shared" ref="C30:G30" si="4">(C22*C25)/1000000</f>
        <v>8.2911780821917827</v>
      </c>
      <c r="D30" s="68">
        <f t="shared" si="4"/>
        <v>4.4557062505669958</v>
      </c>
      <c r="E30" s="68">
        <f t="shared" si="4"/>
        <v>10.574392400000001</v>
      </c>
      <c r="F30" s="68">
        <f t="shared" si="4"/>
        <v>5.1910369227977862</v>
      </c>
      <c r="G30" s="68">
        <f t="shared" si="4"/>
        <v>5.8533893594385296</v>
      </c>
    </row>
    <row r="31" spans="1:9">
      <c r="A31" s="75"/>
      <c r="B31" s="68"/>
      <c r="C31" s="68"/>
      <c r="D31" s="68"/>
      <c r="E31" s="68"/>
      <c r="F31" s="68"/>
      <c r="G31" s="68"/>
    </row>
    <row r="32" spans="1:9">
      <c r="A32" s="75"/>
      <c r="B32" s="68"/>
      <c r="C32" s="68"/>
      <c r="D32" s="68"/>
      <c r="E32" s="68"/>
      <c r="F32" s="68"/>
      <c r="G32" s="68"/>
    </row>
    <row r="33" spans="1:7">
      <c r="A33" s="75"/>
      <c r="B33" s="68"/>
      <c r="C33" s="68"/>
      <c r="D33" s="68"/>
      <c r="E33" s="68"/>
      <c r="F33" s="68"/>
      <c r="G33" s="68"/>
    </row>
    <row r="34" spans="1:7">
      <c r="A34" s="75"/>
      <c r="B34" s="68"/>
      <c r="C34" s="68"/>
      <c r="D34" s="68"/>
      <c r="E34" s="68"/>
      <c r="F34" s="68"/>
      <c r="G34" s="68"/>
    </row>
    <row r="35" spans="1:7">
      <c r="A35" s="75"/>
      <c r="B35" s="68">
        <v>2014</v>
      </c>
      <c r="C35" s="68">
        <f>B35+1</f>
        <v>2015</v>
      </c>
      <c r="D35" s="68">
        <f t="shared" ref="D35:G35" si="5">C35+1</f>
        <v>2016</v>
      </c>
      <c r="E35" s="68">
        <f t="shared" si="5"/>
        <v>2017</v>
      </c>
      <c r="F35" s="68">
        <f t="shared" si="5"/>
        <v>2018</v>
      </c>
      <c r="G35" s="68">
        <f t="shared" si="5"/>
        <v>2019</v>
      </c>
    </row>
    <row r="36" spans="1:7">
      <c r="A36" s="72" t="s">
        <v>211</v>
      </c>
    </row>
    <row r="38" spans="1:7">
      <c r="A38" s="75" t="s">
        <v>212</v>
      </c>
      <c r="B38" s="68">
        <f>[1]Productivity!AQ75*1000</f>
        <v>3848000</v>
      </c>
      <c r="C38" s="68">
        <f>[1]Productivity!AR75*1000</f>
        <v>3737000</v>
      </c>
      <c r="D38" s="68">
        <f>[1]Productivity!AS75*1000</f>
        <v>3737000</v>
      </c>
      <c r="E38" s="68">
        <f>[1]Productivity!AT75*1000</f>
        <v>3771000</v>
      </c>
      <c r="F38" s="68">
        <f>[1]Productivity!AU75*1000</f>
        <v>3726000</v>
      </c>
      <c r="G38" s="68">
        <f>[1]Productivity!AV75*1000</f>
        <v>3661000</v>
      </c>
    </row>
    <row r="39" spans="1:7">
      <c r="A39" s="72" t="s">
        <v>213</v>
      </c>
      <c r="B39" s="68">
        <f>[1]Productivity!AQ77*1000</f>
        <v>949000</v>
      </c>
      <c r="C39" s="68">
        <f>[1]Productivity!AR77*1000</f>
        <v>934000</v>
      </c>
      <c r="D39" s="68">
        <f>[1]Productivity!AS77*1000</f>
        <v>930000</v>
      </c>
      <c r="E39" s="68">
        <f>[1]Productivity!AT77*1000</f>
        <v>945000</v>
      </c>
      <c r="F39" s="68">
        <f>[1]Productivity!AU77*1000</f>
        <v>945000</v>
      </c>
      <c r="G39" s="68">
        <f>[1]Productivity!AV77*1000</f>
        <v>968700</v>
      </c>
    </row>
    <row r="40" spans="1:7">
      <c r="A40" s="72" t="s">
        <v>214</v>
      </c>
      <c r="B40" s="172">
        <f>3158%/100</f>
        <v>0.31579999999999997</v>
      </c>
      <c r="C40" s="172">
        <v>0.2984</v>
      </c>
      <c r="D40" s="172">
        <v>0.29459999999999997</v>
      </c>
      <c r="E40" s="172">
        <v>0.26989999999999997</v>
      </c>
      <c r="F40" s="172">
        <v>0.32950000000000002</v>
      </c>
      <c r="G40" s="172">
        <v>0.32700000000000001</v>
      </c>
    </row>
    <row r="42" spans="1:7">
      <c r="A42" s="72" t="s">
        <v>215</v>
      </c>
      <c r="B42" s="68">
        <f>[1]Productivity!AQ88</f>
        <v>711066.63029704848</v>
      </c>
      <c r="C42" s="68">
        <f>[1]Productivity!AR88</f>
        <v>579190.34544568392</v>
      </c>
      <c r="D42" s="68">
        <f>[1]Productivity!AS88</f>
        <v>601087.89011676388</v>
      </c>
      <c r="E42" s="68">
        <f>[1]Productivity!AT88</f>
        <v>567291.30599999998</v>
      </c>
      <c r="F42" s="68">
        <f>[1]Productivity!AU88</f>
        <v>666801.01699999999</v>
      </c>
      <c r="G42" s="68">
        <f>[1]Productivity!AV88</f>
        <v>666866.83700000017</v>
      </c>
    </row>
    <row r="43" spans="1:7">
      <c r="A43" s="75" t="s">
        <v>216</v>
      </c>
      <c r="B43" s="147">
        <f>B39*(B40)</f>
        <v>299694.19999999995</v>
      </c>
      <c r="C43" s="147">
        <f t="shared" ref="C43:G43" si="6">C39*(C40)</f>
        <v>278705.59999999998</v>
      </c>
      <c r="D43" s="147">
        <f t="shared" si="6"/>
        <v>273978</v>
      </c>
      <c r="E43" s="147">
        <f t="shared" si="6"/>
        <v>255055.49999999997</v>
      </c>
      <c r="F43" s="147">
        <f t="shared" si="6"/>
        <v>311377.5</v>
      </c>
      <c r="G43" s="147">
        <f t="shared" si="6"/>
        <v>316764.90000000002</v>
      </c>
    </row>
    <row r="44" spans="1:7">
      <c r="A44" s="75" t="s">
        <v>217</v>
      </c>
      <c r="B44" s="68">
        <f>B42-B43</f>
        <v>411372.43029704853</v>
      </c>
      <c r="C44" s="68">
        <f t="shared" ref="C44:G44" si="7">C42-C43</f>
        <v>300484.74544568395</v>
      </c>
      <c r="D44" s="68">
        <f t="shared" si="7"/>
        <v>327109.89011676388</v>
      </c>
      <c r="E44" s="68">
        <f t="shared" si="7"/>
        <v>312235.80599999998</v>
      </c>
      <c r="F44" s="68">
        <f t="shared" si="7"/>
        <v>355423.51699999999</v>
      </c>
      <c r="G44" s="68">
        <f t="shared" si="7"/>
        <v>350101.93700000015</v>
      </c>
    </row>
    <row r="45" spans="1:7">
      <c r="A45" s="75" t="s">
        <v>218</v>
      </c>
      <c r="B45" s="94">
        <f>B44/B38</f>
        <v>0.10690551722896272</v>
      </c>
      <c r="C45" s="94">
        <f t="shared" ref="C45:G45" si="8">C44/C38</f>
        <v>8.0408013231384523E-2</v>
      </c>
      <c r="D45" s="94">
        <f t="shared" si="8"/>
        <v>8.7532750900926909E-2</v>
      </c>
      <c r="E45" s="94">
        <f t="shared" si="8"/>
        <v>8.2799206046141605E-2</v>
      </c>
      <c r="F45" s="94">
        <f t="shared" si="8"/>
        <v>9.5390101180891029E-2</v>
      </c>
      <c r="G45" s="94">
        <f t="shared" si="8"/>
        <v>9.5630138486752295E-2</v>
      </c>
    </row>
    <row r="50" spans="1:17">
      <c r="A50" s="75"/>
    </row>
    <row r="51" spans="1:17">
      <c r="A51" s="75"/>
      <c r="B51" s="126">
        <v>2005</v>
      </c>
      <c r="C51" s="126">
        <f>B51+1</f>
        <v>2006</v>
      </c>
      <c r="D51" s="126">
        <f t="shared" ref="D51:P51" si="9">C51+1</f>
        <v>2007</v>
      </c>
      <c r="E51" s="126">
        <f t="shared" si="9"/>
        <v>2008</v>
      </c>
      <c r="F51" s="126">
        <f t="shared" si="9"/>
        <v>2009</v>
      </c>
      <c r="G51" s="126">
        <f t="shared" si="9"/>
        <v>2010</v>
      </c>
      <c r="H51" s="126">
        <f t="shared" si="9"/>
        <v>2011</v>
      </c>
      <c r="I51" s="126">
        <f t="shared" si="9"/>
        <v>2012</v>
      </c>
      <c r="J51" s="126">
        <f t="shared" si="9"/>
        <v>2013</v>
      </c>
      <c r="K51" s="126">
        <f t="shared" si="9"/>
        <v>2014</v>
      </c>
      <c r="L51" s="126">
        <f t="shared" si="9"/>
        <v>2015</v>
      </c>
      <c r="M51" s="126">
        <f t="shared" si="9"/>
        <v>2016</v>
      </c>
      <c r="N51" s="126">
        <f t="shared" si="9"/>
        <v>2017</v>
      </c>
      <c r="O51" s="126">
        <f t="shared" si="9"/>
        <v>2018</v>
      </c>
      <c r="P51" s="126">
        <f t="shared" si="9"/>
        <v>2019</v>
      </c>
    </row>
    <row r="52" spans="1:17">
      <c r="A52" s="75" t="s">
        <v>219</v>
      </c>
      <c r="B52" s="134">
        <f>[1]Productivity!AH98</f>
        <v>34.13403195551745</v>
      </c>
      <c r="C52" s="134">
        <f>[1]Productivity!AI98</f>
        <v>34.941537383473189</v>
      </c>
      <c r="D52" s="134">
        <f>[1]Productivity!AJ98</f>
        <v>35.978902096272783</v>
      </c>
      <c r="E52" s="134">
        <f>[1]Productivity!AK98</f>
        <v>35.928619198816243</v>
      </c>
      <c r="F52" s="134">
        <f>[1]Productivity!AL98</f>
        <v>36.050859776083549</v>
      </c>
      <c r="G52" s="134">
        <f>[1]Productivity!AM98</f>
        <v>35.522699012306752</v>
      </c>
      <c r="H52" s="134">
        <f>[1]Productivity!AN98</f>
        <v>35.159739130583937</v>
      </c>
      <c r="I52" s="134">
        <f>[1]Productivity!AO98</f>
        <v>35.586066017133</v>
      </c>
      <c r="J52" s="134">
        <f>[1]Productivity!AP98</f>
        <v>35.95818212573456</v>
      </c>
      <c r="K52" s="134">
        <f>[1]Productivity!AQ98</f>
        <v>37.376682815797075</v>
      </c>
      <c r="L52" s="134">
        <f>[1]Productivity!AR98</f>
        <v>37.637834162494322</v>
      </c>
      <c r="M52" s="134">
        <f>[1]Productivity!AS98</f>
        <v>38.762610322720782</v>
      </c>
      <c r="N52" s="134">
        <f>[1]Productivity!AT98</f>
        <v>38.802415010722179</v>
      </c>
      <c r="O52" s="134">
        <f>[1]Productivity!AU98</f>
        <v>39.059583281247882</v>
      </c>
      <c r="P52" s="134">
        <f>[1]Productivity!AV98</f>
        <v>38.82971154857011</v>
      </c>
      <c r="Q52" s="134">
        <f>[1]Productivity!AW98</f>
        <v>0</v>
      </c>
    </row>
    <row r="53" spans="1:17">
      <c r="A53" s="75" t="s">
        <v>220</v>
      </c>
      <c r="B53" s="126">
        <f>[1]Productivity!AH99</f>
        <v>39.94063186858471</v>
      </c>
      <c r="C53" s="126">
        <f>[1]Productivity!AI99</f>
        <v>36.719258687036657</v>
      </c>
      <c r="D53" s="126">
        <f>[1]Productivity!AJ99</f>
        <v>39.928374218475</v>
      </c>
      <c r="E53" s="126">
        <f>[1]Productivity!AK99</f>
        <v>39.362957176015748</v>
      </c>
      <c r="F53" s="126">
        <f>[1]Productivity!AL99</f>
        <v>37.222406344442895</v>
      </c>
      <c r="G53" s="126">
        <f>[1]Productivity!AM99</f>
        <v>41.722969599401885</v>
      </c>
      <c r="H53" s="126">
        <f>[1]Productivity!AN99</f>
        <v>39.347470113603997</v>
      </c>
      <c r="I53" s="126">
        <f>[1]Productivity!AO99</f>
        <v>39.842085500565126</v>
      </c>
      <c r="J53" s="126">
        <f>[1]Productivity!AP99</f>
        <v>40.992764920868979</v>
      </c>
      <c r="K53" s="126">
        <f>[1]Productivity!AQ99</f>
        <v>44.480795018759594</v>
      </c>
      <c r="L53" s="126">
        <f>[1]Productivity!AR99</f>
        <v>40.867016601468336</v>
      </c>
      <c r="M53" s="126">
        <f>[1]Productivity!AS99</f>
        <v>44.994431574800714</v>
      </c>
      <c r="N53" s="126">
        <f>[1]Productivity!AT99</f>
        <v>44.866430101685843</v>
      </c>
      <c r="O53" s="126">
        <f>[1]Productivity!AU99</f>
        <v>41.895449164578778</v>
      </c>
      <c r="P53" s="126">
        <f>[1]Productivity!AV99</f>
        <v>44.353816854215204</v>
      </c>
      <c r="Q53" s="126">
        <f>[1]Productivity!AW99</f>
        <v>0</v>
      </c>
    </row>
    <row r="54" spans="1:17">
      <c r="A54" s="7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</row>
    <row r="55" spans="1:17">
      <c r="A55" s="75"/>
      <c r="B55" s="126">
        <f>B51</f>
        <v>2005</v>
      </c>
      <c r="C55" s="126">
        <f t="shared" ref="C55:P55" si="10">C51</f>
        <v>2006</v>
      </c>
      <c r="D55" s="126">
        <f t="shared" si="10"/>
        <v>2007</v>
      </c>
      <c r="E55" s="126">
        <f t="shared" si="10"/>
        <v>2008</v>
      </c>
      <c r="F55" s="126">
        <f t="shared" si="10"/>
        <v>2009</v>
      </c>
      <c r="G55" s="126">
        <f t="shared" si="10"/>
        <v>2010</v>
      </c>
      <c r="H55" s="126">
        <f t="shared" si="10"/>
        <v>2011</v>
      </c>
      <c r="I55" s="126">
        <f t="shared" si="10"/>
        <v>2012</v>
      </c>
      <c r="J55" s="126">
        <f t="shared" si="10"/>
        <v>2013</v>
      </c>
      <c r="K55" s="126">
        <f t="shared" si="10"/>
        <v>2014</v>
      </c>
      <c r="L55" s="126">
        <f t="shared" si="10"/>
        <v>2015</v>
      </c>
      <c r="M55" s="126">
        <f t="shared" si="10"/>
        <v>2016</v>
      </c>
      <c r="N55" s="126">
        <f t="shared" si="10"/>
        <v>2017</v>
      </c>
      <c r="O55" s="126">
        <f t="shared" si="10"/>
        <v>2018</v>
      </c>
      <c r="P55" s="126">
        <f t="shared" si="10"/>
        <v>2019</v>
      </c>
      <c r="Q55" s="126"/>
    </row>
    <row r="56" spans="1:17">
      <c r="A56" s="75" t="s">
        <v>221</v>
      </c>
      <c r="B56" s="126">
        <f>[1]Productivity!AH113</f>
        <v>310.52295451584888</v>
      </c>
      <c r="C56" s="126">
        <f>[1]Productivity!AI113</f>
        <v>316.80670108298887</v>
      </c>
      <c r="D56" s="126">
        <f>[1]Productivity!AJ113</f>
        <v>324.83246949899473</v>
      </c>
      <c r="E56" s="126">
        <f>[1]Productivity!AK113</f>
        <v>325.20816078861378</v>
      </c>
      <c r="F56" s="126">
        <f>[1]Productivity!AL113</f>
        <v>327.23902482728334</v>
      </c>
      <c r="G56" s="126">
        <f>[1]Productivity!AM113</f>
        <v>333.52188966498716</v>
      </c>
      <c r="H56" s="126">
        <f>[1]Productivity!AN113</f>
        <v>335.3146379151197</v>
      </c>
      <c r="I56" s="126">
        <f>[1]Productivity!AO113</f>
        <v>346.95195558877799</v>
      </c>
      <c r="J56" s="126">
        <f>[1]Productivity!AP113</f>
        <v>348.30154009193558</v>
      </c>
      <c r="K56" s="126">
        <f>[1]Productivity!AQ113</f>
        <v>363.6454929432735</v>
      </c>
      <c r="L56" s="126">
        <f>[1]Productivity!AR113</f>
        <v>368.81380097956816</v>
      </c>
      <c r="M56" s="126">
        <f>[1]Productivity!AS113</f>
        <v>387.22115456757609</v>
      </c>
      <c r="N56" s="126">
        <f>[1]Productivity!AT113</f>
        <v>393.30252581136347</v>
      </c>
      <c r="O56" s="126">
        <f>[1]Productivity!AU113</f>
        <v>396.65745571495682</v>
      </c>
      <c r="P56" s="126">
        <f>[1]Productivity!AV113</f>
        <v>393.11237682535989</v>
      </c>
      <c r="Q56" s="126">
        <f>[1]Productivity!AW113</f>
        <v>0</v>
      </c>
    </row>
    <row r="57" spans="1:17">
      <c r="A57" s="75" t="s">
        <v>222</v>
      </c>
      <c r="B57" s="126">
        <f>[1]Productivity!AH121</f>
        <v>14.743420671082175</v>
      </c>
      <c r="C57" s="126">
        <f>[1]Productivity!AI121</f>
        <v>14.669841728841766</v>
      </c>
      <c r="D57" s="126">
        <f>[1]Productivity!AJ121</f>
        <v>16.047385474690564</v>
      </c>
      <c r="E57" s="126">
        <f>[1]Productivity!AK121</f>
        <v>16.951742626546679</v>
      </c>
      <c r="F57" s="126">
        <f>[1]Productivity!AL121</f>
        <v>15.368656236158326</v>
      </c>
      <c r="G57" s="126">
        <f>[1]Productivity!AM121</f>
        <v>16.818367860470669</v>
      </c>
      <c r="H57" s="126">
        <f>[1]Productivity!AN121</f>
        <v>14.403293557190169</v>
      </c>
      <c r="I57" s="126">
        <f>[1]Productivity!AO121</f>
        <v>14.484969874479624</v>
      </c>
      <c r="J57" s="126">
        <f>[1]Productivity!AP121</f>
        <v>14.895643620536777</v>
      </c>
      <c r="K57" s="126">
        <f>[1]Productivity!AQ121</f>
        <v>15.094652162158823</v>
      </c>
      <c r="L57" s="126">
        <f>[1]Productivity!AR121</f>
        <v>12.388811816345932</v>
      </c>
      <c r="M57" s="126">
        <f>[1]Productivity!AS121</f>
        <v>13.830617881799471</v>
      </c>
      <c r="N57" s="126">
        <f>[1]Productivity!AT121</f>
        <v>15.441623775755954</v>
      </c>
      <c r="O57" s="126">
        <f>[1]Productivity!AU121</f>
        <v>15.061041324226416</v>
      </c>
      <c r="P57" s="126">
        <f>[1]Productivity!AV121</f>
        <v>17.626221131074974</v>
      </c>
      <c r="Q57" s="126">
        <f>[1]Productivity!AW121</f>
        <v>0</v>
      </c>
    </row>
    <row r="58" spans="1:17">
      <c r="B58" s="126">
        <f>B51</f>
        <v>2005</v>
      </c>
      <c r="C58" s="126">
        <f t="shared" ref="C58:P58" si="11">C51</f>
        <v>2006</v>
      </c>
      <c r="D58" s="126">
        <f t="shared" si="11"/>
        <v>2007</v>
      </c>
      <c r="E58" s="126">
        <f t="shared" si="11"/>
        <v>2008</v>
      </c>
      <c r="F58" s="126">
        <f t="shared" si="11"/>
        <v>2009</v>
      </c>
      <c r="G58" s="126">
        <f t="shared" si="11"/>
        <v>2010</v>
      </c>
      <c r="H58" s="126">
        <f t="shared" si="11"/>
        <v>2011</v>
      </c>
      <c r="I58" s="126">
        <f t="shared" si="11"/>
        <v>2012</v>
      </c>
      <c r="J58" s="126">
        <f t="shared" si="11"/>
        <v>2013</v>
      </c>
      <c r="K58" s="126">
        <f t="shared" si="11"/>
        <v>2014</v>
      </c>
      <c r="L58" s="126">
        <f t="shared" si="11"/>
        <v>2015</v>
      </c>
      <c r="M58" s="126">
        <f t="shared" si="11"/>
        <v>2016</v>
      </c>
      <c r="N58" s="126">
        <f t="shared" si="11"/>
        <v>2017</v>
      </c>
      <c r="O58" s="126">
        <f t="shared" si="11"/>
        <v>2018</v>
      </c>
      <c r="P58" s="126">
        <f t="shared" si="11"/>
        <v>2019</v>
      </c>
    </row>
    <row r="59" spans="1:17">
      <c r="A59" s="72" t="str">
        <f>A57</f>
        <v>Steer Beef pounds/ Cwt Cow Weight</v>
      </c>
      <c r="B59" s="126">
        <f>B57</f>
        <v>14.743420671082175</v>
      </c>
      <c r="C59" s="126">
        <f t="shared" ref="C59:P59" si="12">C57</f>
        <v>14.669841728841766</v>
      </c>
      <c r="D59" s="126">
        <f t="shared" si="12"/>
        <v>16.047385474690564</v>
      </c>
      <c r="E59" s="126">
        <f t="shared" si="12"/>
        <v>16.951742626546679</v>
      </c>
      <c r="F59" s="126">
        <f t="shared" si="12"/>
        <v>15.368656236158326</v>
      </c>
      <c r="G59" s="126">
        <f t="shared" si="12"/>
        <v>16.818367860470669</v>
      </c>
      <c r="H59" s="126">
        <f t="shared" si="12"/>
        <v>14.403293557190169</v>
      </c>
      <c r="I59" s="126">
        <f t="shared" si="12"/>
        <v>14.484969874479624</v>
      </c>
      <c r="J59" s="126">
        <f t="shared" si="12"/>
        <v>14.895643620536777</v>
      </c>
      <c r="K59" s="126">
        <f t="shared" si="12"/>
        <v>15.094652162158823</v>
      </c>
      <c r="L59" s="126">
        <f t="shared" si="12"/>
        <v>12.388811816345932</v>
      </c>
      <c r="M59" s="126">
        <f t="shared" si="12"/>
        <v>13.830617881799471</v>
      </c>
      <c r="N59" s="126">
        <f t="shared" si="12"/>
        <v>15.441623775755954</v>
      </c>
      <c r="O59" s="126">
        <f t="shared" si="12"/>
        <v>15.061041324226416</v>
      </c>
      <c r="P59" s="126">
        <f t="shared" si="12"/>
        <v>17.626221131074974</v>
      </c>
    </row>
  </sheetData>
  <sheetProtection algorithmName="SHA-512" hashValue="iTD5xZXtzHi+1HbYo6gPvlXHXUwYwLSMsqH0qGf6r04n/ItPzx7XQXUwlmZlQXyFUYmp8uug5XFGceI31xUlNg==" saltValue="MSBFJSTXmeitaqKLR+Jl1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Supply and Disposition</vt:lpstr>
      <vt:lpstr>Productivity</vt:lpstr>
      <vt:lpstr>Chart Steers per 100 Cows</vt:lpstr>
      <vt:lpstr>Lbs of Beef per Beef Cow</vt:lpstr>
      <vt:lpstr>Steer Beef p.100 lb. Cow Weight</vt:lpstr>
      <vt:lpstr>Dom. Steer &amp; Heifer Output</vt:lpstr>
      <vt:lpstr>Worksheet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2020-05-27T18:06:12Z</dcterms:created>
  <dcterms:modified xsi:type="dcterms:W3CDTF">2020-05-27T19:22:01Z</dcterms:modified>
</cp:coreProperties>
</file>