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2"/>
  </bookViews>
  <sheets>
    <sheet name="Sources of Can.Beef Consumption" sheetId="1" r:id="rId1"/>
    <sheet name="Proj. Dist. of Can. Beef 2016 " sheetId="2" r:id="rId2"/>
    <sheet name="Data" sheetId="3" r:id="rId3"/>
    <sheet name="Sheet2" sheetId="4" state="hidden" r:id="rId4"/>
    <sheet name="Sheet3" sheetId="5" state="hidden" r:id="rId5"/>
    <sheet name="Compatibility Report" sheetId="6" state="hidden" r:id="rId6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<sst xmlns="http://schemas.openxmlformats.org/spreadsheetml/2006/main" count="194" uniqueCount="128">
  <si>
    <t>Steers</t>
  </si>
  <si>
    <t>Heifers</t>
  </si>
  <si>
    <t xml:space="preserve">Cows </t>
  </si>
  <si>
    <t>Bulls</t>
  </si>
  <si>
    <t>Steers and Heifers</t>
  </si>
  <si>
    <t>Cows and Bulls</t>
  </si>
  <si>
    <t>Derived</t>
  </si>
  <si>
    <t>Feeder Steers and Heifers</t>
  </si>
  <si>
    <t>Total</t>
  </si>
  <si>
    <t>From USA (fed)</t>
  </si>
  <si>
    <t>Cows</t>
  </si>
  <si>
    <t>Domestic Sl</t>
  </si>
  <si>
    <t>Slaughter Exp.</t>
  </si>
  <si>
    <t>Feeder Exp.</t>
  </si>
  <si>
    <t>From ROW (non fed)</t>
  </si>
  <si>
    <t>Female:Male Ratio</t>
  </si>
  <si>
    <t>Heifer Steer ratio</t>
  </si>
  <si>
    <t>To Mexico</t>
  </si>
  <si>
    <t>Beef Supply and Usage Balance Sheet</t>
  </si>
  <si>
    <t>by C.A.Gracey</t>
  </si>
  <si>
    <t xml:space="preserve">To USA </t>
  </si>
  <si>
    <t>Q1</t>
  </si>
  <si>
    <t>Q2</t>
  </si>
  <si>
    <t>Q3</t>
  </si>
  <si>
    <t>Q4</t>
  </si>
  <si>
    <t>% Steers</t>
  </si>
  <si>
    <t>% Heifers</t>
  </si>
  <si>
    <t>665.5852/52</t>
  </si>
  <si>
    <t>% Cows</t>
  </si>
  <si>
    <t>To ROW( Non Seq)</t>
  </si>
  <si>
    <t>Market Diusposition of Cattle 2011</t>
  </si>
  <si>
    <t>Export Tonnage</t>
  </si>
  <si>
    <t>IMP</t>
  </si>
  <si>
    <t>Metric</t>
  </si>
  <si>
    <t>Human Population  Million</t>
  </si>
  <si>
    <t>Retail Basis</t>
  </si>
  <si>
    <t>Metric Wts and Retail Basis.</t>
  </si>
  <si>
    <t>Total Beef and Live Sl Exports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</si>
  <si>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</si>
  <si>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</si>
  <si>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</si>
  <si>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</si>
  <si>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</si>
  <si>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</si>
  <si>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</si>
  <si>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</si>
  <si>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</si>
  <si>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</si>
  <si>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</si>
  <si>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</si>
  <si>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Estimated Tonnage </t>
  </si>
  <si>
    <t>Domestic Tonnage Retail Basis</t>
  </si>
  <si>
    <t>Disposition of Canadian Beef</t>
  </si>
  <si>
    <t>Actual Production in Canada</t>
  </si>
  <si>
    <t xml:space="preserve">        Fed Beef Domestic Prod</t>
  </si>
  <si>
    <t xml:space="preserve">       of which product exported </t>
  </si>
  <si>
    <t xml:space="preserve">       Non fed Domestic Prod</t>
  </si>
  <si>
    <t xml:space="preserve">       Live cow and Bull exports</t>
  </si>
  <si>
    <t xml:space="preserve">       Feeder exports</t>
  </si>
  <si>
    <t xml:space="preserve">       of which consumed in Canada</t>
  </si>
  <si>
    <t xml:space="preserve">                    To Rest of World</t>
  </si>
  <si>
    <t xml:space="preserve">       Live Fed cattle exports</t>
  </si>
  <si>
    <t>Fed Beef Consumed in Canada</t>
  </si>
  <si>
    <t>Non fed Beef Consumed in Canada</t>
  </si>
  <si>
    <t>Sources of Canadian Beef Consumption 2014</t>
  </si>
  <si>
    <t>Domestic Fed Beef</t>
  </si>
  <si>
    <t>Domestic Non fed beef</t>
  </si>
  <si>
    <t>Offshore imports</t>
  </si>
  <si>
    <t>Imports from USA</t>
  </si>
  <si>
    <t>Day Counter</t>
  </si>
  <si>
    <t>Per Capita</t>
  </si>
  <si>
    <t>Data for Pie Chart</t>
  </si>
  <si>
    <t>%</t>
  </si>
  <si>
    <t>Domestic Slaughter (FI Plants)</t>
  </si>
  <si>
    <t>Total Production (Prod. Capacity)</t>
  </si>
  <si>
    <t xml:space="preserve">                    To Mexico</t>
  </si>
  <si>
    <t xml:space="preserve">                    To USA</t>
  </si>
  <si>
    <t xml:space="preserve">Beef to USA </t>
  </si>
  <si>
    <t>Beef to Mexico</t>
  </si>
  <si>
    <t xml:space="preserve">Total </t>
  </si>
  <si>
    <t xml:space="preserve">      Fed Beef</t>
  </si>
  <si>
    <t xml:space="preserve">      Non Fed Beef</t>
  </si>
  <si>
    <t>Retail Basis Kg</t>
  </si>
  <si>
    <t>Carcass Basis Kg</t>
  </si>
  <si>
    <t>Carcass Basis lb.</t>
  </si>
  <si>
    <t xml:space="preserve">Projected Domestic Consumption </t>
  </si>
  <si>
    <t>Disposition of Cdn Beef 2015 (Approximate)</t>
  </si>
  <si>
    <t>Total Retail Basis</t>
  </si>
  <si>
    <t xml:space="preserve">Projected Consumption </t>
  </si>
  <si>
    <t>Retail weight Basis</t>
  </si>
  <si>
    <t xml:space="preserve"> </t>
  </si>
  <si>
    <t>Total PRODUCTIVE CAPACITY</t>
  </si>
  <si>
    <t>Domestic Slaughter + Slaugher Cattle Exports</t>
  </si>
  <si>
    <t>Total Tonnage MT (Feeders Excluded)</t>
  </si>
  <si>
    <t>Estimated Tonnage from Exported Feeder Cattle</t>
  </si>
  <si>
    <t>Estimated PI Tonnage</t>
  </si>
  <si>
    <t xml:space="preserve">Steers </t>
  </si>
  <si>
    <t xml:space="preserve">Heifers </t>
  </si>
  <si>
    <t>Beef Imports To Dec 31</t>
  </si>
  <si>
    <t xml:space="preserve">Feeder Exports - To Dec 31 </t>
  </si>
  <si>
    <t>Beef Exports - To Dec 31</t>
  </si>
  <si>
    <t>Q 4 2016 Dec 31 FINAL</t>
  </si>
  <si>
    <t>Total Beef Exports</t>
  </si>
  <si>
    <t>With Adjustment for Provincial Plants</t>
  </si>
  <si>
    <t>Live Exported Slaughter Cattle</t>
  </si>
  <si>
    <t>Live Exported Slaughter Cows and Bulls</t>
  </si>
  <si>
    <t>Live Exported Feeder Cattle</t>
  </si>
  <si>
    <t>Beef to Rest of World</t>
  </si>
  <si>
    <t>Projected Year End 2016</t>
  </si>
  <si>
    <t>Head</t>
  </si>
  <si>
    <t>Actual Year End 2015</t>
  </si>
  <si>
    <t xml:space="preserve"> Head</t>
  </si>
  <si>
    <t xml:space="preserve"> % Change</t>
  </si>
  <si>
    <t>Retail</t>
  </si>
  <si>
    <t xml:space="preserve"> % Steers</t>
  </si>
  <si>
    <t xml:space="preserve"> % Heifers</t>
  </si>
  <si>
    <t xml:space="preserve"> H/S Ratio</t>
  </si>
  <si>
    <t>Carcass Wts</t>
  </si>
  <si>
    <t>MT</t>
  </si>
  <si>
    <t>Dec.31 2016</t>
  </si>
  <si>
    <t>Dec.31 2015</t>
  </si>
  <si>
    <t>Live Slaughter Cattle Exports</t>
  </si>
  <si>
    <t xml:space="preserve"> Tonnes</t>
  </si>
  <si>
    <t>Tonnes</t>
  </si>
  <si>
    <t>Available for Domestic Consumption</t>
  </si>
  <si>
    <t xml:space="preserve">Consumed </t>
  </si>
  <si>
    <t xml:space="preserve">     Totals</t>
  </si>
  <si>
    <t>Exported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</si>
</sst>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#,##0.0"/>
    <numFmt numFmtId="168" formatCode="#,##0.000"/>
    <numFmt numFmtId="169" formatCode="#,##0.0000"/>
    <numFmt numFmtId="170" formatCode="0.0000"/>
    <numFmt numFmtId="171" formatCode="0.00000"/>
    <numFmt numFmtId="172" formatCode="[$-1009]mmmm\-dd\-yy"/>
    <numFmt numFmtId="173" formatCode="[$-409]h:mm:ss\ AM/PM"/>
    <numFmt numFmtId="174" formatCode="0.00000000"/>
    <numFmt numFmtId="175" formatCode="0.0000000"/>
    <numFmt numFmtId="176" formatCode="0.000000"/>
    <numFmt numFmtId="177" formatCode="#,##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%"/>
    <numFmt numFmtId="183" formatCode="0.000000000000000%"/>
    <numFmt numFmtId="184" formatCode="0.000000000"/>
    <numFmt numFmtId="185" formatCode="0.0000000000000000%"/>
    <numFmt numFmtId="186" formatCode="0.00000000000000%"/>
    <numFmt numFmtId="187" formatCode="0.00000000000000000%"/>
    <numFmt numFmtId="188" formatCode="0.0000000000"/>
    <numFmt numFmtId="189" formatCode="_(* #,##0.00_);_(* \(#,##0.00\);_(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0"/>
      <color indexed="8"/>
      <name val="Tahoma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9"/>
      <name val="Arial"/>
      <family val="2"/>
    </font>
    <font>
      <sz val="10"/>
      <color indexed="8"/>
      <name val="Calibri"/>
      <family val="0"/>
    </font>
    <font>
      <sz val="32"/>
      <color indexed="8"/>
      <name val="Calibri"/>
      <family val="0"/>
    </font>
    <font>
      <b/>
      <sz val="32"/>
      <color indexed="8"/>
      <name val="Calibri"/>
      <family val="0"/>
    </font>
    <font>
      <sz val="20.25"/>
      <color indexed="8"/>
      <name val="Calibri"/>
      <family val="0"/>
    </font>
    <font>
      <b/>
      <sz val="14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4"/>
      <color theme="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6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6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6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6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6" fillId="11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6" fillId="13" borderId="0" applyNumberFormat="0" applyBorder="0" applyAlignment="0" applyProtection="0"/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6" fillId="15" borderId="0" applyNumberFormat="0" applyBorder="0" applyAlignment="0" applyProtection="0"/>
    <xf numFmtId="0" fontId="38" fillId="14" borderId="0" applyNumberFormat="0" applyBorder="0" applyAlignment="0" applyProtection="0"/>
    <xf numFmtId="0" fontId="38" fillId="16" borderId="0" applyNumberFormat="0" applyBorder="0" applyAlignment="0" applyProtection="0"/>
    <xf numFmtId="0" fontId="6" fillId="17" borderId="0" applyNumberFormat="0" applyBorder="0" applyAlignment="0" applyProtection="0"/>
    <xf numFmtId="0" fontId="38" fillId="16" borderId="0" applyNumberFormat="0" applyBorder="0" applyAlignment="0" applyProtection="0"/>
    <xf numFmtId="0" fontId="38" fillId="18" borderId="0" applyNumberFormat="0" applyBorder="0" applyAlignment="0" applyProtection="0"/>
    <xf numFmtId="0" fontId="6" fillId="19" borderId="0" applyNumberFormat="0" applyBorder="0" applyAlignment="0" applyProtection="0"/>
    <xf numFmtId="0" fontId="38" fillId="18" borderId="0" applyNumberFormat="0" applyBorder="0" applyAlignment="0" applyProtection="0"/>
    <xf numFmtId="0" fontId="38" fillId="20" borderId="0" applyNumberFormat="0" applyBorder="0" applyAlignment="0" applyProtection="0"/>
    <xf numFmtId="0" fontId="6" fillId="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6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6" fillId="23" borderId="0" applyNumberFormat="0" applyBorder="0" applyAlignment="0" applyProtection="0"/>
    <xf numFmtId="0" fontId="38" fillId="22" borderId="0" applyNumberFormat="0" applyBorder="0" applyAlignment="0" applyProtection="0"/>
    <xf numFmtId="0" fontId="39" fillId="24" borderId="0" applyNumberFormat="0" applyBorder="0" applyAlignment="0" applyProtection="0"/>
    <xf numFmtId="0" fontId="7" fillId="25" borderId="0" applyNumberFormat="0" applyBorder="0" applyAlignment="0" applyProtection="0"/>
    <xf numFmtId="0" fontId="39" fillId="24" borderId="0" applyNumberFormat="0" applyBorder="0" applyAlignment="0" applyProtection="0"/>
    <xf numFmtId="0" fontId="39" fillId="26" borderId="0" applyNumberFormat="0" applyBorder="0" applyAlignment="0" applyProtection="0"/>
    <xf numFmtId="0" fontId="7" fillId="17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7" fillId="19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7" fillId="29" borderId="0" applyNumberFormat="0" applyBorder="0" applyAlignment="0" applyProtection="0"/>
    <xf numFmtId="0" fontId="39" fillId="28" borderId="0" applyNumberFormat="0" applyBorder="0" applyAlignment="0" applyProtection="0"/>
    <xf numFmtId="0" fontId="39" fillId="30" borderId="0" applyNumberFormat="0" applyBorder="0" applyAlignment="0" applyProtection="0"/>
    <xf numFmtId="0" fontId="7" fillId="31" borderId="0" applyNumberFormat="0" applyBorder="0" applyAlignment="0" applyProtection="0"/>
    <xf numFmtId="0" fontId="39" fillId="30" borderId="0" applyNumberFormat="0" applyBorder="0" applyAlignment="0" applyProtection="0"/>
    <xf numFmtId="0" fontId="39" fillId="32" borderId="0" applyNumberFormat="0" applyBorder="0" applyAlignment="0" applyProtection="0"/>
    <xf numFmtId="0" fontId="7" fillId="33" borderId="0" applyNumberFormat="0" applyBorder="0" applyAlignment="0" applyProtection="0"/>
    <xf numFmtId="0" fontId="39" fillId="32" borderId="0" applyNumberFormat="0" applyBorder="0" applyAlignment="0" applyProtection="0"/>
    <xf numFmtId="0" fontId="39" fillId="34" borderId="0" applyNumberFormat="0" applyBorder="0" applyAlignment="0" applyProtection="0"/>
    <xf numFmtId="0" fontId="7" fillId="35" borderId="0" applyNumberFormat="0" applyBorder="0" applyAlignment="0" applyProtection="0"/>
    <xf numFmtId="0" fontId="39" fillId="34" borderId="0" applyNumberFormat="0" applyBorder="0" applyAlignment="0" applyProtection="0"/>
    <xf numFmtId="0" fontId="39" fillId="36" borderId="0" applyNumberFormat="0" applyBorder="0" applyAlignment="0" applyProtection="0"/>
    <xf numFmtId="0" fontId="7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8" borderId="0" applyNumberFormat="0" applyBorder="0" applyAlignment="0" applyProtection="0"/>
    <xf numFmtId="0" fontId="7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7" fillId="2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7" fillId="3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7" fillId="43" borderId="0" applyNumberFormat="0" applyBorder="0" applyAlignment="0" applyProtection="0"/>
    <xf numFmtId="0" fontId="39" fillId="42" borderId="0" applyNumberFormat="0" applyBorder="0" applyAlignment="0" applyProtection="0"/>
    <xf numFmtId="0" fontId="40" fillId="44" borderId="0" applyNumberFormat="0" applyBorder="0" applyAlignment="0" applyProtection="0"/>
    <xf numFmtId="0" fontId="8" fillId="5" borderId="0" applyNumberFormat="0" applyBorder="0" applyAlignment="0" applyProtection="0"/>
    <xf numFmtId="0" fontId="40" fillId="44" borderId="0" applyNumberFormat="0" applyBorder="0" applyAlignment="0" applyProtection="0"/>
    <xf numFmtId="0" fontId="41" fillId="45" borderId="1" applyNumberFormat="0" applyAlignment="0" applyProtection="0"/>
    <xf numFmtId="0" fontId="9" fillId="46" borderId="2" applyNumberFormat="0" applyAlignment="0" applyProtection="0"/>
    <xf numFmtId="0" fontId="41" fillId="45" borderId="1" applyNumberFormat="0" applyAlignment="0" applyProtection="0"/>
    <xf numFmtId="0" fontId="42" fillId="47" borderId="3" applyNumberFormat="0" applyAlignment="0" applyProtection="0"/>
    <xf numFmtId="0" fontId="10" fillId="48" borderId="4" applyNumberFormat="0" applyAlignment="0" applyProtection="0"/>
    <xf numFmtId="0" fontId="42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2" fillId="7" borderId="0" applyNumberFormat="0" applyBorder="0" applyAlignment="0" applyProtection="0"/>
    <xf numFmtId="0" fontId="44" fillId="49" borderId="0" applyNumberFormat="0" applyBorder="0" applyAlignment="0" applyProtection="0"/>
    <xf numFmtId="0" fontId="45" fillId="0" borderId="5" applyNumberFormat="0" applyFill="0" applyAlignment="0" applyProtection="0"/>
    <xf numFmtId="0" fontId="13" fillId="0" borderId="6" applyNumberFormat="0" applyFill="0" applyAlignment="0" applyProtection="0"/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14" fillId="0" borderId="8" applyNumberFormat="0" applyFill="0" applyAlignment="0" applyProtection="0"/>
    <xf numFmtId="0" fontId="46" fillId="0" borderId="7" applyNumberFormat="0" applyFill="0" applyAlignment="0" applyProtection="0"/>
    <xf numFmtId="0" fontId="47" fillId="0" borderId="9" applyNumberFormat="0" applyFill="0" applyAlignment="0" applyProtection="0"/>
    <xf numFmtId="0" fontId="15" fillId="0" borderId="10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50" borderId="1" applyNumberFormat="0" applyAlignment="0" applyProtection="0"/>
    <xf numFmtId="0" fontId="16" fillId="13" borderId="2" applyNumberFormat="0" applyAlignment="0" applyProtection="0"/>
    <xf numFmtId="0" fontId="48" fillId="50" borderId="1" applyNumberFormat="0" applyAlignment="0" applyProtection="0"/>
    <xf numFmtId="0" fontId="49" fillId="0" borderId="11" applyNumberFormat="0" applyFill="0" applyAlignment="0" applyProtection="0"/>
    <xf numFmtId="0" fontId="17" fillId="0" borderId="12" applyNumberFormat="0" applyFill="0" applyAlignment="0" applyProtection="0"/>
    <xf numFmtId="0" fontId="49" fillId="0" borderId="11" applyNumberFormat="0" applyFill="0" applyAlignment="0" applyProtection="0"/>
    <xf numFmtId="0" fontId="50" fillId="51" borderId="0" applyNumberFormat="0" applyBorder="0" applyAlignment="0" applyProtection="0"/>
    <xf numFmtId="0" fontId="18" fillId="52" borderId="0" applyNumberFormat="0" applyBorder="0" applyAlignment="0" applyProtection="0"/>
    <xf numFmtId="0" fontId="5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8" fillId="53" borderId="13" applyNumberFormat="0" applyFont="0" applyAlignment="0" applyProtection="0"/>
    <xf numFmtId="0" fontId="52" fillId="45" borderId="15" applyNumberFormat="0" applyAlignment="0" applyProtection="0"/>
    <xf numFmtId="0" fontId="19" fillId="46" borderId="16" applyNumberFormat="0" applyAlignment="0" applyProtection="0"/>
    <xf numFmtId="0" fontId="52" fillId="45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1" fillId="0" borderId="18" applyNumberFormat="0" applyFill="0" applyAlignment="0" applyProtection="0"/>
    <xf numFmtId="0" fontId="54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55" borderId="0" xfId="0" applyFill="1" applyAlignment="1">
      <alignment/>
    </xf>
    <xf numFmtId="3" fontId="0" fillId="55" borderId="0" xfId="0" applyNumberFormat="1" applyFont="1" applyFill="1" applyAlignment="1">
      <alignment/>
    </xf>
    <xf numFmtId="1" fontId="0" fillId="55" borderId="0" xfId="0" applyNumberFormat="1" applyFill="1" applyAlignment="1">
      <alignment/>
    </xf>
    <xf numFmtId="3" fontId="0" fillId="55" borderId="0" xfId="0" applyNumberFormat="1" applyFill="1" applyAlignment="1">
      <alignment/>
    </xf>
    <xf numFmtId="177" fontId="0" fillId="0" borderId="0" xfId="0" applyNumberFormat="1" applyAlignment="1">
      <alignment/>
    </xf>
    <xf numFmtId="1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0" fontId="0" fillId="0" borderId="0" xfId="0" applyNumberFormat="1" applyAlignment="1">
      <alignment vertical="top" wrapText="1"/>
    </xf>
    <xf numFmtId="1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0" fontId="1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56" borderId="0" xfId="0" applyFill="1" applyAlignment="1">
      <alignment/>
    </xf>
    <xf numFmtId="164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9" fontId="0" fillId="0" borderId="0" xfId="298" applyFont="1" applyAlignment="1">
      <alignment/>
    </xf>
    <xf numFmtId="166" fontId="0" fillId="0" borderId="0" xfId="298" applyNumberFormat="1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82" fontId="0" fillId="0" borderId="0" xfId="0" applyNumberFormat="1" applyAlignment="1">
      <alignment/>
    </xf>
    <xf numFmtId="0" fontId="57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9" fontId="0" fillId="0" borderId="0" xfId="0" applyNumberFormat="1" applyFont="1" applyFill="1" applyAlignment="1">
      <alignment/>
    </xf>
    <xf numFmtId="9" fontId="0" fillId="0" borderId="0" xfId="298" applyFont="1" applyFill="1" applyAlignment="1">
      <alignment/>
    </xf>
    <xf numFmtId="9" fontId="0" fillId="0" borderId="0" xfId="298" applyFont="1" applyFill="1" applyAlignment="1">
      <alignment/>
    </xf>
    <xf numFmtId="10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1" fillId="0" borderId="0" xfId="0" applyFont="1" applyAlignment="1">
      <alignment/>
    </xf>
    <xf numFmtId="166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" fontId="0" fillId="0" borderId="0" xfId="298" applyNumberFormat="1" applyFont="1" applyFill="1" applyAlignment="1">
      <alignment/>
    </xf>
    <xf numFmtId="4" fontId="2" fillId="57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10" fontId="23" fillId="0" borderId="0" xfId="298" applyNumberFormat="1" applyFont="1" applyAlignment="1">
      <alignment/>
    </xf>
    <xf numFmtId="0" fontId="2" fillId="55" borderId="0" xfId="0" applyFont="1" applyFill="1" applyAlignment="1">
      <alignment/>
    </xf>
    <xf numFmtId="0" fontId="23" fillId="55" borderId="0" xfId="0" applyFont="1" applyFill="1" applyAlignment="1">
      <alignment/>
    </xf>
    <xf numFmtId="3" fontId="23" fillId="55" borderId="0" xfId="0" applyNumberFormat="1" applyFont="1" applyFill="1" applyAlignment="1">
      <alignment/>
    </xf>
    <xf numFmtId="166" fontId="23" fillId="55" borderId="0" xfId="0" applyNumberFormat="1" applyFont="1" applyFill="1" applyAlignment="1">
      <alignment/>
    </xf>
    <xf numFmtId="3" fontId="2" fillId="55" borderId="0" xfId="0" applyNumberFormat="1" applyFont="1" applyFill="1" applyAlignment="1">
      <alignment/>
    </xf>
    <xf numFmtId="166" fontId="23" fillId="55" borderId="0" xfId="298" applyNumberFormat="1" applyFont="1" applyFill="1" applyAlignment="1">
      <alignment/>
    </xf>
    <xf numFmtId="164" fontId="23" fillId="55" borderId="0" xfId="0" applyNumberFormat="1" applyFont="1" applyFill="1" applyAlignment="1">
      <alignment/>
    </xf>
    <xf numFmtId="4" fontId="23" fillId="55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164" fontId="23" fillId="0" borderId="0" xfId="0" applyNumberFormat="1" applyFont="1" applyFill="1" applyAlignment="1">
      <alignment/>
    </xf>
    <xf numFmtId="0" fontId="2" fillId="58" borderId="0" xfId="0" applyFont="1" applyFill="1" applyAlignment="1">
      <alignment/>
    </xf>
    <xf numFmtId="0" fontId="23" fillId="58" borderId="0" xfId="0" applyFont="1" applyFill="1" applyAlignment="1">
      <alignment/>
    </xf>
    <xf numFmtId="1" fontId="23" fillId="58" borderId="0" xfId="0" applyNumberFormat="1" applyFont="1" applyFill="1" applyAlignment="1">
      <alignment/>
    </xf>
    <xf numFmtId="3" fontId="23" fillId="58" borderId="0" xfId="0" applyNumberFormat="1" applyFont="1" applyFill="1" applyAlignment="1">
      <alignment/>
    </xf>
    <xf numFmtId="170" fontId="23" fillId="58" borderId="0" xfId="0" applyNumberFormat="1" applyFont="1" applyFill="1" applyAlignment="1">
      <alignment/>
    </xf>
    <xf numFmtId="166" fontId="23" fillId="58" borderId="0" xfId="298" applyNumberFormat="1" applyFont="1" applyFill="1" applyAlignment="1">
      <alignment/>
    </xf>
    <xf numFmtId="9" fontId="23" fillId="0" borderId="0" xfId="298" applyFont="1" applyFill="1" applyAlignment="1">
      <alignment/>
    </xf>
    <xf numFmtId="0" fontId="2" fillId="57" borderId="0" xfId="0" applyFont="1" applyFill="1" applyAlignment="1">
      <alignment/>
    </xf>
    <xf numFmtId="4" fontId="23" fillId="57" borderId="0" xfId="0" applyNumberFormat="1" applyFont="1" applyFill="1" applyAlignment="1">
      <alignment/>
    </xf>
    <xf numFmtId="0" fontId="23" fillId="57" borderId="0" xfId="0" applyFont="1" applyFill="1" applyAlignment="1">
      <alignment/>
    </xf>
    <xf numFmtId="3" fontId="23" fillId="57" borderId="0" xfId="0" applyNumberFormat="1" applyFont="1" applyFill="1" applyAlignment="1">
      <alignment/>
    </xf>
    <xf numFmtId="164" fontId="23" fillId="57" borderId="0" xfId="0" applyNumberFormat="1" applyFont="1" applyFill="1" applyAlignment="1">
      <alignment/>
    </xf>
    <xf numFmtId="0" fontId="23" fillId="56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164" fontId="23" fillId="58" borderId="0" xfId="0" applyNumberFormat="1" applyFont="1" applyFill="1" applyAlignment="1">
      <alignment/>
    </xf>
    <xf numFmtId="0" fontId="2" fillId="58" borderId="0" xfId="0" applyFont="1" applyFill="1" applyAlignment="1">
      <alignment wrapText="1"/>
    </xf>
    <xf numFmtId="3" fontId="23" fillId="58" borderId="0" xfId="164" applyNumberFormat="1" applyFont="1" applyFill="1">
      <alignment/>
      <protection/>
    </xf>
    <xf numFmtId="0" fontId="23" fillId="58" borderId="0" xfId="164" applyFont="1" applyFill="1">
      <alignment/>
      <protection/>
    </xf>
    <xf numFmtId="166" fontId="23" fillId="0" borderId="0" xfId="0" applyNumberFormat="1" applyFont="1" applyFill="1" applyAlignment="1">
      <alignment/>
    </xf>
    <xf numFmtId="3" fontId="58" fillId="58" borderId="0" xfId="0" applyNumberFormat="1" applyFont="1" applyFill="1" applyAlignment="1">
      <alignment/>
    </xf>
    <xf numFmtId="3" fontId="58" fillId="58" borderId="0" xfId="164" applyNumberFormat="1" applyFont="1" applyFill="1">
      <alignment/>
      <protection/>
    </xf>
    <xf numFmtId="168" fontId="23" fillId="58" borderId="0" xfId="0" applyNumberFormat="1" applyFont="1" applyFill="1" applyAlignment="1">
      <alignment/>
    </xf>
    <xf numFmtId="168" fontId="23" fillId="58" borderId="0" xfId="164" applyNumberFormat="1" applyFont="1" applyFill="1">
      <alignment/>
      <protection/>
    </xf>
    <xf numFmtId="2" fontId="58" fillId="58" borderId="0" xfId="0" applyNumberFormat="1" applyFont="1" applyFill="1" applyAlignment="1">
      <alignment/>
    </xf>
    <xf numFmtId="2" fontId="23" fillId="58" borderId="0" xfId="164" applyNumberFormat="1" applyFont="1" applyFill="1">
      <alignment/>
      <protection/>
    </xf>
    <xf numFmtId="0" fontId="23" fillId="0" borderId="0" xfId="164" applyFont="1">
      <alignment/>
      <protection/>
    </xf>
    <xf numFmtId="9" fontId="23" fillId="0" borderId="0" xfId="0" applyNumberFormat="1" applyFont="1" applyFill="1" applyAlignment="1">
      <alignment/>
    </xf>
    <xf numFmtId="9" fontId="23" fillId="58" borderId="0" xfId="298" applyFont="1" applyFill="1" applyAlignment="1">
      <alignment/>
    </xf>
    <xf numFmtId="0" fontId="2" fillId="58" borderId="0" xfId="164" applyFont="1" applyFill="1">
      <alignment/>
      <protection/>
    </xf>
    <xf numFmtId="10" fontId="23" fillId="58" borderId="0" xfId="298" applyNumberFormat="1" applyFont="1" applyFill="1" applyAlignment="1">
      <alignment/>
    </xf>
    <xf numFmtId="3" fontId="23" fillId="59" borderId="0" xfId="0" applyNumberFormat="1" applyFont="1" applyFill="1" applyAlignment="1">
      <alignment/>
    </xf>
    <xf numFmtId="0" fontId="23" fillId="59" borderId="0" xfId="0" applyFont="1" applyFill="1" applyAlignment="1">
      <alignment/>
    </xf>
    <xf numFmtId="0" fontId="2" fillId="59" borderId="0" xfId="0" applyFont="1" applyFill="1" applyAlignment="1">
      <alignment/>
    </xf>
    <xf numFmtId="168" fontId="23" fillId="55" borderId="0" xfId="0" applyNumberFormat="1" applyFont="1" applyFill="1" applyAlignment="1">
      <alignment/>
    </xf>
    <xf numFmtId="0" fontId="23" fillId="0" borderId="0" xfId="0" applyFont="1" applyAlignment="1">
      <alignment wrapText="1"/>
    </xf>
    <xf numFmtId="0" fontId="59" fillId="60" borderId="0" xfId="0" applyFont="1" applyFill="1" applyAlignment="1">
      <alignment/>
    </xf>
    <xf numFmtId="0" fontId="23" fillId="55" borderId="0" xfId="0" applyFont="1" applyFill="1" applyAlignment="1">
      <alignment horizontal="center"/>
    </xf>
    <xf numFmtId="0" fontId="2" fillId="0" borderId="0" xfId="0" applyFont="1" applyAlignment="1">
      <alignment/>
    </xf>
    <xf numFmtId="0" fontId="23" fillId="58" borderId="0" xfId="0" applyFont="1" applyFill="1" applyAlignment="1">
      <alignment horizontal="center"/>
    </xf>
    <xf numFmtId="3" fontId="23" fillId="58" borderId="0" xfId="0" applyNumberFormat="1" applyFont="1" applyFill="1" applyAlignment="1">
      <alignment horizontal="center"/>
    </xf>
    <xf numFmtId="165" fontId="2" fillId="58" borderId="0" xfId="0" applyNumberFormat="1" applyFont="1" applyFill="1" applyAlignment="1">
      <alignment/>
    </xf>
    <xf numFmtId="0" fontId="2" fillId="58" borderId="0" xfId="0" applyFont="1" applyFill="1" applyAlignment="1">
      <alignment horizontal="center"/>
    </xf>
    <xf numFmtId="0" fontId="24" fillId="55" borderId="0" xfId="0" applyFont="1" applyFill="1" applyAlignment="1">
      <alignment/>
    </xf>
    <xf numFmtId="0" fontId="2" fillId="58" borderId="0" xfId="0" applyFont="1" applyFill="1" applyAlignment="1">
      <alignment horizontal="left"/>
    </xf>
    <xf numFmtId="0" fontId="23" fillId="61" borderId="0" xfId="0" applyFont="1" applyFill="1" applyAlignment="1">
      <alignment/>
    </xf>
    <xf numFmtId="3" fontId="23" fillId="61" borderId="0" xfId="0" applyNumberFormat="1" applyFont="1" applyFill="1" applyAlignment="1">
      <alignment/>
    </xf>
    <xf numFmtId="1" fontId="23" fillId="0" borderId="0" xfId="0" applyNumberFormat="1" applyFont="1" applyFill="1" applyAlignment="1">
      <alignment/>
    </xf>
    <xf numFmtId="0" fontId="2" fillId="55" borderId="0" xfId="0" applyFont="1" applyFill="1" applyAlignment="1">
      <alignment horizontal="center"/>
    </xf>
    <xf numFmtId="166" fontId="23" fillId="55" borderId="0" xfId="0" applyNumberFormat="1" applyFont="1" applyFill="1" applyAlignment="1">
      <alignment horizontal="center"/>
    </xf>
    <xf numFmtId="4" fontId="23" fillId="55" borderId="0" xfId="0" applyNumberFormat="1" applyFont="1" applyFill="1" applyAlignment="1">
      <alignment horizontal="center"/>
    </xf>
    <xf numFmtId="166" fontId="23" fillId="55" borderId="0" xfId="0" applyNumberFormat="1" applyFont="1" applyFill="1" applyAlignment="1">
      <alignment horizontal="right"/>
    </xf>
    <xf numFmtId="3" fontId="2" fillId="58" borderId="0" xfId="0" applyNumberFormat="1" applyFont="1" applyFill="1" applyAlignment="1">
      <alignment horizontal="center"/>
    </xf>
    <xf numFmtId="3" fontId="2" fillId="58" borderId="0" xfId="164" applyNumberFormat="1" applyFont="1" applyFill="1" applyAlignment="1">
      <alignment horizontal="center"/>
      <protection/>
    </xf>
    <xf numFmtId="166" fontId="23" fillId="0" borderId="0" xfId="298" applyNumberFormat="1" applyFont="1" applyFill="1" applyAlignment="1">
      <alignment/>
    </xf>
    <xf numFmtId="3" fontId="23" fillId="58" borderId="0" xfId="135" applyNumberFormat="1" applyFont="1" applyFill="1" applyAlignment="1">
      <alignment horizontal="center"/>
      <protection/>
    </xf>
    <xf numFmtId="3" fontId="23" fillId="58" borderId="0" xfId="164" applyNumberFormat="1" applyFont="1" applyFill="1" applyAlignment="1">
      <alignment horizontal="center"/>
      <protection/>
    </xf>
    <xf numFmtId="0" fontId="24" fillId="58" borderId="0" xfId="0" applyFont="1" applyFill="1" applyAlignment="1">
      <alignment/>
    </xf>
    <xf numFmtId="3" fontId="24" fillId="58" borderId="0" xfId="0" applyNumberFormat="1" applyFont="1" applyFill="1" applyAlignment="1">
      <alignment/>
    </xf>
    <xf numFmtId="1" fontId="24" fillId="58" borderId="0" xfId="0" applyNumberFormat="1" applyFont="1" applyFill="1" applyAlignment="1">
      <alignment/>
    </xf>
    <xf numFmtId="3" fontId="24" fillId="58" borderId="0" xfId="0" applyNumberFormat="1" applyFont="1" applyFill="1" applyAlignment="1">
      <alignment horizontal="center"/>
    </xf>
    <xf numFmtId="3" fontId="24" fillId="58" borderId="0" xfId="164" applyNumberFormat="1" applyFont="1" applyFill="1" applyAlignment="1">
      <alignment horizontal="center"/>
      <protection/>
    </xf>
    <xf numFmtId="166" fontId="24" fillId="58" borderId="0" xfId="298" applyNumberFormat="1" applyFont="1" applyFill="1" applyAlignment="1">
      <alignment/>
    </xf>
    <xf numFmtId="3" fontId="24" fillId="55" borderId="0" xfId="0" applyNumberFormat="1" applyFont="1" applyFill="1" applyAlignment="1">
      <alignment horizontal="center"/>
    </xf>
    <xf numFmtId="164" fontId="24" fillId="55" borderId="0" xfId="0" applyNumberFormat="1" applyFont="1" applyFill="1" applyAlignment="1">
      <alignment horizontal="center"/>
    </xf>
    <xf numFmtId="0" fontId="24" fillId="55" borderId="0" xfId="0" applyFont="1" applyFill="1" applyAlignment="1">
      <alignment horizontal="center"/>
    </xf>
    <xf numFmtId="166" fontId="24" fillId="55" borderId="0" xfId="298" applyNumberFormat="1" applyFont="1" applyFill="1" applyAlignment="1">
      <alignment horizontal="center"/>
    </xf>
    <xf numFmtId="1" fontId="23" fillId="58" borderId="0" xfId="0" applyNumberFormat="1" applyFont="1" applyFill="1" applyAlignment="1">
      <alignment horizontal="center"/>
    </xf>
    <xf numFmtId="0" fontId="2" fillId="57" borderId="0" xfId="0" applyFont="1" applyFill="1" applyAlignment="1">
      <alignment horizontal="center"/>
    </xf>
    <xf numFmtId="9" fontId="23" fillId="57" borderId="0" xfId="298" applyFont="1" applyFill="1" applyAlignment="1">
      <alignment/>
    </xf>
    <xf numFmtId="3" fontId="23" fillId="57" borderId="0" xfId="0" applyNumberFormat="1" applyFont="1" applyFill="1" applyAlignment="1">
      <alignment horizontal="center"/>
    </xf>
    <xf numFmtId="164" fontId="23" fillId="57" borderId="0" xfId="0" applyNumberFormat="1" applyFont="1" applyFill="1" applyAlignment="1">
      <alignment horizontal="center"/>
    </xf>
    <xf numFmtId="0" fontId="23" fillId="57" borderId="0" xfId="0" applyFont="1" applyFill="1" applyAlignment="1">
      <alignment horizontal="center"/>
    </xf>
    <xf numFmtId="166" fontId="23" fillId="57" borderId="0" xfId="298" applyNumberFormat="1" applyFont="1" applyFill="1" applyAlignment="1">
      <alignment horizontal="center"/>
    </xf>
    <xf numFmtId="3" fontId="2" fillId="57" borderId="0" xfId="0" applyNumberFormat="1" applyFont="1" applyFill="1" applyAlignment="1">
      <alignment horizontal="center"/>
    </xf>
    <xf numFmtId="165" fontId="2" fillId="58" borderId="0" xfId="0" applyNumberFormat="1" applyFont="1" applyFill="1" applyAlignment="1">
      <alignment horizontal="left"/>
    </xf>
    <xf numFmtId="0" fontId="0" fillId="57" borderId="0" xfId="0" applyFill="1" applyAlignment="1">
      <alignment/>
    </xf>
    <xf numFmtId="0" fontId="2" fillId="58" borderId="0" xfId="0" applyFont="1" applyFill="1" applyAlignment="1">
      <alignment horizontal="center" wrapText="1"/>
    </xf>
    <xf numFmtId="0" fontId="24" fillId="57" borderId="0" xfId="0" applyFont="1" applyFill="1" applyAlignment="1">
      <alignment/>
    </xf>
    <xf numFmtId="3" fontId="24" fillId="57" borderId="0" xfId="0" applyNumberFormat="1" applyFont="1" applyFill="1" applyAlignment="1">
      <alignment horizontal="center"/>
    </xf>
    <xf numFmtId="164" fontId="24" fillId="57" borderId="0" xfId="0" applyNumberFormat="1" applyFont="1" applyFill="1" applyAlignment="1">
      <alignment/>
    </xf>
    <xf numFmtId="166" fontId="24" fillId="57" borderId="0" xfId="298" applyNumberFormat="1" applyFont="1" applyFill="1" applyAlignment="1">
      <alignment horizontal="center"/>
    </xf>
    <xf numFmtId="164" fontId="24" fillId="57" borderId="0" xfId="0" applyNumberFormat="1" applyFont="1" applyFill="1" applyAlignment="1">
      <alignment horizontal="center"/>
    </xf>
    <xf numFmtId="166" fontId="23" fillId="58" borderId="0" xfId="0" applyNumberFormat="1" applyFont="1" applyFill="1" applyAlignment="1">
      <alignment/>
    </xf>
    <xf numFmtId="9" fontId="23" fillId="58" borderId="0" xfId="0" applyNumberFormat="1" applyFont="1" applyFill="1" applyAlignment="1">
      <alignment/>
    </xf>
    <xf numFmtId="0" fontId="2" fillId="57" borderId="0" xfId="0" applyFont="1" applyFill="1" applyAlignment="1">
      <alignment horizontal="center" wrapText="1"/>
    </xf>
    <xf numFmtId="0" fontId="24" fillId="58" borderId="0" xfId="164" applyFont="1" applyFill="1">
      <alignment/>
      <protection/>
    </xf>
    <xf numFmtId="164" fontId="24" fillId="58" borderId="0" xfId="0" applyNumberFormat="1" applyFont="1" applyFill="1" applyAlignment="1">
      <alignment/>
    </xf>
    <xf numFmtId="0" fontId="0" fillId="58" borderId="0" xfId="0" applyFill="1" applyAlignment="1">
      <alignment/>
    </xf>
    <xf numFmtId="10" fontId="23" fillId="0" borderId="0" xfId="298" applyNumberFormat="1" applyFont="1" applyFill="1" applyAlignment="1">
      <alignment/>
    </xf>
    <xf numFmtId="0" fontId="2" fillId="0" borderId="0" xfId="0" applyFont="1" applyFill="1" applyAlignment="1">
      <alignment/>
    </xf>
    <xf numFmtId="17" fontId="2" fillId="0" borderId="0" xfId="0" applyNumberFormat="1" applyFont="1" applyFill="1" applyAlignment="1">
      <alignment/>
    </xf>
    <xf numFmtId="168" fontId="23" fillId="58" borderId="0" xfId="0" applyNumberFormat="1" applyFont="1" applyFill="1" applyAlignment="1">
      <alignment horizontal="center"/>
    </xf>
    <xf numFmtId="2" fontId="23" fillId="58" borderId="0" xfId="0" applyNumberFormat="1" applyFont="1" applyFill="1" applyAlignment="1">
      <alignment horizontal="center"/>
    </xf>
    <xf numFmtId="166" fontId="23" fillId="58" borderId="0" xfId="298" applyNumberFormat="1" applyFont="1" applyFill="1" applyAlignment="1">
      <alignment horizontal="center"/>
    </xf>
    <xf numFmtId="166" fontId="23" fillId="58" borderId="0" xfId="0" applyNumberFormat="1" applyFont="1" applyFill="1" applyAlignment="1">
      <alignment horizontal="center"/>
    </xf>
    <xf numFmtId="164" fontId="23" fillId="58" borderId="0" xfId="0" applyNumberFormat="1" applyFont="1" applyFill="1" applyAlignment="1">
      <alignment horizontal="center"/>
    </xf>
    <xf numFmtId="3" fontId="23" fillId="59" borderId="0" xfId="0" applyNumberFormat="1" applyFont="1" applyFill="1" applyAlignment="1">
      <alignment horizontal="center"/>
    </xf>
    <xf numFmtId="3" fontId="2" fillId="59" borderId="0" xfId="0" applyNumberFormat="1" applyFont="1" applyFill="1" applyAlignment="1">
      <alignment horizontal="center"/>
    </xf>
    <xf numFmtId="166" fontId="23" fillId="59" borderId="0" xfId="0" applyNumberFormat="1" applyFont="1" applyFill="1" applyAlignment="1">
      <alignment horizontal="center"/>
    </xf>
    <xf numFmtId="0" fontId="23" fillId="59" borderId="0" xfId="0" applyFont="1" applyFill="1" applyAlignment="1">
      <alignment horizontal="center"/>
    </xf>
    <xf numFmtId="166" fontId="23" fillId="59" borderId="0" xfId="298" applyNumberFormat="1" applyFont="1" applyFill="1" applyAlignment="1">
      <alignment horizontal="center"/>
    </xf>
    <xf numFmtId="3" fontId="23" fillId="55" borderId="0" xfId="0" applyNumberFormat="1" applyFont="1" applyFill="1" applyAlignment="1">
      <alignment horizontal="center"/>
    </xf>
    <xf numFmtId="3" fontId="2" fillId="55" borderId="0" xfId="0" applyNumberFormat="1" applyFont="1" applyFill="1" applyAlignment="1">
      <alignment horizontal="center"/>
    </xf>
    <xf numFmtId="0" fontId="2" fillId="57" borderId="0" xfId="0" applyFont="1" applyFill="1" applyAlignment="1">
      <alignment horizontal="left"/>
    </xf>
    <xf numFmtId="167" fontId="24" fillId="57" borderId="0" xfId="0" applyNumberFormat="1" applyFont="1" applyFill="1" applyAlignment="1">
      <alignment/>
    </xf>
    <xf numFmtId="166" fontId="0" fillId="55" borderId="0" xfId="0" applyNumberFormat="1" applyFill="1" applyAlignment="1">
      <alignment horizontal="center"/>
    </xf>
    <xf numFmtId="169" fontId="23" fillId="55" borderId="0" xfId="0" applyNumberFormat="1" applyFont="1" applyFill="1" applyAlignment="1">
      <alignment horizontal="center"/>
    </xf>
    <xf numFmtId="10" fontId="23" fillId="55" borderId="0" xfId="0" applyNumberFormat="1" applyFont="1" applyFill="1" applyAlignment="1">
      <alignment horizontal="center"/>
    </xf>
    <xf numFmtId="166" fontId="25" fillId="55" borderId="0" xfId="0" applyNumberFormat="1" applyFont="1" applyFill="1" applyAlignment="1">
      <alignment horizontal="center"/>
    </xf>
    <xf numFmtId="0" fontId="2" fillId="61" borderId="0" xfId="0" applyFont="1" applyFill="1" applyAlignment="1">
      <alignment/>
    </xf>
    <xf numFmtId="167" fontId="23" fillId="61" borderId="0" xfId="0" applyNumberFormat="1" applyFont="1" applyFill="1" applyAlignment="1">
      <alignment/>
    </xf>
    <xf numFmtId="166" fontId="23" fillId="61" borderId="0" xfId="0" applyNumberFormat="1" applyFont="1" applyFill="1" applyAlignment="1">
      <alignment/>
    </xf>
    <xf numFmtId="164" fontId="23" fillId="61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4" fontId="2" fillId="57" borderId="0" xfId="0" applyNumberFormat="1" applyFont="1" applyFill="1" applyAlignment="1">
      <alignment horizontal="center" wrapText="1"/>
    </xf>
    <xf numFmtId="0" fontId="2" fillId="57" borderId="0" xfId="0" applyFont="1" applyFill="1" applyAlignment="1">
      <alignment horizontal="center" wrapText="1"/>
    </xf>
  </cellXfs>
  <cellStyles count="30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 2" xfId="98"/>
    <cellStyle name="Comma 3 2" xfId="99"/>
    <cellStyle name="Comma 4 2" xfId="100"/>
    <cellStyle name="Comma 5 2" xfId="101"/>
    <cellStyle name="Comma 6" xfId="102"/>
    <cellStyle name="Currency" xfId="103"/>
    <cellStyle name="Currency [0]" xfId="104"/>
    <cellStyle name="Explanatory Text" xfId="105"/>
    <cellStyle name="Explanatory Text 2" xfId="106"/>
    <cellStyle name="Explanatory Text 3" xfId="107"/>
    <cellStyle name="Followed Hyperlink" xfId="108"/>
    <cellStyle name="Good" xfId="109"/>
    <cellStyle name="Good 2" xfId="110"/>
    <cellStyle name="Good 3" xfId="111"/>
    <cellStyle name="Heading 1" xfId="112"/>
    <cellStyle name="Heading 1 2" xfId="113"/>
    <cellStyle name="Heading 1 3" xfId="114"/>
    <cellStyle name="Heading 2" xfId="115"/>
    <cellStyle name="Heading 2 2" xfId="116"/>
    <cellStyle name="Heading 2 3" xfId="117"/>
    <cellStyle name="Heading 3" xfId="118"/>
    <cellStyle name="Heading 3 2" xfId="119"/>
    <cellStyle name="Heading 3 3" xfId="120"/>
    <cellStyle name="Heading 4" xfId="121"/>
    <cellStyle name="Heading 4 2" xfId="122"/>
    <cellStyle name="Heading 4 3" xfId="123"/>
    <cellStyle name="Hyperlink" xfId="124"/>
    <cellStyle name="Input" xfId="125"/>
    <cellStyle name="Input 2" xfId="126"/>
    <cellStyle name="Input 3" xfId="127"/>
    <cellStyle name="Linked Cell" xfId="128"/>
    <cellStyle name="Linked Cell 2" xfId="129"/>
    <cellStyle name="Linked Cell 3" xfId="130"/>
    <cellStyle name="Neutral" xfId="131"/>
    <cellStyle name="Neutral 2" xfId="132"/>
    <cellStyle name="Neutral 3" xfId="133"/>
    <cellStyle name="Normal 10" xfId="134"/>
    <cellStyle name="Normal 10 2" xfId="135"/>
    <cellStyle name="Normal 10 3" xfId="136"/>
    <cellStyle name="Normal 11" xfId="137"/>
    <cellStyle name="Normal 11 2" xfId="138"/>
    <cellStyle name="Normal 11 3" xfId="139"/>
    <cellStyle name="Normal 12" xfId="140"/>
    <cellStyle name="Normal 12 2" xfId="141"/>
    <cellStyle name="Normal 12 3" xfId="142"/>
    <cellStyle name="Normal 13" xfId="143"/>
    <cellStyle name="Normal 13 2" xfId="144"/>
    <cellStyle name="Normal 13 3" xfId="145"/>
    <cellStyle name="Normal 14" xfId="146"/>
    <cellStyle name="Normal 14 2" xfId="147"/>
    <cellStyle name="Normal 14 3" xfId="148"/>
    <cellStyle name="Normal 15" xfId="149"/>
    <cellStyle name="Normal 15 2" xfId="150"/>
    <cellStyle name="Normal 15 3" xfId="151"/>
    <cellStyle name="Normal 16" xfId="152"/>
    <cellStyle name="Normal 16 2" xfId="153"/>
    <cellStyle name="Normal 16 3" xfId="154"/>
    <cellStyle name="Normal 17" xfId="155"/>
    <cellStyle name="Normal 17 2" xfId="156"/>
    <cellStyle name="Normal 17 3" xfId="157"/>
    <cellStyle name="Normal 18" xfId="158"/>
    <cellStyle name="Normal 18 2" xfId="159"/>
    <cellStyle name="Normal 18 3" xfId="160"/>
    <cellStyle name="Normal 19" xfId="161"/>
    <cellStyle name="Normal 19 2" xfId="162"/>
    <cellStyle name="Normal 19 3" xfId="163"/>
    <cellStyle name="Normal 2" xfId="164"/>
    <cellStyle name="Normal 2 2" xfId="165"/>
    <cellStyle name="Normal 2 2 2" xfId="166"/>
    <cellStyle name="Normal 2 2 3" xfId="167"/>
    <cellStyle name="Normal 2 3" xfId="168"/>
    <cellStyle name="Normal 2 3 2" xfId="169"/>
    <cellStyle name="Normal 2 3 3" xfId="170"/>
    <cellStyle name="Normal 2 4" xfId="171"/>
    <cellStyle name="Normal 2 4 2" xfId="172"/>
    <cellStyle name="Normal 2 4 3" xfId="173"/>
    <cellStyle name="Normal 2 5" xfId="174"/>
    <cellStyle name="Normal 2 5 2" xfId="175"/>
    <cellStyle name="Normal 2 5 3" xfId="176"/>
    <cellStyle name="Normal 2 6" xfId="177"/>
    <cellStyle name="Normal 20" xfId="178"/>
    <cellStyle name="Normal 20 2" xfId="179"/>
    <cellStyle name="Normal 20 3" xfId="180"/>
    <cellStyle name="Normal 21" xfId="181"/>
    <cellStyle name="Normal 21 2" xfId="182"/>
    <cellStyle name="Normal 21 3" xfId="183"/>
    <cellStyle name="Normal 22" xfId="184"/>
    <cellStyle name="Normal 22 2" xfId="185"/>
    <cellStyle name="Normal 22 3" xfId="186"/>
    <cellStyle name="Normal 23" xfId="187"/>
    <cellStyle name="Normal 23 2" xfId="188"/>
    <cellStyle name="Normal 23 3" xfId="189"/>
    <cellStyle name="Normal 24" xfId="190"/>
    <cellStyle name="Normal 24 2" xfId="191"/>
    <cellStyle name="Normal 24 3" xfId="192"/>
    <cellStyle name="Normal 25" xfId="193"/>
    <cellStyle name="Normal 25 2" xfId="194"/>
    <cellStyle name="Normal 25 3" xfId="195"/>
    <cellStyle name="Normal 26" xfId="196"/>
    <cellStyle name="Normal 26 2" xfId="197"/>
    <cellStyle name="Normal 26 3" xfId="198"/>
    <cellStyle name="Normal 27" xfId="199"/>
    <cellStyle name="Normal 27 2" xfId="200"/>
    <cellStyle name="Normal 27 3" xfId="201"/>
    <cellStyle name="Normal 28" xfId="202"/>
    <cellStyle name="Normal 28 2" xfId="203"/>
    <cellStyle name="Normal 28 3" xfId="204"/>
    <cellStyle name="Normal 29 2" xfId="205"/>
    <cellStyle name="Normal 3" xfId="206"/>
    <cellStyle name="Normal 3 2" xfId="207"/>
    <cellStyle name="Normal 3 3" xfId="208"/>
    <cellStyle name="Normal 30" xfId="209"/>
    <cellStyle name="Normal 30 2" xfId="210"/>
    <cellStyle name="Normal 30 3" xfId="211"/>
    <cellStyle name="Normal 31" xfId="212"/>
    <cellStyle name="Normal 31 2" xfId="213"/>
    <cellStyle name="Normal 31 3" xfId="214"/>
    <cellStyle name="Normal 32" xfId="215"/>
    <cellStyle name="Normal 32 2" xfId="216"/>
    <cellStyle name="Normal 32 3" xfId="217"/>
    <cellStyle name="Normal 33" xfId="218"/>
    <cellStyle name="Normal 33 2" xfId="219"/>
    <cellStyle name="Normal 33 3" xfId="220"/>
    <cellStyle name="Normal 34" xfId="221"/>
    <cellStyle name="Normal 34 2" xfId="222"/>
    <cellStyle name="Normal 34 3" xfId="223"/>
    <cellStyle name="Normal 35" xfId="224"/>
    <cellStyle name="Normal 35 2" xfId="225"/>
    <cellStyle name="Normal 35 3" xfId="226"/>
    <cellStyle name="Normal 36" xfId="227"/>
    <cellStyle name="Normal 36 2" xfId="228"/>
    <cellStyle name="Normal 36 3" xfId="229"/>
    <cellStyle name="Normal 37" xfId="230"/>
    <cellStyle name="Normal 37 2" xfId="231"/>
    <cellStyle name="Normal 37 3" xfId="232"/>
    <cellStyle name="Normal 38" xfId="233"/>
    <cellStyle name="Normal 38 2" xfId="234"/>
    <cellStyle name="Normal 38 3" xfId="235"/>
    <cellStyle name="Normal 39" xfId="236"/>
    <cellStyle name="Normal 39 2" xfId="237"/>
    <cellStyle name="Normal 39 3" xfId="238"/>
    <cellStyle name="Normal 4" xfId="239"/>
    <cellStyle name="Normal 4 2" xfId="240"/>
    <cellStyle name="Normal 4 3" xfId="241"/>
    <cellStyle name="Normal 40" xfId="242"/>
    <cellStyle name="Normal 40 2" xfId="243"/>
    <cellStyle name="Normal 40 3" xfId="244"/>
    <cellStyle name="Normal 41" xfId="245"/>
    <cellStyle name="Normal 41 2" xfId="246"/>
    <cellStyle name="Normal 42" xfId="247"/>
    <cellStyle name="Normal 42 2" xfId="248"/>
    <cellStyle name="Normal 43" xfId="249"/>
    <cellStyle name="Normal 43 2" xfId="250"/>
    <cellStyle name="Normal 44" xfId="251"/>
    <cellStyle name="Normal 44 2" xfId="252"/>
    <cellStyle name="Normal 45" xfId="253"/>
    <cellStyle name="Normal 45 2" xfId="254"/>
    <cellStyle name="Normal 46" xfId="255"/>
    <cellStyle name="Normal 46 2" xfId="256"/>
    <cellStyle name="Normal 47" xfId="257"/>
    <cellStyle name="Normal 47 2" xfId="258"/>
    <cellStyle name="Normal 48" xfId="259"/>
    <cellStyle name="Normal 48 2" xfId="260"/>
    <cellStyle name="Normal 49" xfId="261"/>
    <cellStyle name="Normal 49 2" xfId="262"/>
    <cellStyle name="Normal 5" xfId="263"/>
    <cellStyle name="Normal 5 2" xfId="264"/>
    <cellStyle name="Normal 5 3" xfId="265"/>
    <cellStyle name="Normal 50" xfId="266"/>
    <cellStyle name="Normal 50 2" xfId="267"/>
    <cellStyle name="Normal 51" xfId="268"/>
    <cellStyle name="Normal 51 2" xfId="269"/>
    <cellStyle name="Normal 52" xfId="270"/>
    <cellStyle name="Normal 52 2" xfId="271"/>
    <cellStyle name="Normal 53" xfId="272"/>
    <cellStyle name="Normal 53 2" xfId="273"/>
    <cellStyle name="Normal 53 3" xfId="274"/>
    <cellStyle name="Normal 54 2" xfId="275"/>
    <cellStyle name="Normal 55" xfId="276"/>
    <cellStyle name="Normal 55 2" xfId="277"/>
    <cellStyle name="Normal 55 3" xfId="278"/>
    <cellStyle name="Normal 56" xfId="279"/>
    <cellStyle name="Normal 6" xfId="280"/>
    <cellStyle name="Normal 6 2" xfId="281"/>
    <cellStyle name="Normal 6 3" xfId="282"/>
    <cellStyle name="Normal 7 2" xfId="283"/>
    <cellStyle name="Normal 8" xfId="284"/>
    <cellStyle name="Normal 8 2" xfId="285"/>
    <cellStyle name="Normal 8 3" xfId="286"/>
    <cellStyle name="Normal 9" xfId="287"/>
    <cellStyle name="Normal 9 2" xfId="288"/>
    <cellStyle name="Normal 9 3" xfId="289"/>
    <cellStyle name="Note" xfId="290"/>
    <cellStyle name="Note 2" xfId="291"/>
    <cellStyle name="Note 2 2" xfId="292"/>
    <cellStyle name="Note 3" xfId="293"/>
    <cellStyle name="Note 4" xfId="294"/>
    <cellStyle name="Output" xfId="295"/>
    <cellStyle name="Output 2" xfId="296"/>
    <cellStyle name="Output 3" xfId="297"/>
    <cellStyle name="Percent" xfId="298"/>
    <cellStyle name="Percent 2" xfId="299"/>
    <cellStyle name="Percent 2 2" xfId="300"/>
    <cellStyle name="Percent 3" xfId="301"/>
    <cellStyle name="Percent 3 2" xfId="302"/>
    <cellStyle name="Percent 4 2" xfId="303"/>
    <cellStyle name="Percent 5 2" xfId="304"/>
    <cellStyle name="Title" xfId="305"/>
    <cellStyle name="Title 2" xfId="306"/>
    <cellStyle name="Title 3" xfId="307"/>
    <cellStyle name="Total" xfId="308"/>
    <cellStyle name="Total 2" xfId="309"/>
    <cellStyle name="Total 3" xfId="310"/>
    <cellStyle name="Warning Text" xfId="311"/>
    <cellStyle name="Warning Text 2" xfId="312"/>
    <cellStyle name="Warning Text 3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00" b="1" i="0" u="none" baseline="0">
                <a:solidFill>
                  <a:srgbClr val="000000"/>
                </a:solidFill>
              </a:rPr>
              <a:t>Sources of Canadian Beef Consumption (2015)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95"/>
          <c:y val="0.3315"/>
          <c:w val="0.433"/>
          <c:h val="0.59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Data!$A$137:$A$140</c:f>
              <c:strCache>
                <c:ptCount val="4"/>
                <c:pt idx="0">
                  <c:v>Domestic Fed Beef</c:v>
                </c:pt>
                <c:pt idx="1">
                  <c:v>Domestic Non fed beef</c:v>
                </c:pt>
                <c:pt idx="2">
                  <c:v>Offshore imports</c:v>
                </c:pt>
                <c:pt idx="3">
                  <c:v>Imports from USA</c:v>
                </c:pt>
              </c:strCache>
            </c:strRef>
          </c:cat>
          <c:val>
            <c:numRef>
              <c:f>Data!$B$137:$B$140</c:f>
              <c:numCache>
                <c:ptCount val="4"/>
                <c:pt idx="0">
                  <c:v>303059.030794702</c:v>
                </c:pt>
                <c:pt idx="1">
                  <c:v>101482.57483443708</c:v>
                </c:pt>
                <c:pt idx="2">
                  <c:v>64234.00000000001</c:v>
                </c:pt>
                <c:pt idx="3">
                  <c:v>123953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Data!$A$137:$A$140</c:f>
              <c:strCache>
                <c:ptCount val="4"/>
                <c:pt idx="0">
                  <c:v>Domestic Fed Beef</c:v>
                </c:pt>
                <c:pt idx="1">
                  <c:v>Domestic Non fed beef</c:v>
                </c:pt>
                <c:pt idx="2">
                  <c:v>Offshore imports</c:v>
                </c:pt>
                <c:pt idx="3">
                  <c:v>Imports from USA</c:v>
                </c:pt>
              </c:strCache>
            </c:strRef>
          </c:cat>
          <c:val>
            <c:numRef>
              <c:f>Data!$C$137:$C$140</c:f>
              <c:numCache>
                <c:ptCount val="4"/>
                <c:pt idx="0">
                  <c:v>8.418306410963945</c:v>
                </c:pt>
                <c:pt idx="1">
                  <c:v>2.8189604120676965</c:v>
                </c:pt>
                <c:pt idx="2">
                  <c:v>1.784277777777778</c:v>
                </c:pt>
                <c:pt idx="3">
                  <c:v>3.443138888888889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Data!$A$137:$A$140</c:f>
              <c:strCache>
                <c:ptCount val="4"/>
                <c:pt idx="0">
                  <c:v>Domestic Fed Beef</c:v>
                </c:pt>
                <c:pt idx="1">
                  <c:v>Domestic Non fed beef</c:v>
                </c:pt>
                <c:pt idx="2">
                  <c:v>Offshore imports</c:v>
                </c:pt>
                <c:pt idx="3">
                  <c:v>Imports from USA</c:v>
                </c:pt>
              </c:strCache>
            </c:strRef>
          </c:cat>
          <c:val>
            <c:numRef>
              <c:f>Data!$A$135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Data!$A$137:$A$140</c:f>
              <c:strCache>
                <c:ptCount val="4"/>
                <c:pt idx="0">
                  <c:v>Domestic Fed Beef</c:v>
                </c:pt>
                <c:pt idx="1">
                  <c:v>Domestic Non fed beef</c:v>
                </c:pt>
                <c:pt idx="2">
                  <c:v>Offshore imports</c:v>
                </c:pt>
                <c:pt idx="3">
                  <c:v>Imports from USA</c:v>
                </c:pt>
              </c:strCache>
            </c:strRef>
          </c:cat>
          <c:val>
            <c:numRef>
              <c:f>Data!$A$135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Data!$A$137:$A$140</c:f>
              <c:strCache>
                <c:ptCount val="4"/>
                <c:pt idx="0">
                  <c:v>Domestic Fed Beef</c:v>
                </c:pt>
                <c:pt idx="1">
                  <c:v>Domestic Non fed beef</c:v>
                </c:pt>
                <c:pt idx="2">
                  <c:v>Offshore imports</c:v>
                </c:pt>
                <c:pt idx="3">
                  <c:v>Imports from USA</c:v>
                </c:pt>
              </c:strCache>
            </c:strRef>
          </c:cat>
          <c:val>
            <c:numRef>
              <c:f>Data!$A$135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"/>
          <c:y val="0.17575"/>
          <c:w val="0.6722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Projected Distribution of Canadian Beef 2016</a:t>
            </a:r>
          </a:p>
        </c:rich>
      </c:tx>
      <c:layout>
        <c:manualLayout>
          <c:xMode val="factor"/>
          <c:yMode val="factor"/>
          <c:x val="0.0725"/>
          <c:y val="-0.004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975"/>
          <c:y val="0.1805"/>
          <c:w val="0.54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[CATEGORY NAME] [PERCENTAGE]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[CATEGORY NAME] [PERCENTAGE]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Beef to rest of world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[PERCENTAGE]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Data!$A$123:$A$131</c:f>
              <c:strCache>
                <c:ptCount val="9"/>
                <c:pt idx="0">
                  <c:v>Disposition of Cdn Beef 2015 (Approximate)</c:v>
                </c:pt>
                <c:pt idx="1">
                  <c:v>Fed Beef Consumed in Canada</c:v>
                </c:pt>
                <c:pt idx="2">
                  <c:v>Non fed Beef Consumed in Canada</c:v>
                </c:pt>
                <c:pt idx="3">
                  <c:v>Live Exported Slaughter Cattle</c:v>
                </c:pt>
                <c:pt idx="4">
                  <c:v>Live Exported Slaughter Cows and Bulls</c:v>
                </c:pt>
                <c:pt idx="5">
                  <c:v>Live Exported Feeder Cattle</c:v>
                </c:pt>
                <c:pt idx="6">
                  <c:v>Beef to USA </c:v>
                </c:pt>
                <c:pt idx="7">
                  <c:v>Beef to Mexico</c:v>
                </c:pt>
                <c:pt idx="8">
                  <c:v>Beef to Rest of World</c:v>
                </c:pt>
              </c:strCache>
            </c:strRef>
          </c:cat>
          <c:val>
            <c:numRef>
              <c:f>Data!$B$123:$B$131</c:f>
              <c:numCache>
                <c:ptCount val="9"/>
                <c:pt idx="1">
                  <c:v>0.31004988057909294</c:v>
                </c:pt>
                <c:pt idx="2">
                  <c:v>0.10382353604763835</c:v>
                </c:pt>
                <c:pt idx="3">
                  <c:v>0.09529920718402149</c:v>
                </c:pt>
                <c:pt idx="4">
                  <c:v>0.06990950290212432</c:v>
                </c:pt>
                <c:pt idx="5">
                  <c:v>0.053020711920129894</c:v>
                </c:pt>
                <c:pt idx="6">
                  <c:v>0.2760666120254952</c:v>
                </c:pt>
                <c:pt idx="7">
                  <c:v>0.016515380548348918</c:v>
                </c:pt>
                <c:pt idx="8">
                  <c:v>0.07531516879314888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400800"/>
    <xdr:graphicFrame>
      <xdr:nvGraphicFramePr>
        <xdr:cNvPr id="1" name="Chart 1"/>
        <xdr:cNvGraphicFramePr/>
      </xdr:nvGraphicFramePr>
      <xdr:xfrm>
        <a:off x="0" y="0"/>
        <a:ext cx="8763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400800"/>
    <xdr:graphicFrame>
      <xdr:nvGraphicFramePr>
        <xdr:cNvPr id="1" name="Shape 1025"/>
        <xdr:cNvGraphicFramePr/>
      </xdr:nvGraphicFramePr>
      <xdr:xfrm>
        <a:off x="0" y="0"/>
        <a:ext cx="8763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J145"/>
  <sheetViews>
    <sheetView tabSelected="1" zoomScale="104" zoomScaleNormal="104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0" sqref="D10"/>
    </sheetView>
  </sheetViews>
  <sheetFormatPr defaultColWidth="9.140625" defaultRowHeight="12.75"/>
  <cols>
    <col min="1" max="1" width="36.57421875" style="0" customWidth="1"/>
    <col min="2" max="2" width="12.00390625" style="0" bestFit="1" customWidth="1"/>
    <col min="3" max="3" width="12.8515625" style="0" customWidth="1"/>
    <col min="4" max="4" width="10.57421875" style="0" customWidth="1"/>
    <col min="5" max="5" width="10.421875" style="0" bestFit="1" customWidth="1"/>
    <col min="6" max="8" width="12.8515625" style="0" customWidth="1"/>
    <col min="9" max="9" width="12.57421875" style="0" customWidth="1"/>
    <col min="10" max="10" width="24.7109375" style="0" customWidth="1"/>
    <col min="11" max="12" width="6.57421875" style="0" customWidth="1"/>
    <col min="13" max="17" width="12.8515625" style="0" customWidth="1"/>
    <col min="19" max="21" width="12.8515625" style="0" customWidth="1"/>
    <col min="22" max="23" width="12.140625" style="0" bestFit="1" customWidth="1"/>
    <col min="25" max="26" width="9.00390625" style="0" bestFit="1" customWidth="1"/>
    <col min="27" max="27" width="9.140625" style="0" bestFit="1" customWidth="1"/>
    <col min="28" max="28" width="10.140625" style="0" bestFit="1" customWidth="1"/>
    <col min="29" max="30" width="9.140625" style="0" bestFit="1" customWidth="1"/>
    <col min="31" max="31" width="9.00390625" style="0" bestFit="1" customWidth="1"/>
    <col min="32" max="32" width="10.140625" style="0" bestFit="1" customWidth="1"/>
    <col min="33" max="35" width="9.00390625" style="0" bestFit="1" customWidth="1"/>
    <col min="36" max="36" width="10.140625" style="0" bestFit="1" customWidth="1"/>
  </cols>
  <sheetData>
    <row r="1" ht="12.75">
      <c r="A1" s="52"/>
    </row>
    <row r="2" spans="1:4" ht="23.25">
      <c r="A2" s="181" t="s">
        <v>18</v>
      </c>
      <c r="B2" s="181"/>
      <c r="C2" s="181"/>
      <c r="D2" s="181"/>
    </row>
    <row r="3" spans="1:3" ht="24" customHeight="1">
      <c r="A3" s="46" t="s">
        <v>19</v>
      </c>
      <c r="B3" s="2"/>
      <c r="C3" s="2"/>
    </row>
    <row r="4" spans="1:3" ht="24" customHeight="1">
      <c r="A4" s="103" t="s">
        <v>101</v>
      </c>
      <c r="B4" s="2"/>
      <c r="C4" s="2"/>
    </row>
    <row r="5" spans="1:8" ht="24" customHeight="1">
      <c r="A5" s="103" t="s">
        <v>36</v>
      </c>
      <c r="B5" s="55"/>
      <c r="C5" s="55"/>
      <c r="D5" s="56"/>
      <c r="E5" s="54"/>
      <c r="F5" s="54"/>
      <c r="G5" s="54"/>
      <c r="H5" s="54"/>
    </row>
    <row r="6" spans="1:8" ht="24" customHeight="1">
      <c r="A6" s="65"/>
      <c r="B6" s="65"/>
      <c r="C6" s="81"/>
      <c r="D6" s="156"/>
      <c r="E6" s="65"/>
      <c r="F6" s="65"/>
      <c r="G6" s="65"/>
      <c r="H6" s="65"/>
    </row>
    <row r="7" spans="1:17" ht="24" customHeight="1">
      <c r="A7" s="31"/>
      <c r="B7" s="182" t="s">
        <v>119</v>
      </c>
      <c r="C7" s="182" t="s">
        <v>120</v>
      </c>
      <c r="D7" s="65"/>
      <c r="E7" s="65"/>
      <c r="F7" s="182" t="s">
        <v>108</v>
      </c>
      <c r="G7" s="182" t="s">
        <v>110</v>
      </c>
      <c r="H7" s="157"/>
      <c r="I7" s="5"/>
      <c r="M7" s="5"/>
      <c r="N7" s="5"/>
      <c r="O7" s="5"/>
      <c r="P7" s="5"/>
      <c r="Q7" s="5"/>
    </row>
    <row r="8" spans="1:17" ht="24" customHeight="1">
      <c r="A8" s="158"/>
      <c r="B8" s="182"/>
      <c r="C8" s="182"/>
      <c r="D8" s="65"/>
      <c r="E8" s="65"/>
      <c r="F8" s="182"/>
      <c r="G8" s="182"/>
      <c r="H8" s="157"/>
      <c r="I8" s="5"/>
      <c r="M8" s="5"/>
      <c r="N8" s="5"/>
      <c r="O8" s="5"/>
      <c r="P8" s="5"/>
      <c r="Q8" s="5"/>
    </row>
    <row r="9" spans="1:10" ht="24" customHeight="1">
      <c r="A9" s="57" t="s">
        <v>73</v>
      </c>
      <c r="B9" s="115"/>
      <c r="C9" s="115"/>
      <c r="D9" s="58"/>
      <c r="E9" s="58"/>
      <c r="F9" s="115" t="s">
        <v>109</v>
      </c>
      <c r="G9" s="115" t="s">
        <v>111</v>
      </c>
      <c r="H9" s="57" t="s">
        <v>112</v>
      </c>
      <c r="J9" s="105" t="s">
        <v>69</v>
      </c>
    </row>
    <row r="10" spans="1:21" ht="24" customHeight="1">
      <c r="A10" s="58" t="s">
        <v>0</v>
      </c>
      <c r="B10" s="59">
        <v>1465996</v>
      </c>
      <c r="C10" s="59">
        <v>1389385</v>
      </c>
      <c r="D10" s="60">
        <f>(B10-C10)/C10</f>
        <v>0.05514022391201863</v>
      </c>
      <c r="E10" s="58"/>
      <c r="F10" s="59">
        <f>(B10/365)*365</f>
        <v>1465996</v>
      </c>
      <c r="G10" s="59">
        <v>1408535</v>
      </c>
      <c r="H10" s="62">
        <f>(F10-G10)/G10</f>
        <v>0.04079486842712464</v>
      </c>
      <c r="I10" s="30"/>
      <c r="J10" s="78" t="s">
        <v>38</v>
      </c>
      <c r="K10" s="78">
        <v>31</v>
      </c>
      <c r="L10" s="78"/>
      <c r="M10" s="30"/>
      <c r="N10" s="30"/>
      <c r="O10" s="30"/>
      <c r="P10" s="2"/>
      <c r="Q10" s="2"/>
      <c r="R10" s="2"/>
      <c r="S10" s="4"/>
      <c r="T10" s="2"/>
      <c r="U10" s="25"/>
    </row>
    <row r="11" spans="1:21" ht="24" customHeight="1">
      <c r="A11" s="58" t="s">
        <v>1</v>
      </c>
      <c r="B11" s="59">
        <v>777629</v>
      </c>
      <c r="C11" s="59">
        <v>736252</v>
      </c>
      <c r="D11" s="60">
        <f>(B11-C11)/C11</f>
        <v>0.05619950777722845</v>
      </c>
      <c r="E11" s="59"/>
      <c r="F11" s="59">
        <f>(B11/365)*365</f>
        <v>777629</v>
      </c>
      <c r="G11" s="59">
        <v>746107</v>
      </c>
      <c r="H11" s="62">
        <f>(F11-G11)/G11</f>
        <v>0.042248631898641885</v>
      </c>
      <c r="I11" s="30"/>
      <c r="J11" s="78" t="s">
        <v>39</v>
      </c>
      <c r="K11" s="77">
        <v>28</v>
      </c>
      <c r="L11" s="78">
        <f>K11+K10</f>
        <v>59</v>
      </c>
      <c r="M11" s="30"/>
      <c r="N11" s="30"/>
      <c r="O11" s="30"/>
      <c r="P11" s="53"/>
      <c r="Q11" s="2"/>
      <c r="R11" s="2"/>
      <c r="S11" s="4"/>
      <c r="T11" s="2"/>
      <c r="U11" s="25"/>
    </row>
    <row r="12" spans="1:21" ht="24" customHeight="1">
      <c r="A12" s="58" t="s">
        <v>2</v>
      </c>
      <c r="B12" s="59">
        <v>391840</v>
      </c>
      <c r="C12" s="59">
        <v>346996</v>
      </c>
      <c r="D12" s="60">
        <f>(B12-C12)/C12</f>
        <v>0.12923491913451451</v>
      </c>
      <c r="E12" s="59"/>
      <c r="F12" s="59">
        <f>(B12/365)*365</f>
        <v>391840</v>
      </c>
      <c r="G12" s="59">
        <v>352508</v>
      </c>
      <c r="H12" s="62">
        <f>(F12-G12)/G12</f>
        <v>0.11157760958616542</v>
      </c>
      <c r="I12" s="30"/>
      <c r="J12" s="78" t="s">
        <v>40</v>
      </c>
      <c r="K12" s="77">
        <v>31</v>
      </c>
      <c r="L12" s="78">
        <f>L11+K12</f>
        <v>90</v>
      </c>
      <c r="M12" s="30"/>
      <c r="N12" s="30"/>
      <c r="O12" s="30"/>
      <c r="P12" s="32"/>
      <c r="Q12" s="2"/>
      <c r="R12" s="2"/>
      <c r="S12" s="4"/>
      <c r="T12" s="2"/>
      <c r="U12" s="25"/>
    </row>
    <row r="13" spans="1:21" ht="24" customHeight="1">
      <c r="A13" s="58" t="s">
        <v>3</v>
      </c>
      <c r="B13" s="59">
        <v>13556</v>
      </c>
      <c r="C13" s="59">
        <v>10277</v>
      </c>
      <c r="D13" s="60">
        <f>(B13-C13)/C13</f>
        <v>0.31906198306898903</v>
      </c>
      <c r="E13" s="58"/>
      <c r="F13" s="59">
        <f>(B13/365)*365</f>
        <v>13556</v>
      </c>
      <c r="G13" s="59">
        <v>10364</v>
      </c>
      <c r="H13" s="62">
        <f>(F13-G13)/G13</f>
        <v>0.30798919336163644</v>
      </c>
      <c r="I13" s="29"/>
      <c r="J13" s="78" t="s">
        <v>41</v>
      </c>
      <c r="K13" s="77">
        <v>30</v>
      </c>
      <c r="L13" s="78">
        <f aca="true" t="shared" si="0" ref="L13:L20">L12+K13</f>
        <v>120</v>
      </c>
      <c r="M13" s="29"/>
      <c r="N13" s="29"/>
      <c r="O13" s="29"/>
      <c r="P13" s="32"/>
      <c r="Q13" s="2"/>
      <c r="R13" s="2"/>
      <c r="S13" s="4"/>
      <c r="U13" s="25"/>
    </row>
    <row r="14" spans="1:21" ht="24" customHeight="1">
      <c r="A14" s="110" t="s">
        <v>8</v>
      </c>
      <c r="B14" s="130">
        <f>SUM(B10:B13)</f>
        <v>2649021</v>
      </c>
      <c r="C14" s="130">
        <f>SUM(C10:C13)</f>
        <v>2482910</v>
      </c>
      <c r="D14" s="131"/>
      <c r="E14" s="132"/>
      <c r="F14" s="130">
        <f>SUM(F10:F13)</f>
        <v>2649021</v>
      </c>
      <c r="G14" s="130">
        <f>SUM(G10:G13)</f>
        <v>2517514</v>
      </c>
      <c r="H14" s="133">
        <f>(F14-G14)/G14</f>
        <v>0.05223684952695397</v>
      </c>
      <c r="I14" s="2"/>
      <c r="J14" s="78" t="s">
        <v>42</v>
      </c>
      <c r="K14" s="77">
        <v>31</v>
      </c>
      <c r="L14" s="78">
        <f t="shared" si="0"/>
        <v>151</v>
      </c>
      <c r="M14" s="2"/>
      <c r="N14" s="2"/>
      <c r="O14" s="2"/>
      <c r="P14" s="2"/>
      <c r="Q14" s="2"/>
      <c r="R14" s="2"/>
      <c r="S14" s="4"/>
      <c r="T14" s="2"/>
      <c r="U14" s="25"/>
    </row>
    <row r="15" spans="1:21" ht="24" customHeight="1">
      <c r="A15" s="58" t="s">
        <v>114</v>
      </c>
      <c r="B15" s="116">
        <f>B10/(B10+B11)</f>
        <v>0.6534050922056939</v>
      </c>
      <c r="C15" s="116">
        <f>C10/(C10+C11)</f>
        <v>0.6536322994001328</v>
      </c>
      <c r="D15" s="58"/>
      <c r="E15" s="58"/>
      <c r="F15" s="60"/>
      <c r="G15" s="118">
        <f>G10/(G10+G11)</f>
        <v>0.6537211286144056</v>
      </c>
      <c r="H15" s="62"/>
      <c r="J15" s="78" t="s">
        <v>43</v>
      </c>
      <c r="K15" s="77">
        <v>30</v>
      </c>
      <c r="L15" s="78">
        <f t="shared" si="0"/>
        <v>181</v>
      </c>
      <c r="R15" s="28"/>
      <c r="S15" s="11"/>
      <c r="T15" s="2"/>
      <c r="U15" s="25"/>
    </row>
    <row r="16" spans="1:12" ht="24" customHeight="1">
      <c r="A16" s="58" t="s">
        <v>115</v>
      </c>
      <c r="B16" s="116">
        <f>B11/(B10+B11)</f>
        <v>0.3465949077943061</v>
      </c>
      <c r="C16" s="116">
        <f>C11/(C10+C11)</f>
        <v>0.3463677005998672</v>
      </c>
      <c r="D16" s="58"/>
      <c r="E16" s="58"/>
      <c r="F16" s="60"/>
      <c r="G16" s="118">
        <f>G11/(G10+G11)</f>
        <v>0.34627887138559443</v>
      </c>
      <c r="H16" s="62"/>
      <c r="J16" s="78" t="s">
        <v>44</v>
      </c>
      <c r="K16" s="77">
        <v>31</v>
      </c>
      <c r="L16" s="78">
        <f t="shared" si="0"/>
        <v>212</v>
      </c>
    </row>
    <row r="17" spans="1:12" ht="24" customHeight="1">
      <c r="A17" s="58" t="s">
        <v>116</v>
      </c>
      <c r="B17" s="116">
        <f>B11/B10</f>
        <v>0.530444148551565</v>
      </c>
      <c r="C17" s="116">
        <f>C11/C10</f>
        <v>0.529912155378099</v>
      </c>
      <c r="D17" s="58"/>
      <c r="E17" s="58"/>
      <c r="F17" s="60"/>
      <c r="G17" s="118">
        <f>G11/G10</f>
        <v>0.5297042671996081</v>
      </c>
      <c r="H17" s="62"/>
      <c r="J17" s="78" t="s">
        <v>45</v>
      </c>
      <c r="K17" s="77">
        <v>31</v>
      </c>
      <c r="L17" s="78">
        <f t="shared" si="0"/>
        <v>243</v>
      </c>
    </row>
    <row r="18" spans="1:12" ht="24" customHeight="1">
      <c r="A18" s="58" t="s">
        <v>15</v>
      </c>
      <c r="B18" s="117">
        <f>(B11+B12)/(B10+B13)</f>
        <v>0.7904210193355826</v>
      </c>
      <c r="C18" s="117">
        <f>(C11+C12)/(C10+C13)</f>
        <v>0.7739354215517746</v>
      </c>
      <c r="D18" s="63"/>
      <c r="E18" s="58"/>
      <c r="F18" s="64"/>
      <c r="G18" s="117">
        <f>(G11+G12)/(G10+G13)</f>
        <v>0.7742728693162797</v>
      </c>
      <c r="H18" s="58"/>
      <c r="J18" s="78" t="s">
        <v>46</v>
      </c>
      <c r="K18" s="77">
        <v>30</v>
      </c>
      <c r="L18" s="78">
        <f t="shared" si="0"/>
        <v>273</v>
      </c>
    </row>
    <row r="19" spans="1:12" ht="24" customHeight="1">
      <c r="A19" s="65"/>
      <c r="B19" s="66"/>
      <c r="C19" s="66"/>
      <c r="D19" s="67"/>
      <c r="E19" s="65"/>
      <c r="F19" s="66"/>
      <c r="G19" s="66"/>
      <c r="H19" s="54"/>
      <c r="J19" s="78" t="s">
        <v>47</v>
      </c>
      <c r="K19" s="77">
        <v>31</v>
      </c>
      <c r="L19" s="78">
        <f t="shared" si="0"/>
        <v>304</v>
      </c>
    </row>
    <row r="20" spans="1:12" ht="24" customHeight="1">
      <c r="A20" s="68" t="s">
        <v>117</v>
      </c>
      <c r="B20" s="142" t="s">
        <v>32</v>
      </c>
      <c r="C20" s="108"/>
      <c r="D20" s="111" t="s">
        <v>33</v>
      </c>
      <c r="E20" s="68"/>
      <c r="F20" s="155"/>
      <c r="G20" s="109"/>
      <c r="H20" s="54"/>
      <c r="J20" s="78" t="s">
        <v>48</v>
      </c>
      <c r="K20" s="77">
        <v>30</v>
      </c>
      <c r="L20" s="78">
        <f t="shared" si="0"/>
        <v>334</v>
      </c>
    </row>
    <row r="21" spans="1:12" ht="24" customHeight="1">
      <c r="A21" s="68"/>
      <c r="B21" s="109">
        <v>2016</v>
      </c>
      <c r="C21" s="109">
        <v>2015</v>
      </c>
      <c r="D21" s="109">
        <v>2016</v>
      </c>
      <c r="E21" s="109">
        <v>2015</v>
      </c>
      <c r="F21" s="144" t="s">
        <v>113</v>
      </c>
      <c r="G21" s="144" t="s">
        <v>113</v>
      </c>
      <c r="H21" s="54"/>
      <c r="J21" s="78" t="s">
        <v>49</v>
      </c>
      <c r="K21" s="77">
        <v>31</v>
      </c>
      <c r="L21" s="78">
        <f>L20+K21</f>
        <v>365</v>
      </c>
    </row>
    <row r="22" spans="1:8" ht="24" customHeight="1">
      <c r="A22" s="69" t="s">
        <v>0</v>
      </c>
      <c r="B22" s="106">
        <v>919</v>
      </c>
      <c r="C22" s="106">
        <v>893</v>
      </c>
      <c r="D22" s="134">
        <f>B22/2.2046</f>
        <v>416.8556654268348</v>
      </c>
      <c r="E22" s="134">
        <f>C22/2.2046</f>
        <v>405.06214279234325</v>
      </c>
      <c r="F22" s="107">
        <f>D22*0.73</f>
        <v>304.3046357615894</v>
      </c>
      <c r="G22" s="122">
        <v>296.3576158940397</v>
      </c>
      <c r="H22" s="54"/>
    </row>
    <row r="23" spans="1:8" ht="24" customHeight="1">
      <c r="A23" s="69" t="s">
        <v>1</v>
      </c>
      <c r="B23" s="106">
        <v>841</v>
      </c>
      <c r="C23" s="106">
        <v>821</v>
      </c>
      <c r="D23" s="134">
        <f aca="true" t="shared" si="1" ref="D23:E25">B23/2.2046</f>
        <v>381.4750975233602</v>
      </c>
      <c r="E23" s="134">
        <f t="shared" si="1"/>
        <v>372.40315703528984</v>
      </c>
      <c r="F23" s="107">
        <f>D23*0.73</f>
        <v>278.47682119205297</v>
      </c>
      <c r="G23" s="122">
        <v>272.5165562913907</v>
      </c>
      <c r="H23" s="54"/>
    </row>
    <row r="24" spans="1:8" ht="24" customHeight="1">
      <c r="A24" s="69" t="s">
        <v>10</v>
      </c>
      <c r="B24" s="106">
        <v>747</v>
      </c>
      <c r="C24" s="106">
        <v>723</v>
      </c>
      <c r="D24" s="134">
        <f t="shared" si="1"/>
        <v>338.83697722942935</v>
      </c>
      <c r="E24" s="134">
        <f t="shared" si="1"/>
        <v>327.9506486437449</v>
      </c>
      <c r="F24" s="107">
        <f>D24*0.73</f>
        <v>247.35099337748343</v>
      </c>
      <c r="G24" s="122">
        <v>239.73509933774832</v>
      </c>
      <c r="H24" s="54"/>
    </row>
    <row r="25" spans="1:8" ht="24" customHeight="1">
      <c r="A25" s="69" t="s">
        <v>3</v>
      </c>
      <c r="B25" s="106">
        <v>1016</v>
      </c>
      <c r="C25" s="106">
        <v>1006</v>
      </c>
      <c r="D25" s="134">
        <f t="shared" si="1"/>
        <v>460.8545767939762</v>
      </c>
      <c r="E25" s="134">
        <f t="shared" si="1"/>
        <v>456.318606549941</v>
      </c>
      <c r="F25" s="107">
        <f>D25*0.73</f>
        <v>336.42384105960264</v>
      </c>
      <c r="G25" s="122">
        <v>332.4503311258278</v>
      </c>
      <c r="H25" s="54"/>
    </row>
    <row r="26" spans="1:8" ht="24" customHeight="1">
      <c r="A26" s="65"/>
      <c r="B26" s="65"/>
      <c r="C26" s="65"/>
      <c r="D26" s="114"/>
      <c r="E26" s="114"/>
      <c r="F26" s="81"/>
      <c r="G26" s="81"/>
      <c r="H26" s="54"/>
    </row>
    <row r="27" spans="1:12" ht="24" customHeight="1">
      <c r="A27" s="68" t="s">
        <v>51</v>
      </c>
      <c r="B27" s="71"/>
      <c r="C27" s="71"/>
      <c r="D27" s="72"/>
      <c r="E27" s="70"/>
      <c r="F27" s="155"/>
      <c r="G27" s="119"/>
      <c r="H27" s="69"/>
      <c r="J27" s="2"/>
      <c r="L27" s="2"/>
    </row>
    <row r="28" spans="1:12" ht="15" customHeight="1">
      <c r="A28" s="68"/>
      <c r="B28" s="109"/>
      <c r="C28" s="71"/>
      <c r="D28" s="72"/>
      <c r="E28" s="70"/>
      <c r="F28" s="119" t="s">
        <v>118</v>
      </c>
      <c r="G28" s="119" t="s">
        <v>118</v>
      </c>
      <c r="H28" s="69"/>
      <c r="J28" s="2"/>
      <c r="L28" s="2"/>
    </row>
    <row r="29" spans="1:12" ht="24" customHeight="1">
      <c r="A29" s="69" t="s">
        <v>0</v>
      </c>
      <c r="B29" s="71">
        <f>(B10*F22)/1000</f>
        <v>446109.378807947</v>
      </c>
      <c r="C29" s="71"/>
      <c r="D29" s="70"/>
      <c r="E29" s="70"/>
      <c r="F29" s="107">
        <f>((F10*F22)/1000)</f>
        <v>446109.378807947</v>
      </c>
      <c r="G29" s="123">
        <f>G10*G22/1000</f>
        <v>417430.0745033112</v>
      </c>
      <c r="H29" s="73">
        <f>(F29-G29)/G29</f>
        <v>0.0687044514910923</v>
      </c>
      <c r="J29" s="2"/>
      <c r="L29" s="2"/>
    </row>
    <row r="30" spans="1:12" ht="24" customHeight="1">
      <c r="A30" s="69" t="s">
        <v>1</v>
      </c>
      <c r="B30" s="71">
        <f>(B11*F23)/1000</f>
        <v>216551.65198675497</v>
      </c>
      <c r="C30" s="71"/>
      <c r="D30" s="70"/>
      <c r="E30" s="70"/>
      <c r="F30" s="107">
        <f>((F11*F23)/1000)</f>
        <v>216551.65198675497</v>
      </c>
      <c r="G30" s="123">
        <f>G11*G23/1000</f>
        <v>203326.51026490066</v>
      </c>
      <c r="H30" s="73">
        <f>(F30-G30)/G30</f>
        <v>0.06504386321598765</v>
      </c>
      <c r="J30" s="2"/>
      <c r="L30" s="2"/>
    </row>
    <row r="31" spans="1:12" ht="24" customHeight="1">
      <c r="A31" s="69" t="s">
        <v>10</v>
      </c>
      <c r="B31" s="71">
        <f>(B12*F24)/1000</f>
        <v>96922.01324503311</v>
      </c>
      <c r="C31" s="71"/>
      <c r="D31" s="70"/>
      <c r="E31" s="70"/>
      <c r="F31" s="107">
        <f>((F12*F24)/1000)</f>
        <v>96922.01324503311</v>
      </c>
      <c r="G31" s="123">
        <f>G12*G24/1000</f>
        <v>84508.54039735098</v>
      </c>
      <c r="H31" s="73">
        <f>(F31-G31)/G31</f>
        <v>0.14689015795699684</v>
      </c>
      <c r="I31" s="2"/>
      <c r="J31" s="2"/>
      <c r="L31" s="2"/>
    </row>
    <row r="32" spans="1:12" ht="24" customHeight="1">
      <c r="A32" s="69" t="s">
        <v>3</v>
      </c>
      <c r="B32" s="71">
        <f>(B13*F25)/1000</f>
        <v>4560.561589403973</v>
      </c>
      <c r="C32" s="71"/>
      <c r="D32" s="70"/>
      <c r="E32" s="70"/>
      <c r="F32" s="107">
        <f>((F13*F25)/1000)</f>
        <v>4560.561589403973</v>
      </c>
      <c r="G32" s="123">
        <f>G13*G25/1000</f>
        <v>3445.5152317880793</v>
      </c>
      <c r="H32" s="73">
        <f>(F32-G32)/G32</f>
        <v>0.32362253033408617</v>
      </c>
      <c r="I32" s="2"/>
      <c r="J32" s="2"/>
      <c r="L32" s="2"/>
    </row>
    <row r="33" spans="1:12" ht="24" customHeight="1">
      <c r="A33" s="124" t="s">
        <v>8</v>
      </c>
      <c r="B33" s="125">
        <f>SUM(B29:B32)</f>
        <v>764143.6056291391</v>
      </c>
      <c r="C33" s="125"/>
      <c r="D33" s="126"/>
      <c r="E33" s="126"/>
      <c r="F33" s="127">
        <f>SUM(F29:F32)</f>
        <v>764143.6056291391</v>
      </c>
      <c r="G33" s="128">
        <f>SUM(G29:G32)</f>
        <v>708710.6403973509</v>
      </c>
      <c r="H33" s="129">
        <f>(F33-G33)/G33</f>
        <v>0.07821664029300981</v>
      </c>
      <c r="J33" s="2"/>
      <c r="L33" s="2"/>
    </row>
    <row r="34" spans="1:8" ht="24" customHeight="1">
      <c r="A34" s="65"/>
      <c r="B34" s="66"/>
      <c r="C34" s="66"/>
      <c r="D34" s="74"/>
      <c r="E34" s="65"/>
      <c r="F34" s="66"/>
      <c r="G34" s="66"/>
      <c r="H34" s="54"/>
    </row>
    <row r="35" spans="1:10" ht="24" customHeight="1">
      <c r="A35" s="75" t="s">
        <v>121</v>
      </c>
      <c r="B35" s="76"/>
      <c r="C35" s="76"/>
      <c r="D35" s="136"/>
      <c r="E35" s="77"/>
      <c r="F35" s="143"/>
      <c r="G35" s="143"/>
      <c r="H35" s="77"/>
      <c r="J35" s="2"/>
    </row>
    <row r="36" spans="1:10" ht="24" customHeight="1">
      <c r="A36" s="77" t="s">
        <v>4</v>
      </c>
      <c r="B36" s="137">
        <v>315387</v>
      </c>
      <c r="C36" s="137">
        <v>217826</v>
      </c>
      <c r="D36" s="138">
        <f>(B36-C36)/C36*100</f>
        <v>44.78850091357322</v>
      </c>
      <c r="E36" s="77"/>
      <c r="F36" s="135"/>
      <c r="G36" s="135"/>
      <c r="H36" s="139"/>
      <c r="J36" s="2"/>
    </row>
    <row r="37" spans="1:10" ht="24" customHeight="1">
      <c r="A37" s="77" t="s">
        <v>5</v>
      </c>
      <c r="B37" s="137">
        <v>259379</v>
      </c>
      <c r="C37" s="137">
        <v>296435</v>
      </c>
      <c r="D37" s="138">
        <f>(B37-C37)/C37*100</f>
        <v>-12.500548180882825</v>
      </c>
      <c r="E37" s="77"/>
      <c r="F37" s="135"/>
      <c r="G37" s="152"/>
      <c r="H37" s="139"/>
      <c r="J37" s="2"/>
    </row>
    <row r="38" spans="1:16" ht="24" customHeight="1">
      <c r="A38" s="75" t="s">
        <v>6</v>
      </c>
      <c r="B38" s="137"/>
      <c r="C38" s="137"/>
      <c r="D38" s="139"/>
      <c r="E38" s="77"/>
      <c r="F38" s="135" t="s">
        <v>109</v>
      </c>
      <c r="G38" s="135" t="s">
        <v>109</v>
      </c>
      <c r="H38" s="137"/>
      <c r="I38" s="2"/>
      <c r="J38" s="2"/>
      <c r="K38" s="2"/>
      <c r="L38" s="2"/>
      <c r="M38" s="2"/>
      <c r="N38" s="2"/>
      <c r="O38" s="2"/>
      <c r="P38" s="2"/>
    </row>
    <row r="39" spans="1:17" ht="24" customHeight="1">
      <c r="A39" s="77" t="s">
        <v>96</v>
      </c>
      <c r="B39" s="137">
        <f>B36*B15</f>
        <v>206075.47181547718</v>
      </c>
      <c r="C39" s="137">
        <f>C36*C15</f>
        <v>142378.10924913333</v>
      </c>
      <c r="D39" s="138">
        <f>(B39-C39)/C39*100</f>
        <v>44.73817141010502</v>
      </c>
      <c r="E39" s="78"/>
      <c r="F39" s="137">
        <f>(B39/365)*365</f>
        <v>206075.47181547718</v>
      </c>
      <c r="G39" s="137">
        <f>C39</f>
        <v>142378.10924913333</v>
      </c>
      <c r="H39" s="140">
        <f>(F39-G39)/G39</f>
        <v>0.4473817141010502</v>
      </c>
      <c r="I39" s="24"/>
      <c r="J39" s="24"/>
      <c r="K39" s="24"/>
      <c r="L39" s="24"/>
      <c r="M39" s="24"/>
      <c r="N39" s="24"/>
      <c r="O39" s="24"/>
      <c r="P39" s="24"/>
      <c r="Q39" s="2"/>
    </row>
    <row r="40" spans="1:22" ht="24" customHeight="1">
      <c r="A40" s="77" t="s">
        <v>97</v>
      </c>
      <c r="B40" s="137">
        <f>B36-B39</f>
        <v>109311.52818452282</v>
      </c>
      <c r="C40" s="137">
        <f>C36-C39</f>
        <v>75447.89075086667</v>
      </c>
      <c r="D40" s="138">
        <f>(B40-C40)/C40*100</f>
        <v>44.88347798280517</v>
      </c>
      <c r="E40" s="77"/>
      <c r="F40" s="137">
        <f>(B40/365)*365</f>
        <v>109311.52818452283</v>
      </c>
      <c r="G40" s="137">
        <f>C40</f>
        <v>75447.89075086667</v>
      </c>
      <c r="H40" s="140">
        <f aca="true" t="shared" si="2" ref="H40:H49">(F40-G40)/G40</f>
        <v>0.44883477982805187</v>
      </c>
      <c r="I40" s="24"/>
      <c r="J40" s="24"/>
      <c r="K40" s="24"/>
      <c r="L40" s="24"/>
      <c r="M40" s="24"/>
      <c r="N40" s="24"/>
      <c r="O40" s="24"/>
      <c r="P40" s="24"/>
      <c r="Q40" s="24"/>
      <c r="R40" s="7"/>
      <c r="S40" s="7" t="s">
        <v>30</v>
      </c>
      <c r="T40" s="7"/>
      <c r="U40" s="7"/>
      <c r="V40" s="7"/>
    </row>
    <row r="41" spans="1:22" ht="24" customHeight="1">
      <c r="A41" s="77" t="s">
        <v>2</v>
      </c>
      <c r="B41" s="137">
        <f>(((B12+B13+B37)/11)*10)-B12</f>
        <v>212500.90909090918</v>
      </c>
      <c r="C41" s="137">
        <f>(((C12+C13+C37)/11)*10)-C12</f>
        <v>247284</v>
      </c>
      <c r="D41" s="138">
        <f>(B41-C41)/C41*100</f>
        <v>-14.066049930076682</v>
      </c>
      <c r="E41" s="78"/>
      <c r="F41" s="137">
        <f>(B41/365)*365</f>
        <v>212500.90909090915</v>
      </c>
      <c r="G41" s="137">
        <f>C41</f>
        <v>247284</v>
      </c>
      <c r="H41" s="140">
        <f t="shared" si="2"/>
        <v>-0.14066049930076693</v>
      </c>
      <c r="I41" s="24"/>
      <c r="J41" s="24"/>
      <c r="K41" s="24"/>
      <c r="L41" s="24"/>
      <c r="M41" s="24"/>
      <c r="N41" s="24"/>
      <c r="O41" s="24"/>
      <c r="P41" s="24"/>
      <c r="Q41" s="24"/>
      <c r="R41" s="7"/>
      <c r="S41" s="7"/>
      <c r="T41" s="7"/>
      <c r="U41" s="7"/>
      <c r="V41" s="7"/>
    </row>
    <row r="42" spans="1:22" ht="24" customHeight="1">
      <c r="A42" s="77" t="s">
        <v>3</v>
      </c>
      <c r="B42" s="137">
        <f>B37-B41</f>
        <v>46878.090909090824</v>
      </c>
      <c r="C42" s="137">
        <f>C37-C41</f>
        <v>49151</v>
      </c>
      <c r="D42" s="138">
        <f>(B42-C42)/C42*100</f>
        <v>-4.624339465950186</v>
      </c>
      <c r="E42" s="77"/>
      <c r="F42" s="137">
        <f>(B42/365)*365</f>
        <v>46878.090909090824</v>
      </c>
      <c r="G42" s="137">
        <f>C42</f>
        <v>49151</v>
      </c>
      <c r="H42" s="140">
        <f t="shared" si="2"/>
        <v>-0.046243394659501856</v>
      </c>
      <c r="I42" s="24"/>
      <c r="J42" s="24"/>
      <c r="K42" s="24"/>
      <c r="L42" s="24"/>
      <c r="M42" s="24"/>
      <c r="N42" s="24"/>
      <c r="O42" s="24"/>
      <c r="P42" s="24"/>
      <c r="Q42" s="24"/>
      <c r="R42" s="7"/>
      <c r="S42" s="7" t="s">
        <v>11</v>
      </c>
      <c r="T42" s="7" t="s">
        <v>12</v>
      </c>
      <c r="U42" s="7" t="s">
        <v>13</v>
      </c>
      <c r="V42" s="7"/>
    </row>
    <row r="43" spans="1:22" ht="24" customHeight="1">
      <c r="A43" s="145" t="s">
        <v>8</v>
      </c>
      <c r="B43" s="146"/>
      <c r="C43" s="146"/>
      <c r="D43" s="149"/>
      <c r="E43" s="145"/>
      <c r="F43" s="146">
        <f>SUM(F39:F42)</f>
        <v>574766</v>
      </c>
      <c r="G43" s="146">
        <f>SUM(G39:G42)</f>
        <v>514261</v>
      </c>
      <c r="H43" s="148">
        <f t="shared" si="2"/>
        <v>0.11765426505218167</v>
      </c>
      <c r="I43" s="24"/>
      <c r="J43" s="24"/>
      <c r="K43" s="24"/>
      <c r="L43" s="24"/>
      <c r="M43" s="24"/>
      <c r="N43" s="24"/>
      <c r="O43" s="24"/>
      <c r="P43" s="24"/>
      <c r="Q43" s="24"/>
      <c r="R43" s="7"/>
      <c r="S43" s="7"/>
      <c r="T43" s="7"/>
      <c r="U43" s="7"/>
      <c r="V43" s="7"/>
    </row>
    <row r="44" spans="1:22" ht="24" customHeight="1">
      <c r="A44" s="77" t="s">
        <v>31</v>
      </c>
      <c r="B44" s="137">
        <f>SUM(B39:B42)</f>
        <v>574766</v>
      </c>
      <c r="C44" s="137">
        <f>SUM(C39:C42)</f>
        <v>514261</v>
      </c>
      <c r="D44" s="138"/>
      <c r="E44" s="77"/>
      <c r="F44" s="139"/>
      <c r="G44" s="139"/>
      <c r="H44" s="140"/>
      <c r="I44" s="2"/>
      <c r="J44" s="2"/>
      <c r="K44" s="2"/>
      <c r="L44" s="2"/>
      <c r="M44" s="2"/>
      <c r="N44" s="2"/>
      <c r="O44" s="2"/>
      <c r="P44" s="2"/>
      <c r="Q44" s="2"/>
      <c r="R44" s="7" t="s">
        <v>0</v>
      </c>
      <c r="S44" s="8">
        <f>F10</f>
        <v>1465996</v>
      </c>
      <c r="T44" s="9">
        <f>G39</f>
        <v>142378.10924913333</v>
      </c>
      <c r="U44" s="9">
        <f>F53</f>
        <v>76094.125</v>
      </c>
      <c r="V44" s="10">
        <f>SUM(S44:U44)</f>
        <v>1684468.2342491334</v>
      </c>
    </row>
    <row r="45" spans="1:22" ht="24" customHeight="1">
      <c r="A45" s="77" t="s">
        <v>0</v>
      </c>
      <c r="B45" s="137">
        <f aca="true" t="shared" si="3" ref="B45:C48">(B39*F22)/1000</f>
        <v>62709.72139020646</v>
      </c>
      <c r="C45" s="137">
        <f t="shared" si="3"/>
        <v>42194.83701257428</v>
      </c>
      <c r="D45" s="139"/>
      <c r="E45" s="77"/>
      <c r="F45" s="137">
        <f>(F39*F22)/1000</f>
        <v>62709.72139020646</v>
      </c>
      <c r="G45" s="141">
        <f>G39*G22/1000</f>
        <v>42194.83701257428</v>
      </c>
      <c r="H45" s="140">
        <f t="shared" si="2"/>
        <v>0.48619418464677655</v>
      </c>
      <c r="I45" s="2"/>
      <c r="J45" s="2"/>
      <c r="K45" s="2"/>
      <c r="L45" s="2"/>
      <c r="M45" s="2"/>
      <c r="N45" s="2"/>
      <c r="O45" s="2"/>
      <c r="P45" s="2"/>
      <c r="Q45" s="2"/>
      <c r="R45" s="7"/>
      <c r="S45" s="8"/>
      <c r="T45" s="9"/>
      <c r="U45" s="9"/>
      <c r="V45" s="10"/>
    </row>
    <row r="46" spans="1:22" ht="24" customHeight="1">
      <c r="A46" s="77" t="s">
        <v>1</v>
      </c>
      <c r="B46" s="137">
        <f t="shared" si="3"/>
        <v>30440.726888471418</v>
      </c>
      <c r="C46" s="137">
        <f t="shared" si="3"/>
        <v>20560.799366875253</v>
      </c>
      <c r="D46" s="139"/>
      <c r="E46" s="77"/>
      <c r="F46" s="137">
        <f>(F40*F23)/1000</f>
        <v>30440.72688847142</v>
      </c>
      <c r="G46" s="141">
        <f>G40*G23/1000</f>
        <v>20560.799366875253</v>
      </c>
      <c r="H46" s="140">
        <f t="shared" si="2"/>
        <v>0.4805225392896618</v>
      </c>
      <c r="I46" s="2"/>
      <c r="J46" s="2"/>
      <c r="K46" s="2"/>
      <c r="L46" s="2"/>
      <c r="M46" s="2"/>
      <c r="N46" s="2"/>
      <c r="O46" s="2"/>
      <c r="P46" s="2"/>
      <c r="Q46" s="2"/>
      <c r="R46" s="7"/>
      <c r="S46" s="8"/>
      <c r="T46" s="9"/>
      <c r="U46" s="9"/>
      <c r="V46" s="10"/>
    </row>
    <row r="47" spans="1:22" ht="24" customHeight="1">
      <c r="A47" s="77" t="s">
        <v>2</v>
      </c>
      <c r="B47" s="137">
        <f t="shared" si="3"/>
        <v>52562.31095725468</v>
      </c>
      <c r="C47" s="137">
        <f t="shared" si="3"/>
        <v>59282.654304635755</v>
      </c>
      <c r="D47" s="139"/>
      <c r="E47" s="77"/>
      <c r="F47" s="137">
        <f>(F41*F24)/1000</f>
        <v>52562.310957254675</v>
      </c>
      <c r="G47" s="141">
        <f>G41*G24/1000</f>
        <v>59282.654304635755</v>
      </c>
      <c r="H47" s="140">
        <f t="shared" si="2"/>
        <v>-0.11336104002441008</v>
      </c>
      <c r="I47" s="2"/>
      <c r="J47" s="2"/>
      <c r="K47" s="2"/>
      <c r="L47" s="2"/>
      <c r="M47" s="2"/>
      <c r="N47" s="2"/>
      <c r="O47" s="2"/>
      <c r="P47" s="2"/>
      <c r="Q47" s="2"/>
      <c r="R47" s="7"/>
      <c r="S47" s="8"/>
      <c r="T47" s="9"/>
      <c r="U47" s="9"/>
      <c r="V47" s="10"/>
    </row>
    <row r="48" spans="1:22" ht="24" customHeight="1">
      <c r="A48" s="77" t="s">
        <v>3</v>
      </c>
      <c r="B48" s="137">
        <f t="shared" si="3"/>
        <v>15770.907405177575</v>
      </c>
      <c r="C48" s="137">
        <f t="shared" si="3"/>
        <v>16340.266225165562</v>
      </c>
      <c r="D48" s="139"/>
      <c r="E48" s="77"/>
      <c r="F48" s="137">
        <f>(F42*F25)/1000</f>
        <v>15770.907405177575</v>
      </c>
      <c r="G48" s="141">
        <f>G42*G25/1000</f>
        <v>16340.266225165562</v>
      </c>
      <c r="H48" s="140">
        <f t="shared" si="2"/>
        <v>-0.03484391332077076</v>
      </c>
      <c r="I48" s="2"/>
      <c r="J48" s="2"/>
      <c r="K48" s="2"/>
      <c r="L48" s="2"/>
      <c r="M48" s="2"/>
      <c r="N48" s="2"/>
      <c r="O48" s="2"/>
      <c r="P48" s="2"/>
      <c r="Q48" s="2"/>
      <c r="R48" s="7"/>
      <c r="S48" s="8"/>
      <c r="T48" s="9"/>
      <c r="U48" s="9"/>
      <c r="V48" s="10"/>
    </row>
    <row r="49" spans="1:22" ht="24" customHeight="1">
      <c r="A49" s="77" t="s">
        <v>8</v>
      </c>
      <c r="B49" s="137">
        <f>SUM(B45:B48)</f>
        <v>161483.66664111012</v>
      </c>
      <c r="C49" s="137">
        <f>SUM(C45:C48)</f>
        <v>138378.55690925085</v>
      </c>
      <c r="D49" s="139"/>
      <c r="E49" s="77"/>
      <c r="F49" s="137">
        <f>SUM(F45:F48)</f>
        <v>161483.66664111012</v>
      </c>
      <c r="G49" s="141">
        <f>SUM(G45:G48)</f>
        <v>138378.55690925085</v>
      </c>
      <c r="H49" s="140">
        <f t="shared" si="2"/>
        <v>0.16697030412747893</v>
      </c>
      <c r="I49" s="36"/>
      <c r="J49" s="2"/>
      <c r="K49" s="2"/>
      <c r="L49" s="2"/>
      <c r="M49" s="2"/>
      <c r="N49" s="2"/>
      <c r="O49" s="2"/>
      <c r="P49" s="2"/>
      <c r="Q49" s="2"/>
      <c r="R49" s="7"/>
      <c r="S49" s="8"/>
      <c r="T49" s="9"/>
      <c r="U49" s="9"/>
      <c r="V49" s="10"/>
    </row>
    <row r="50" spans="1:22" ht="24" customHeight="1">
      <c r="A50" s="75" t="s">
        <v>99</v>
      </c>
      <c r="B50" s="77"/>
      <c r="C50" s="77"/>
      <c r="D50" s="77"/>
      <c r="E50" s="77"/>
      <c r="F50" s="78"/>
      <c r="G50" s="78"/>
      <c r="H50" s="77"/>
      <c r="R50" s="7" t="s">
        <v>1</v>
      </c>
      <c r="S50" s="10">
        <f>F11</f>
        <v>777629</v>
      </c>
      <c r="T50" s="9">
        <f>G40</f>
        <v>75447.89075086667</v>
      </c>
      <c r="U50" s="9">
        <f>F54</f>
        <v>102950.87500000001</v>
      </c>
      <c r="V50" s="10">
        <f>SUM(S50:U50)</f>
        <v>956027.7657508666</v>
      </c>
    </row>
    <row r="51" spans="1:22" ht="24" customHeight="1">
      <c r="A51" s="77" t="s">
        <v>7</v>
      </c>
      <c r="B51" s="137">
        <v>179045</v>
      </c>
      <c r="C51" s="137">
        <v>287855</v>
      </c>
      <c r="D51" s="138">
        <f>(B51-C51)/C51*100</f>
        <v>-37.80028139167289</v>
      </c>
      <c r="E51" s="77"/>
      <c r="F51" s="184"/>
      <c r="G51" s="184"/>
      <c r="H51" s="78"/>
      <c r="I51" s="2"/>
      <c r="J51" s="2"/>
      <c r="K51" s="2"/>
      <c r="L51" s="2"/>
      <c r="M51" s="2"/>
      <c r="N51" s="2"/>
      <c r="O51" s="2"/>
      <c r="R51" s="7" t="s">
        <v>2</v>
      </c>
      <c r="S51" s="10">
        <f>F12</f>
        <v>391840</v>
      </c>
      <c r="T51" s="9">
        <f>G41</f>
        <v>247284</v>
      </c>
      <c r="U51" s="9"/>
      <c r="V51" s="10">
        <f>SUM(S51:U51)</f>
        <v>639124</v>
      </c>
    </row>
    <row r="52" spans="1:22" ht="24" customHeight="1">
      <c r="A52" s="75" t="s">
        <v>6</v>
      </c>
      <c r="B52" s="135"/>
      <c r="C52" s="135"/>
      <c r="D52" s="77"/>
      <c r="E52" s="77"/>
      <c r="F52" s="184"/>
      <c r="G52" s="184"/>
      <c r="H52" s="78"/>
      <c r="I52" s="2"/>
      <c r="J52" s="2"/>
      <c r="K52" s="2"/>
      <c r="L52" s="2"/>
      <c r="M52" s="2"/>
      <c r="N52" s="2"/>
      <c r="O52" s="2"/>
      <c r="P52" s="2"/>
      <c r="R52" s="7" t="s">
        <v>3</v>
      </c>
      <c r="S52" s="10">
        <f>F13</f>
        <v>13556</v>
      </c>
      <c r="T52" s="9">
        <f>G42</f>
        <v>49151</v>
      </c>
      <c r="U52" s="9"/>
      <c r="V52" s="10">
        <f>SUM(S52:U52)</f>
        <v>62707</v>
      </c>
    </row>
    <row r="53" spans="1:22" ht="24" customHeight="1">
      <c r="A53" s="77" t="s">
        <v>0</v>
      </c>
      <c r="B53" s="137">
        <f>B51*0.425</f>
        <v>76094.125</v>
      </c>
      <c r="C53" s="137">
        <f>C51*0.425</f>
        <v>122338.375</v>
      </c>
      <c r="D53" s="138">
        <f>(B53-C53)/C53*100</f>
        <v>-37.80028139167289</v>
      </c>
      <c r="E53" s="77"/>
      <c r="F53" s="137">
        <f>(B53/365)*365</f>
        <v>76094.125</v>
      </c>
      <c r="G53" s="141">
        <f>C53</f>
        <v>122338.375</v>
      </c>
      <c r="H53" s="140">
        <f>(F53-G53)/G53</f>
        <v>-0.3780028139167289</v>
      </c>
      <c r="I53" s="2"/>
      <c r="J53" s="2"/>
      <c r="K53" s="2"/>
      <c r="L53" s="2"/>
      <c r="M53" s="2"/>
      <c r="N53" s="2"/>
      <c r="O53" s="2"/>
      <c r="P53" s="2"/>
      <c r="Q53" s="2"/>
      <c r="R53" s="31"/>
      <c r="S53" s="31"/>
      <c r="T53" s="31"/>
      <c r="U53" s="32"/>
      <c r="V53" s="32"/>
    </row>
    <row r="54" spans="1:22" ht="24" customHeight="1">
      <c r="A54" s="77" t="s">
        <v>1</v>
      </c>
      <c r="B54" s="137">
        <f>B51-B53</f>
        <v>102950.875</v>
      </c>
      <c r="C54" s="137">
        <f>C51-C53</f>
        <v>165516.625</v>
      </c>
      <c r="D54" s="138">
        <f>(B54-C54)/C54*100</f>
        <v>-37.80028139167289</v>
      </c>
      <c r="E54" s="77"/>
      <c r="F54" s="137">
        <f>(B54/365)*365</f>
        <v>102950.87500000001</v>
      </c>
      <c r="G54" s="141">
        <f>C54</f>
        <v>165516.625</v>
      </c>
      <c r="H54" s="140">
        <f>(F54-G54)/G54</f>
        <v>-0.3780028139167288</v>
      </c>
      <c r="I54" s="2"/>
      <c r="J54" s="2"/>
      <c r="K54" s="2"/>
      <c r="L54" s="2"/>
      <c r="M54" s="2"/>
      <c r="N54" s="2"/>
      <c r="O54" s="2"/>
      <c r="P54" s="2"/>
      <c r="Q54" s="24"/>
      <c r="R54" s="31"/>
      <c r="S54" s="31"/>
      <c r="T54" s="31"/>
      <c r="U54" s="31"/>
      <c r="V54" s="31"/>
    </row>
    <row r="55" spans="1:22" ht="24" customHeight="1">
      <c r="A55" s="145" t="s">
        <v>8</v>
      </c>
      <c r="B55" s="146"/>
      <c r="C55" s="146"/>
      <c r="D55" s="147"/>
      <c r="E55" s="145"/>
      <c r="F55" s="146"/>
      <c r="G55" s="146">
        <v>297437</v>
      </c>
      <c r="H55" s="148">
        <f>(F55-G55)/G55</f>
        <v>-1</v>
      </c>
      <c r="I55" s="2"/>
      <c r="J55" s="2"/>
      <c r="K55" s="2"/>
      <c r="L55" s="2"/>
      <c r="M55" s="2"/>
      <c r="N55" s="2"/>
      <c r="O55" s="2"/>
      <c r="P55" s="2"/>
      <c r="Q55" s="24"/>
      <c r="R55" s="31"/>
      <c r="S55" s="31"/>
      <c r="T55" s="31"/>
      <c r="U55" s="31"/>
      <c r="V55" s="31"/>
    </row>
    <row r="56" spans="1:22" ht="24" customHeight="1">
      <c r="A56" s="77" t="s">
        <v>50</v>
      </c>
      <c r="B56" s="137">
        <f>((B53*$F22)+(B54*$F23))/1000</f>
        <v>51825.227400662254</v>
      </c>
      <c r="C56" s="137">
        <f>((C53*$F22)+(C54*$F23))/1000</f>
        <v>83320.67822847683</v>
      </c>
      <c r="D56" s="79"/>
      <c r="E56" s="77"/>
      <c r="F56" s="137">
        <f>(B56/365)*365</f>
        <v>51825.227400662254</v>
      </c>
      <c r="G56" s="137">
        <f>((G53*G22)+(G54*G23))/1000</f>
        <v>81361.92980132448</v>
      </c>
      <c r="H56" s="140">
        <f>(F56-G56)/G56</f>
        <v>-0.3630285377053754</v>
      </c>
      <c r="I56" s="2"/>
      <c r="J56" s="2"/>
      <c r="K56" s="2"/>
      <c r="L56" s="2"/>
      <c r="M56" s="2"/>
      <c r="N56" s="2"/>
      <c r="O56" s="2"/>
      <c r="P56" s="2"/>
      <c r="R56" s="31"/>
      <c r="S56" s="41"/>
      <c r="T56" s="41"/>
      <c r="U56" s="42"/>
      <c r="V56" s="31"/>
    </row>
    <row r="57" spans="1:22" ht="9.75" customHeight="1">
      <c r="A57" s="65"/>
      <c r="B57" s="81"/>
      <c r="C57" s="81"/>
      <c r="D57" s="67"/>
      <c r="E57" s="65"/>
      <c r="F57" s="81"/>
      <c r="G57" s="81"/>
      <c r="H57" s="55"/>
      <c r="I57" s="2"/>
      <c r="J57" s="2"/>
      <c r="K57" s="2"/>
      <c r="L57" s="2"/>
      <c r="M57" s="2"/>
      <c r="N57" s="2"/>
      <c r="O57" s="2"/>
      <c r="P57" s="2"/>
      <c r="R57" s="31"/>
      <c r="S57" s="41"/>
      <c r="T57" s="41"/>
      <c r="U57" s="42"/>
      <c r="V57" s="31"/>
    </row>
    <row r="58" spans="1:22" ht="37.5" customHeight="1">
      <c r="A58" s="83" t="s">
        <v>92</v>
      </c>
      <c r="B58" s="107" t="s">
        <v>90</v>
      </c>
      <c r="C58" s="71"/>
      <c r="D58" s="82"/>
      <c r="E58" s="69"/>
      <c r="F58" s="119" t="s">
        <v>109</v>
      </c>
      <c r="G58" s="119" t="s">
        <v>109</v>
      </c>
      <c r="H58" s="69"/>
      <c r="I58" s="31"/>
      <c r="J58" s="31"/>
      <c r="K58" s="31"/>
      <c r="L58" s="31"/>
      <c r="M58" s="31"/>
      <c r="N58" s="31"/>
      <c r="O58" s="31"/>
      <c r="R58" s="31"/>
      <c r="S58" s="41"/>
      <c r="T58" s="41"/>
      <c r="U58" s="42"/>
      <c r="V58" s="31"/>
    </row>
    <row r="59" spans="1:22" ht="24" customHeight="1">
      <c r="A59" s="69" t="s">
        <v>0</v>
      </c>
      <c r="B59" s="107">
        <f aca="true" t="shared" si="4" ref="B59:C62">B10+B39</f>
        <v>1672071.4718154771</v>
      </c>
      <c r="C59" s="107">
        <f t="shared" si="4"/>
        <v>1531763.1092491334</v>
      </c>
      <c r="D59" s="82">
        <f>(B59-C59)/C59*100</f>
        <v>9.159925690802318</v>
      </c>
      <c r="E59" s="69"/>
      <c r="F59" s="107">
        <f aca="true" t="shared" si="5" ref="F59:G62">F10+F39</f>
        <v>1672071.4718154771</v>
      </c>
      <c r="G59" s="120">
        <f t="shared" si="5"/>
        <v>1550913.1092491334</v>
      </c>
      <c r="H59" s="161">
        <f>(F59-G59)/G59</f>
        <v>0.07812066442910005</v>
      </c>
      <c r="I59" s="38"/>
      <c r="J59" s="38"/>
      <c r="K59" s="38"/>
      <c r="L59" s="38"/>
      <c r="M59" s="38"/>
      <c r="N59" s="38"/>
      <c r="O59" s="38"/>
      <c r="R59" s="31"/>
      <c r="S59" s="41"/>
      <c r="T59" s="41"/>
      <c r="U59" s="42"/>
      <c r="V59" s="31"/>
    </row>
    <row r="60" spans="1:22" ht="24" customHeight="1">
      <c r="A60" s="69" t="s">
        <v>1</v>
      </c>
      <c r="B60" s="107">
        <f t="shared" si="4"/>
        <v>886940.5281845229</v>
      </c>
      <c r="C60" s="107">
        <f t="shared" si="4"/>
        <v>811699.8907508666</v>
      </c>
      <c r="D60" s="82">
        <f>(B60-C60)/C60*100</f>
        <v>9.269514298450202</v>
      </c>
      <c r="E60" s="69"/>
      <c r="F60" s="107">
        <f t="shared" si="5"/>
        <v>886940.5281845229</v>
      </c>
      <c r="G60" s="120">
        <f t="shared" si="5"/>
        <v>821554.8907508666</v>
      </c>
      <c r="H60" s="161">
        <f>(F60-G60)/G60</f>
        <v>0.0795876674459287</v>
      </c>
      <c r="I60" s="49"/>
      <c r="J60" s="38"/>
      <c r="K60" s="38"/>
      <c r="L60" s="38"/>
      <c r="M60" s="38"/>
      <c r="N60" s="38"/>
      <c r="O60" s="38"/>
      <c r="R60" s="31"/>
      <c r="S60" s="41"/>
      <c r="T60" s="41"/>
      <c r="U60" s="42"/>
      <c r="V60" s="31"/>
    </row>
    <row r="61" spans="1:21" ht="24" customHeight="1">
      <c r="A61" s="69" t="s">
        <v>2</v>
      </c>
      <c r="B61" s="107">
        <f t="shared" si="4"/>
        <v>604340.9090909092</v>
      </c>
      <c r="C61" s="107">
        <f t="shared" si="4"/>
        <v>594280</v>
      </c>
      <c r="D61" s="82">
        <f>(B61-C61)/C61*100</f>
        <v>1.6929577120059862</v>
      </c>
      <c r="E61" s="69"/>
      <c r="F61" s="107">
        <f t="shared" si="5"/>
        <v>604340.9090909092</v>
      </c>
      <c r="G61" s="120">
        <f t="shared" si="5"/>
        <v>599792</v>
      </c>
      <c r="H61" s="161">
        <f>(F61-G61)/G61</f>
        <v>0.0075841443215467624</v>
      </c>
      <c r="I61" s="38"/>
      <c r="J61" s="38"/>
      <c r="K61" s="38"/>
      <c r="L61" s="38"/>
      <c r="M61" s="38"/>
      <c r="N61" s="38"/>
      <c r="O61" s="38"/>
      <c r="U61" s="6"/>
    </row>
    <row r="62" spans="1:15" ht="24" customHeight="1">
      <c r="A62" s="69" t="s">
        <v>3</v>
      </c>
      <c r="B62" s="107">
        <f t="shared" si="4"/>
        <v>60434.090909090824</v>
      </c>
      <c r="C62" s="107">
        <f t="shared" si="4"/>
        <v>59428</v>
      </c>
      <c r="D62" s="82">
        <f>(B62-C62)/C62*100</f>
        <v>1.6929577120058297</v>
      </c>
      <c r="E62" s="69"/>
      <c r="F62" s="107">
        <f t="shared" si="5"/>
        <v>60434.090909090824</v>
      </c>
      <c r="G62" s="120">
        <f t="shared" si="5"/>
        <v>59515</v>
      </c>
      <c r="H62" s="161">
        <f>(F62-G62)/G62</f>
        <v>0.015443012838625966</v>
      </c>
      <c r="I62" s="38"/>
      <c r="J62" s="38"/>
      <c r="K62" s="38"/>
      <c r="L62" s="38"/>
      <c r="M62" s="38"/>
      <c r="N62" s="38"/>
      <c r="O62" s="38"/>
    </row>
    <row r="63" spans="1:15" ht="24" customHeight="1">
      <c r="A63" s="153" t="s">
        <v>8</v>
      </c>
      <c r="B63" s="127">
        <f>SUM(B59:B62)</f>
        <v>3223787</v>
      </c>
      <c r="C63" s="127">
        <f>SUM(C59:C62)</f>
        <v>2997171</v>
      </c>
      <c r="D63" s="154">
        <f>(B63-C63)/C63*100</f>
        <v>7.560996686542076</v>
      </c>
      <c r="E63" s="124"/>
      <c r="F63" s="128">
        <f>SUM(F59:F62)</f>
        <v>3223787</v>
      </c>
      <c r="G63" s="128">
        <f>SUM(G59:G62)</f>
        <v>3031775</v>
      </c>
      <c r="H63" s="162"/>
      <c r="I63" s="38"/>
      <c r="J63" s="38"/>
      <c r="K63" s="38"/>
      <c r="L63" s="38"/>
      <c r="M63" s="38"/>
      <c r="N63" s="38"/>
      <c r="O63" s="38"/>
    </row>
    <row r="64" spans="1:15" ht="24" customHeight="1">
      <c r="A64" s="85"/>
      <c r="B64" s="107"/>
      <c r="C64" s="107"/>
      <c r="D64" s="82"/>
      <c r="E64" s="69"/>
      <c r="F64" s="87"/>
      <c r="G64" s="88"/>
      <c r="H64" s="150"/>
      <c r="I64" s="47"/>
      <c r="J64" s="38"/>
      <c r="K64" s="38"/>
      <c r="L64" s="38"/>
      <c r="M64" s="38"/>
      <c r="N64" s="38"/>
      <c r="O64" s="38"/>
    </row>
    <row r="65" spans="1:30" ht="24" customHeight="1">
      <c r="A65" s="69" t="s">
        <v>15</v>
      </c>
      <c r="B65" s="159">
        <f>(B60+B61)/(B59+B62)</f>
        <v>0.8607657426104983</v>
      </c>
      <c r="C65" s="159">
        <f>(C60+C61)/(C59+C62)</f>
        <v>0.8836021534926336</v>
      </c>
      <c r="D65" s="89"/>
      <c r="E65" s="89"/>
      <c r="F65" s="89"/>
      <c r="G65" s="90">
        <v>0.845264816693047</v>
      </c>
      <c r="H65" s="150"/>
      <c r="I65" s="38"/>
      <c r="J65" s="38"/>
      <c r="K65" s="38"/>
      <c r="L65" s="38"/>
      <c r="M65" s="38"/>
      <c r="N65" s="38"/>
      <c r="O65" s="38"/>
      <c r="R65" s="31"/>
      <c r="S65" s="31"/>
      <c r="T65" s="31"/>
      <c r="U65" s="31"/>
      <c r="V65" s="31"/>
      <c r="W65" s="31"/>
      <c r="X65" s="37"/>
      <c r="Y65" s="31"/>
      <c r="Z65" s="31"/>
      <c r="AA65" s="31"/>
      <c r="AB65" s="31"/>
      <c r="AC65" s="31"/>
      <c r="AD65" s="31"/>
    </row>
    <row r="66" spans="1:30" ht="24" customHeight="1">
      <c r="A66" s="69" t="s">
        <v>16</v>
      </c>
      <c r="B66" s="160">
        <f>B60/B59</f>
        <v>0.530444148551565</v>
      </c>
      <c r="C66" s="160">
        <f>C60/C59</f>
        <v>0.5299121553780989</v>
      </c>
      <c r="D66" s="82"/>
      <c r="E66" s="69"/>
      <c r="F66" s="91"/>
      <c r="G66" s="92">
        <v>0.529703557242099</v>
      </c>
      <c r="H66" s="150"/>
      <c r="I66" s="38"/>
      <c r="J66" s="38"/>
      <c r="K66" s="38"/>
      <c r="L66" s="38"/>
      <c r="M66" s="38"/>
      <c r="N66" s="38"/>
      <c r="O66" s="38"/>
      <c r="P66" s="2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</row>
    <row r="67" spans="1:30" ht="24" customHeight="1">
      <c r="A67" s="69"/>
      <c r="B67" s="107">
        <f>B59-B60</f>
        <v>785130.9436309543</v>
      </c>
      <c r="C67" s="107">
        <f>C59-C60</f>
        <v>720063.2184982668</v>
      </c>
      <c r="D67" s="82"/>
      <c r="E67" s="69"/>
      <c r="F67" s="71"/>
      <c r="G67" s="84"/>
      <c r="H67" s="150"/>
      <c r="I67" s="38"/>
      <c r="J67" s="38"/>
      <c r="K67" s="38"/>
      <c r="L67" s="38"/>
      <c r="M67" s="38"/>
      <c r="N67" s="38"/>
      <c r="O67" s="38"/>
      <c r="P67" s="2"/>
      <c r="Q67" s="2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  <row r="68" spans="1:33" ht="24" customHeight="1">
      <c r="A68" s="54"/>
      <c r="B68" s="54"/>
      <c r="C68" s="54"/>
      <c r="D68" s="54"/>
      <c r="E68" s="54"/>
      <c r="F68" s="54"/>
      <c r="G68" s="93"/>
      <c r="H68" s="65"/>
      <c r="I68" s="31"/>
      <c r="J68" s="31"/>
      <c r="K68" s="31"/>
      <c r="L68" s="31"/>
      <c r="M68" s="31"/>
      <c r="N68" s="31"/>
      <c r="O68" s="31"/>
      <c r="P68" s="2"/>
      <c r="Q68" s="2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G68" s="5"/>
    </row>
    <row r="69" spans="1:32" ht="24" customHeight="1">
      <c r="A69" s="68" t="s">
        <v>93</v>
      </c>
      <c r="B69" s="71"/>
      <c r="C69" s="71"/>
      <c r="D69" s="69"/>
      <c r="E69" s="69"/>
      <c r="F69" s="71"/>
      <c r="G69" s="84"/>
      <c r="H69" s="94"/>
      <c r="I69" s="35"/>
      <c r="J69" s="39"/>
      <c r="K69" s="39"/>
      <c r="L69" s="34"/>
      <c r="M69" s="34"/>
      <c r="N69" s="34"/>
      <c r="O69" s="34"/>
      <c r="R69" s="33"/>
      <c r="S69" s="31"/>
      <c r="T69" s="43"/>
      <c r="U69" s="43"/>
      <c r="V69" s="43"/>
      <c r="W69" s="43"/>
      <c r="X69" s="43"/>
      <c r="Y69" s="31"/>
      <c r="Z69" s="32"/>
      <c r="AA69" s="32"/>
      <c r="AB69" s="43"/>
      <c r="AC69" s="43"/>
      <c r="AD69" s="43"/>
      <c r="AE69" s="3"/>
      <c r="AF69" s="3"/>
    </row>
    <row r="70" spans="1:32" ht="24" customHeight="1">
      <c r="A70" s="68" t="s">
        <v>35</v>
      </c>
      <c r="B70" s="71"/>
      <c r="C70" s="71"/>
      <c r="D70" s="69"/>
      <c r="E70" s="69"/>
      <c r="F70" s="119" t="s">
        <v>122</v>
      </c>
      <c r="G70" s="120" t="s">
        <v>123</v>
      </c>
      <c r="H70" s="151"/>
      <c r="I70" s="40"/>
      <c r="J70" s="34"/>
      <c r="K70" s="34"/>
      <c r="L70" s="34"/>
      <c r="M70" s="34"/>
      <c r="N70" s="34"/>
      <c r="O70" s="34"/>
      <c r="R70" s="33"/>
      <c r="S70" s="31"/>
      <c r="T70" s="43"/>
      <c r="U70" s="43"/>
      <c r="V70" s="43"/>
      <c r="W70" s="43"/>
      <c r="X70" s="43"/>
      <c r="Y70" s="31"/>
      <c r="Z70" s="32"/>
      <c r="AA70" s="32"/>
      <c r="AB70" s="43"/>
      <c r="AC70" s="43"/>
      <c r="AD70" s="43"/>
      <c r="AE70" s="3"/>
      <c r="AF70" s="3"/>
    </row>
    <row r="71" spans="1:30" ht="24" customHeight="1">
      <c r="A71" s="69" t="s">
        <v>0</v>
      </c>
      <c r="B71" s="107">
        <f aca="true" t="shared" si="6" ref="B71:C74">(B59*F22)/1000</f>
        <v>508819.10019815346</v>
      </c>
      <c r="C71" s="107">
        <f t="shared" si="6"/>
        <v>453949.6631715147</v>
      </c>
      <c r="D71" s="69"/>
      <c r="E71" s="69"/>
      <c r="F71" s="107">
        <f>(F59*F22)/1000</f>
        <v>508819.10019815346</v>
      </c>
      <c r="G71" s="120">
        <f>(G59*F22)/1000</f>
        <v>471950.04880793166</v>
      </c>
      <c r="H71" s="95">
        <f>(F71-G71)/F71</f>
        <v>0.07246003810757812</v>
      </c>
      <c r="I71" s="31"/>
      <c r="J71" s="32"/>
      <c r="K71" s="32"/>
      <c r="L71" s="34"/>
      <c r="M71" s="34"/>
      <c r="N71" s="34"/>
      <c r="O71" s="34"/>
      <c r="P71" s="2"/>
      <c r="Q71" s="2"/>
      <c r="R71" s="33"/>
      <c r="S71" s="31"/>
      <c r="T71" s="43"/>
      <c r="U71" s="43"/>
      <c r="V71" s="43"/>
      <c r="W71" s="43"/>
      <c r="X71" s="43"/>
      <c r="Y71" s="43"/>
      <c r="Z71" s="43"/>
      <c r="AA71" s="43"/>
      <c r="AB71" s="43"/>
      <c r="AC71" s="31"/>
      <c r="AD71" s="31"/>
    </row>
    <row r="72" spans="1:33" ht="24" customHeight="1">
      <c r="A72" s="69" t="s">
        <v>1</v>
      </c>
      <c r="B72" s="107">
        <f t="shared" si="6"/>
        <v>246992.37887522636</v>
      </c>
      <c r="C72" s="107">
        <f t="shared" si="6"/>
        <v>221201.65896952423</v>
      </c>
      <c r="D72" s="69"/>
      <c r="E72" s="69"/>
      <c r="F72" s="107">
        <f>(F60*F23)/1000</f>
        <v>246992.37887522636</v>
      </c>
      <c r="G72" s="120">
        <f>(G60*F23)/1000</f>
        <v>228783.9944110857</v>
      </c>
      <c r="H72" s="95">
        <f>(F72-G72)/F72</f>
        <v>0.07372043035116896</v>
      </c>
      <c r="I72" s="31"/>
      <c r="J72" s="32"/>
      <c r="K72" s="32"/>
      <c r="L72" s="34"/>
      <c r="M72" s="34"/>
      <c r="N72" s="34"/>
      <c r="O72" s="34"/>
      <c r="P72" s="4"/>
      <c r="Q72" s="2"/>
      <c r="R72" s="32"/>
      <c r="S72" s="31"/>
      <c r="T72" s="31"/>
      <c r="U72" s="31"/>
      <c r="V72" s="31"/>
      <c r="W72" s="31"/>
      <c r="X72" s="31"/>
      <c r="Y72" s="33"/>
      <c r="Z72" s="43"/>
      <c r="AA72" s="43"/>
      <c r="AB72" s="43"/>
      <c r="AC72" s="43"/>
      <c r="AD72" s="43"/>
      <c r="AE72" s="3"/>
      <c r="AF72" s="3"/>
      <c r="AG72" s="3"/>
    </row>
    <row r="73" spans="1:20" ht="24" customHeight="1">
      <c r="A73" s="69" t="s">
        <v>10</v>
      </c>
      <c r="B73" s="107">
        <f t="shared" si="6"/>
        <v>149484.3242022878</v>
      </c>
      <c r="C73" s="107">
        <f t="shared" si="6"/>
        <v>142469.77483443706</v>
      </c>
      <c r="D73" s="69"/>
      <c r="E73" s="69"/>
      <c r="F73" s="107">
        <f>(F61*F24)/1000</f>
        <v>149484.3242022878</v>
      </c>
      <c r="G73" s="120">
        <f>(G61*F24)/1000</f>
        <v>148359.14701986755</v>
      </c>
      <c r="H73" s="95">
        <f>(F73-G73)/F73</f>
        <v>0.0075270580271521465</v>
      </c>
      <c r="I73" s="31"/>
      <c r="J73" s="32"/>
      <c r="K73" s="32"/>
      <c r="L73" s="34"/>
      <c r="M73" s="34"/>
      <c r="N73" s="34"/>
      <c r="O73" s="34"/>
      <c r="P73" s="2"/>
      <c r="Q73" s="2"/>
      <c r="R73" s="2"/>
      <c r="S73" s="2"/>
      <c r="T73" s="2"/>
    </row>
    <row r="74" spans="1:18" ht="24" customHeight="1">
      <c r="A74" s="69" t="s">
        <v>3</v>
      </c>
      <c r="B74" s="107">
        <f t="shared" si="6"/>
        <v>20331.468994581548</v>
      </c>
      <c r="C74" s="107">
        <f t="shared" si="6"/>
        <v>19756.858278145693</v>
      </c>
      <c r="D74" s="106"/>
      <c r="E74" s="69"/>
      <c r="F74" s="107">
        <f>(F62*F25)/1000</f>
        <v>20331.468994581548</v>
      </c>
      <c r="G74" s="120">
        <f>(G62*F25)/1000</f>
        <v>20022.264900662252</v>
      </c>
      <c r="H74" s="95">
        <f>(F74-G74)/F74</f>
        <v>0.015208153134517744</v>
      </c>
      <c r="I74" s="31"/>
      <c r="J74" s="32"/>
      <c r="K74" s="32"/>
      <c r="L74" s="34"/>
      <c r="M74" s="34"/>
      <c r="N74" s="34"/>
      <c r="O74" s="34"/>
      <c r="P74" s="2"/>
      <c r="Q74" s="2"/>
      <c r="R74" s="2"/>
    </row>
    <row r="75" spans="1:15" ht="24" customHeight="1">
      <c r="A75" s="68" t="s">
        <v>79</v>
      </c>
      <c r="B75" s="107">
        <f>SUM(B71:B74)</f>
        <v>925627.2722702492</v>
      </c>
      <c r="C75" s="107">
        <f>SUM(C71:C74)</f>
        <v>837377.9552536217</v>
      </c>
      <c r="D75" s="163">
        <f>(B75-C75)/C75*100</f>
        <v>10.538767645238394</v>
      </c>
      <c r="E75" s="69"/>
      <c r="F75" s="119">
        <f>SUM(F71:F74)</f>
        <v>925627.2722702492</v>
      </c>
      <c r="G75" s="120">
        <f>SUM(G71:G74)</f>
        <v>869115.4551395471</v>
      </c>
      <c r="H75" s="95">
        <f>(F75-G75)/F75</f>
        <v>0.06105245472305261</v>
      </c>
      <c r="I75" s="35"/>
      <c r="J75" s="32"/>
      <c r="K75" s="32"/>
      <c r="L75" s="34"/>
      <c r="M75" s="34"/>
      <c r="N75" s="34"/>
      <c r="O75" s="34"/>
    </row>
    <row r="76" spans="1:15" ht="24" customHeight="1">
      <c r="A76" s="83" t="s">
        <v>94</v>
      </c>
      <c r="B76" s="107">
        <f>((B53*F22)+(B54*F23))/1000</f>
        <v>51825.227400662254</v>
      </c>
      <c r="C76" s="107">
        <f>((C53*G22)+(C54*G23))/1000</f>
        <v>81361.92980132448</v>
      </c>
      <c r="D76" s="163">
        <f>(B76-C76)/C76*100</f>
        <v>-36.30285377053754</v>
      </c>
      <c r="E76" s="69"/>
      <c r="F76" s="119">
        <f>(B76/365)*365</f>
        <v>51825.227400662254</v>
      </c>
      <c r="G76" s="119">
        <f>G56</f>
        <v>81361.92980132448</v>
      </c>
      <c r="H76" s="95"/>
      <c r="I76" s="35"/>
      <c r="J76" s="32"/>
      <c r="K76" s="32"/>
      <c r="L76" s="34"/>
      <c r="M76" s="34"/>
      <c r="N76" s="34"/>
      <c r="O76" s="34"/>
    </row>
    <row r="77" spans="1:15" ht="24" customHeight="1">
      <c r="A77" s="83" t="s">
        <v>95</v>
      </c>
      <c r="B77" s="107"/>
      <c r="C77" s="107"/>
      <c r="D77" s="82"/>
      <c r="E77" s="69"/>
      <c r="F77" s="119">
        <v>42800</v>
      </c>
      <c r="G77" s="119">
        <v>43400</v>
      </c>
      <c r="H77" s="95"/>
      <c r="I77" s="35"/>
      <c r="J77" s="32"/>
      <c r="K77" s="32"/>
      <c r="L77" s="34"/>
      <c r="M77" s="34"/>
      <c r="N77" s="34"/>
      <c r="O77" s="34"/>
    </row>
    <row r="78" spans="1:15" ht="24" customHeight="1">
      <c r="A78" s="96" t="s">
        <v>91</v>
      </c>
      <c r="B78" s="107">
        <f>B75+B76</f>
        <v>977452.4996709115</v>
      </c>
      <c r="C78" s="107">
        <f>C75+C76</f>
        <v>918739.8850549462</v>
      </c>
      <c r="D78" s="163">
        <f>(B78-C78)/C78*100</f>
        <v>6.39055902231282</v>
      </c>
      <c r="E78" s="69"/>
      <c r="F78" s="119">
        <f>SUM(F75:F76)</f>
        <v>977452.4996709115</v>
      </c>
      <c r="G78" s="119">
        <f>SUM(G75:G76)</f>
        <v>950477.3849408716</v>
      </c>
      <c r="H78" s="95"/>
      <c r="I78" s="33"/>
      <c r="J78" s="32"/>
      <c r="K78" s="32"/>
      <c r="L78" s="34"/>
      <c r="M78" s="34"/>
      <c r="N78" s="34"/>
      <c r="O78" s="34"/>
    </row>
    <row r="79" spans="1:15" ht="24" customHeight="1">
      <c r="A79" s="96"/>
      <c r="B79" s="106"/>
      <c r="C79" s="107"/>
      <c r="D79" s="69"/>
      <c r="E79" s="69"/>
      <c r="F79" s="119"/>
      <c r="G79" s="120"/>
      <c r="H79" s="97"/>
      <c r="I79" s="33"/>
      <c r="J79" s="32"/>
      <c r="K79" s="32"/>
      <c r="L79" s="34"/>
      <c r="M79" s="34"/>
      <c r="N79" s="34"/>
      <c r="O79" s="34"/>
    </row>
    <row r="80" spans="1:15" ht="24" customHeight="1">
      <c r="A80" s="85" t="s">
        <v>53</v>
      </c>
      <c r="B80" s="106"/>
      <c r="C80" s="107"/>
      <c r="D80" s="69"/>
      <c r="E80" s="69"/>
      <c r="F80" s="119">
        <f>F78-(F56/2)</f>
        <v>951539.8859705804</v>
      </c>
      <c r="G80" s="119">
        <f>G78-(G56/2)</f>
        <v>909796.4200402094</v>
      </c>
      <c r="H80" s="151"/>
      <c r="I80" s="33"/>
      <c r="J80" s="32"/>
      <c r="K80" s="32"/>
      <c r="L80" s="34"/>
      <c r="M80" s="34"/>
      <c r="N80" s="34"/>
      <c r="O80" s="34"/>
    </row>
    <row r="81" spans="1:15" ht="24" customHeight="1">
      <c r="A81" s="65"/>
      <c r="B81" s="81"/>
      <c r="C81" s="81"/>
      <c r="D81" s="65"/>
      <c r="E81" s="65"/>
      <c r="F81" s="81"/>
      <c r="G81" s="81"/>
      <c r="H81" s="94"/>
      <c r="I81" s="33"/>
      <c r="J81" s="32"/>
      <c r="K81" s="32"/>
      <c r="L81" s="34"/>
      <c r="M81" s="34"/>
      <c r="N81" s="34"/>
      <c r="O81" s="34"/>
    </row>
    <row r="82" spans="1:15" ht="24" customHeight="1">
      <c r="A82" s="100" t="s">
        <v>98</v>
      </c>
      <c r="B82" s="98"/>
      <c r="C82" s="98"/>
      <c r="D82" s="99"/>
      <c r="E82" s="99"/>
      <c r="F82" s="165" t="s">
        <v>123</v>
      </c>
      <c r="G82" s="165" t="s">
        <v>123</v>
      </c>
      <c r="H82" s="94"/>
      <c r="I82" s="33"/>
      <c r="J82" s="32"/>
      <c r="K82" s="32"/>
      <c r="L82" s="34"/>
      <c r="M82" s="34"/>
      <c r="N82" s="34"/>
      <c r="O82" s="34"/>
    </row>
    <row r="83" spans="1:15" ht="24" customHeight="1">
      <c r="A83" s="100"/>
      <c r="B83" s="98"/>
      <c r="C83" s="98"/>
      <c r="D83" s="99"/>
      <c r="E83" s="99"/>
      <c r="F83" s="98"/>
      <c r="G83" s="98"/>
      <c r="H83" s="94"/>
      <c r="I83" s="33"/>
      <c r="J83" s="32"/>
      <c r="K83" s="32"/>
      <c r="L83" s="34"/>
      <c r="M83" s="34"/>
      <c r="N83" s="34"/>
      <c r="O83" s="34"/>
    </row>
    <row r="84" spans="1:15" ht="24" customHeight="1">
      <c r="A84" s="99" t="s">
        <v>9</v>
      </c>
      <c r="B84" s="164">
        <v>123953</v>
      </c>
      <c r="C84" s="164">
        <v>122785</v>
      </c>
      <c r="D84" s="166">
        <f>(B84-C84)/C84</f>
        <v>0.009512562609439263</v>
      </c>
      <c r="E84" s="167"/>
      <c r="F84" s="164">
        <f>(B84/365)*365</f>
        <v>123953</v>
      </c>
      <c r="G84" s="165">
        <v>128473</v>
      </c>
      <c r="H84" s="168">
        <f>(F84-G84)/G84</f>
        <v>-0.03518248970600826</v>
      </c>
      <c r="I84" s="33"/>
      <c r="J84" s="32"/>
      <c r="K84" s="32"/>
      <c r="L84" s="34"/>
      <c r="M84" s="34"/>
      <c r="N84" s="34"/>
      <c r="O84" s="34"/>
    </row>
    <row r="85" spans="1:15" ht="24" customHeight="1">
      <c r="A85" s="99" t="s">
        <v>14</v>
      </c>
      <c r="B85" s="164">
        <f>B86-B84</f>
        <v>64234</v>
      </c>
      <c r="C85" s="164">
        <f>C86-C84</f>
        <v>72853</v>
      </c>
      <c r="D85" s="166">
        <f>(B85-C85)/C85</f>
        <v>-0.11830672724527473</v>
      </c>
      <c r="E85" s="167"/>
      <c r="F85" s="164">
        <f>(B85/365)*365</f>
        <v>64234.00000000001</v>
      </c>
      <c r="G85" s="165">
        <v>74871</v>
      </c>
      <c r="H85" s="168">
        <f>(F85-G85)/G85</f>
        <v>-0.14207102883626493</v>
      </c>
      <c r="I85" s="33"/>
      <c r="J85" s="32"/>
      <c r="K85" s="32"/>
      <c r="L85" s="34"/>
      <c r="M85" s="34"/>
      <c r="N85" s="34"/>
      <c r="O85" s="34"/>
    </row>
    <row r="86" spans="1:15" ht="24" customHeight="1">
      <c r="A86" s="99" t="s">
        <v>79</v>
      </c>
      <c r="B86" s="164">
        <v>188187</v>
      </c>
      <c r="C86" s="164">
        <v>195638</v>
      </c>
      <c r="D86" s="166">
        <f>(B86-C86)/C86</f>
        <v>-0.038085647982498284</v>
      </c>
      <c r="E86" s="167"/>
      <c r="F86" s="164">
        <f>SUM(F84:F85)</f>
        <v>188187</v>
      </c>
      <c r="G86" s="165">
        <v>203344</v>
      </c>
      <c r="H86" s="168">
        <f>(F86-G86)/G86</f>
        <v>-0.07453871272326698</v>
      </c>
      <c r="I86" s="33"/>
      <c r="J86" s="32"/>
      <c r="K86" s="32"/>
      <c r="L86" s="34"/>
      <c r="M86" s="34"/>
      <c r="N86" s="34"/>
      <c r="O86" s="34"/>
    </row>
    <row r="87" spans="1:15" ht="24" customHeight="1">
      <c r="A87" s="65"/>
      <c r="B87" s="81"/>
      <c r="C87" s="65"/>
      <c r="D87" s="86"/>
      <c r="E87" s="65"/>
      <c r="F87" s="65"/>
      <c r="G87" s="81"/>
      <c r="H87" s="121"/>
      <c r="I87" s="33"/>
      <c r="J87" s="32"/>
      <c r="K87" s="32"/>
      <c r="L87" s="34"/>
      <c r="M87" s="34"/>
      <c r="N87" s="34"/>
      <c r="O87" s="34"/>
    </row>
    <row r="88" spans="1:15" ht="24" customHeight="1">
      <c r="A88" s="65"/>
      <c r="B88" s="81"/>
      <c r="C88" s="65"/>
      <c r="D88" s="86"/>
      <c r="E88" s="65"/>
      <c r="F88" s="65"/>
      <c r="G88" s="65"/>
      <c r="H88" s="121"/>
      <c r="I88" s="33"/>
      <c r="J88" s="32"/>
      <c r="K88" s="32"/>
      <c r="L88" s="34"/>
      <c r="M88" s="34"/>
      <c r="N88" s="34"/>
      <c r="O88" s="34"/>
    </row>
    <row r="89" spans="1:15" ht="24" customHeight="1">
      <c r="A89" s="57" t="s">
        <v>100</v>
      </c>
      <c r="B89" s="58"/>
      <c r="C89" s="58"/>
      <c r="D89" s="60"/>
      <c r="E89" s="58"/>
      <c r="F89" s="170" t="s">
        <v>122</v>
      </c>
      <c r="G89" s="170" t="s">
        <v>123</v>
      </c>
      <c r="H89" s="62"/>
      <c r="I89" s="33"/>
      <c r="J89" s="32"/>
      <c r="K89" s="32"/>
      <c r="L89" s="34"/>
      <c r="M89" s="34"/>
      <c r="N89" s="34"/>
      <c r="O89" s="34"/>
    </row>
    <row r="90" spans="1:15" ht="24" customHeight="1">
      <c r="A90" s="58" t="s">
        <v>20</v>
      </c>
      <c r="B90" s="59">
        <v>269842</v>
      </c>
      <c r="C90" s="59">
        <v>230255</v>
      </c>
      <c r="D90" s="60">
        <f>(B90-C90)/C90</f>
        <v>0.17192677683437926</v>
      </c>
      <c r="E90" s="58"/>
      <c r="F90" s="59">
        <f>(B90/365)*365</f>
        <v>269842</v>
      </c>
      <c r="G90" s="61">
        <v>233086.377245509</v>
      </c>
      <c r="H90" s="62">
        <f>(F90-G90)/G90</f>
        <v>0.1576909950244601</v>
      </c>
      <c r="I90" s="33"/>
      <c r="J90" s="32"/>
      <c r="K90" s="32"/>
      <c r="L90" s="34"/>
      <c r="M90" s="34"/>
      <c r="N90" s="34"/>
      <c r="O90" s="34"/>
    </row>
    <row r="91" spans="1:15" ht="24" customHeight="1">
      <c r="A91" s="58" t="s">
        <v>17</v>
      </c>
      <c r="B91" s="59">
        <v>16143</v>
      </c>
      <c r="C91" s="59">
        <v>19418</v>
      </c>
      <c r="D91" s="60">
        <f>(B91-C91)/C91</f>
        <v>-0.16865794623545163</v>
      </c>
      <c r="E91" s="58"/>
      <c r="F91" s="59">
        <f>(B91/365)*365</f>
        <v>16143</v>
      </c>
      <c r="G91" s="61">
        <v>19835.67365269461</v>
      </c>
      <c r="H91" s="62">
        <f>(F91-G91)/G91</f>
        <v>-0.18616325905286177</v>
      </c>
      <c r="I91" s="33"/>
      <c r="J91" s="32"/>
      <c r="K91" s="32"/>
      <c r="L91" s="34"/>
      <c r="M91" s="34"/>
      <c r="N91" s="34"/>
      <c r="O91" s="34"/>
    </row>
    <row r="92" spans="1:8" ht="24" customHeight="1">
      <c r="A92" s="58" t="s">
        <v>29</v>
      </c>
      <c r="B92" s="59">
        <f>B93-B91-B90</f>
        <v>73617</v>
      </c>
      <c r="C92" s="59">
        <f>C93-C91-C90</f>
        <v>71950</v>
      </c>
      <c r="D92" s="60">
        <f>(B92-C92)/C92</f>
        <v>0.02316886726893676</v>
      </c>
      <c r="E92" s="58"/>
      <c r="F92" s="59">
        <f>(B92/365)*365</f>
        <v>73617</v>
      </c>
      <c r="G92" s="61">
        <v>69607.90419161678</v>
      </c>
      <c r="H92" s="62">
        <f>(F92-G92)/G92</f>
        <v>0.05759541039113857</v>
      </c>
    </row>
    <row r="93" spans="1:8" ht="24" customHeight="1">
      <c r="A93" s="58" t="s">
        <v>102</v>
      </c>
      <c r="B93" s="59">
        <v>359602</v>
      </c>
      <c r="C93" s="59">
        <v>321623</v>
      </c>
      <c r="D93" s="60">
        <f>(B93-C93)/C93</f>
        <v>0.11808546030601046</v>
      </c>
      <c r="E93" s="58"/>
      <c r="F93" s="59">
        <f>(B93/365)*365</f>
        <v>359602</v>
      </c>
      <c r="G93" s="61">
        <v>322529.95508982043</v>
      </c>
      <c r="H93" s="62">
        <f>(F93-G93)/G93</f>
        <v>0.11494140102383818</v>
      </c>
    </row>
    <row r="94" spans="1:8" ht="24" customHeight="1">
      <c r="A94" s="58" t="s">
        <v>37</v>
      </c>
      <c r="B94" s="59">
        <f>B93+B49</f>
        <v>521085.6666411101</v>
      </c>
      <c r="C94" s="59">
        <f>C93+C49</f>
        <v>460001.55690925085</v>
      </c>
      <c r="D94" s="60">
        <f>(B94-C94)/C94</f>
        <v>0.13279109345255957</v>
      </c>
      <c r="E94" s="58"/>
      <c r="F94" s="59">
        <f>F93+F49</f>
        <v>521085.6666411101</v>
      </c>
      <c r="G94" s="61">
        <f>G93+G49</f>
        <v>460908.5119990713</v>
      </c>
      <c r="H94" s="62">
        <f>(F94-G94)/G94</f>
        <v>0.13056203796505295</v>
      </c>
    </row>
    <row r="95" spans="1:8" ht="24" customHeight="1">
      <c r="A95" s="58"/>
      <c r="B95" s="59"/>
      <c r="C95" s="59"/>
      <c r="D95" s="58"/>
      <c r="E95" s="58"/>
      <c r="F95" s="101"/>
      <c r="G95" s="101"/>
      <c r="H95" s="62"/>
    </row>
    <row r="96" spans="1:8" ht="24" customHeight="1">
      <c r="A96" s="58" t="s">
        <v>124</v>
      </c>
      <c r="B96" s="59">
        <f>B33-B93+B86</f>
        <v>592728.6056291391</v>
      </c>
      <c r="C96" s="59">
        <f>C33-C93+C86</f>
        <v>-125985</v>
      </c>
      <c r="D96" s="60">
        <f>C96/B96</f>
        <v>-0.21255090239195712</v>
      </c>
      <c r="E96" s="58"/>
      <c r="F96" s="59"/>
      <c r="G96" s="59"/>
      <c r="H96" s="58"/>
    </row>
    <row r="97" spans="1:8" ht="24" customHeight="1">
      <c r="A97" s="65"/>
      <c r="B97" s="81"/>
      <c r="C97" s="81"/>
      <c r="D97" s="86"/>
      <c r="E97" s="65"/>
      <c r="F97" s="81"/>
      <c r="G97" s="81"/>
      <c r="H97" s="65"/>
    </row>
    <row r="98" spans="1:8" ht="24" customHeight="1">
      <c r="A98" s="75" t="s">
        <v>85</v>
      </c>
      <c r="B98" s="75" t="s">
        <v>70</v>
      </c>
      <c r="C98" s="171">
        <v>2015</v>
      </c>
      <c r="D98" s="77"/>
      <c r="E98" s="77"/>
      <c r="F98" s="77"/>
      <c r="G98" s="77"/>
      <c r="H98" s="102"/>
    </row>
    <row r="99" spans="1:15" ht="24" customHeight="1">
      <c r="A99" s="75" t="s">
        <v>34</v>
      </c>
      <c r="B99" s="50">
        <v>36</v>
      </c>
      <c r="C99" s="77"/>
      <c r="D99" s="77"/>
      <c r="E99" s="77"/>
      <c r="F99" s="77"/>
      <c r="G99" s="77"/>
      <c r="H99" s="80"/>
      <c r="I99" s="26"/>
      <c r="J99" s="26"/>
      <c r="K99" s="26"/>
      <c r="L99" s="26"/>
      <c r="M99" s="26"/>
      <c r="N99" s="26"/>
      <c r="O99" s="26"/>
    </row>
    <row r="100" spans="1:15" ht="24" customHeight="1">
      <c r="A100" s="75"/>
      <c r="B100" s="183" t="s">
        <v>82</v>
      </c>
      <c r="C100" s="184" t="s">
        <v>83</v>
      </c>
      <c r="D100" s="184" t="s">
        <v>84</v>
      </c>
      <c r="E100" s="139"/>
      <c r="F100" s="77"/>
      <c r="G100" s="77"/>
      <c r="H100" s="80"/>
      <c r="I100" s="26"/>
      <c r="J100" s="26"/>
      <c r="K100" s="26"/>
      <c r="L100" s="26"/>
      <c r="M100" s="26"/>
      <c r="N100" s="26"/>
      <c r="O100" s="26"/>
    </row>
    <row r="101" spans="1:8" ht="24" customHeight="1">
      <c r="A101" s="75" t="s">
        <v>88</v>
      </c>
      <c r="B101" s="183"/>
      <c r="C101" s="184"/>
      <c r="D101" s="184"/>
      <c r="E101" s="139"/>
      <c r="F101" s="77"/>
      <c r="G101" s="78"/>
      <c r="H101" s="54"/>
    </row>
    <row r="102" spans="1:8" ht="24" customHeight="1">
      <c r="A102" s="77" t="s">
        <v>80</v>
      </c>
      <c r="B102" s="76">
        <f>(G115+F84)/($B$99*1000)</f>
        <v>11.861445299852834</v>
      </c>
      <c r="C102" s="79">
        <f>B102/0.73</f>
        <v>16.248555205277857</v>
      </c>
      <c r="D102" s="79">
        <f>C102*2.2046</f>
        <v>35.82156480555557</v>
      </c>
      <c r="E102" s="77"/>
      <c r="F102" s="77"/>
      <c r="G102" s="78"/>
      <c r="H102" s="76"/>
    </row>
    <row r="103" spans="1:17" ht="24" customHeight="1">
      <c r="A103" s="77" t="s">
        <v>81</v>
      </c>
      <c r="B103" s="76">
        <f>(G116+F85)/($B$99*1000)</f>
        <v>4.603238189845475</v>
      </c>
      <c r="C103" s="79">
        <f>B103/0.73</f>
        <v>6.305805739514349</v>
      </c>
      <c r="D103" s="79">
        <f>C103*2.2046</f>
        <v>13.901779333333334</v>
      </c>
      <c r="E103" s="77"/>
      <c r="F103" s="77"/>
      <c r="G103" s="78"/>
      <c r="H103" s="76"/>
      <c r="I103" s="2"/>
      <c r="J103" s="2"/>
      <c r="K103" s="2"/>
      <c r="L103" s="2"/>
      <c r="M103" s="2"/>
      <c r="N103" s="2"/>
      <c r="O103" s="2"/>
      <c r="P103" s="2"/>
      <c r="Q103" s="2"/>
    </row>
    <row r="104" spans="1:19" ht="24" customHeight="1">
      <c r="A104" s="145" t="s">
        <v>87</v>
      </c>
      <c r="B104" s="172">
        <f>SUM(B102:B103)</f>
        <v>16.46468348969831</v>
      </c>
      <c r="C104" s="172">
        <f>SUM(C102:C103)</f>
        <v>22.554360944792204</v>
      </c>
      <c r="D104" s="172">
        <f>SUM(D102:D103)</f>
        <v>49.723344138888905</v>
      </c>
      <c r="E104" s="77"/>
      <c r="F104" s="78"/>
      <c r="G104" s="78"/>
      <c r="H104" s="76"/>
      <c r="S104" s="1"/>
    </row>
    <row r="105" spans="1:17" ht="24" customHeight="1">
      <c r="A105" s="54"/>
      <c r="B105" s="54"/>
      <c r="C105" s="54"/>
      <c r="D105" s="54"/>
      <c r="E105" s="54"/>
      <c r="F105" s="55"/>
      <c r="G105" s="54"/>
      <c r="H105" s="55"/>
      <c r="I105" s="2"/>
      <c r="J105" s="2"/>
      <c r="K105" s="2"/>
      <c r="L105" s="2"/>
      <c r="M105" s="2"/>
      <c r="N105" s="2"/>
      <c r="O105" s="2"/>
      <c r="P105" s="2"/>
      <c r="Q105" s="2"/>
    </row>
    <row r="106" spans="1:8" ht="24" customHeight="1">
      <c r="A106" s="54"/>
      <c r="B106" s="54"/>
      <c r="C106" s="54"/>
      <c r="D106" s="54"/>
      <c r="E106" s="54"/>
      <c r="F106" s="55"/>
      <c r="G106" s="55"/>
      <c r="H106" s="54"/>
    </row>
    <row r="107" spans="1:9" ht="24" customHeight="1">
      <c r="A107" s="57" t="s">
        <v>52</v>
      </c>
      <c r="B107" s="58"/>
      <c r="C107" s="58"/>
      <c r="D107" s="58"/>
      <c r="E107" s="58"/>
      <c r="F107" s="59"/>
      <c r="G107" s="59"/>
      <c r="H107" s="58"/>
      <c r="I107" s="7"/>
    </row>
    <row r="108" spans="1:9" ht="24" customHeight="1">
      <c r="A108" s="57" t="s">
        <v>89</v>
      </c>
      <c r="B108" s="58"/>
      <c r="C108" s="58"/>
      <c r="D108" s="58"/>
      <c r="E108" s="58"/>
      <c r="F108" s="115" t="s">
        <v>126</v>
      </c>
      <c r="G108" s="115" t="s">
        <v>125</v>
      </c>
      <c r="H108" s="115" t="s">
        <v>127</v>
      </c>
      <c r="I108" s="7"/>
    </row>
    <row r="109" spans="1:9" ht="24" customHeight="1">
      <c r="A109" s="58" t="s">
        <v>74</v>
      </c>
      <c r="B109" s="58"/>
      <c r="C109" s="58"/>
      <c r="D109" s="58"/>
      <c r="E109" s="58"/>
      <c r="F109" s="170">
        <f>F78</f>
        <v>977452.4996709115</v>
      </c>
      <c r="G109" s="169"/>
      <c r="H109" s="104"/>
      <c r="I109" s="173"/>
    </row>
    <row r="110" spans="1:9" ht="24" customHeight="1">
      <c r="A110" s="58" t="s">
        <v>54</v>
      </c>
      <c r="B110" s="58"/>
      <c r="C110" s="58"/>
      <c r="D110" s="58"/>
      <c r="E110" s="58"/>
      <c r="F110" s="170">
        <f>(F29+F30)</f>
        <v>662661.030794702</v>
      </c>
      <c r="G110" s="169"/>
      <c r="H110" s="104"/>
      <c r="I110" s="173"/>
    </row>
    <row r="111" spans="1:9" ht="24" customHeight="1">
      <c r="A111" s="58" t="s">
        <v>55</v>
      </c>
      <c r="B111" s="58"/>
      <c r="C111" s="58"/>
      <c r="D111" s="58"/>
      <c r="E111" s="58"/>
      <c r="F111" s="104"/>
      <c r="G111" s="169"/>
      <c r="H111" s="169"/>
      <c r="I111" s="173"/>
    </row>
    <row r="112" spans="1:9" ht="24" customHeight="1">
      <c r="A112" s="58" t="s">
        <v>76</v>
      </c>
      <c r="B112" s="58"/>
      <c r="C112" s="58"/>
      <c r="D112" s="58"/>
      <c r="E112" s="58"/>
      <c r="F112" s="169"/>
      <c r="G112" s="104"/>
      <c r="H112" s="169">
        <f>F90</f>
        <v>269842</v>
      </c>
      <c r="I112" s="173">
        <f>H112/$F$109</f>
        <v>0.2760666120254952</v>
      </c>
    </row>
    <row r="113" spans="1:9" ht="24" customHeight="1">
      <c r="A113" s="58" t="s">
        <v>75</v>
      </c>
      <c r="B113" s="58"/>
      <c r="C113" s="58"/>
      <c r="D113" s="58"/>
      <c r="E113" s="58"/>
      <c r="F113" s="169"/>
      <c r="G113" s="104"/>
      <c r="H113" s="169">
        <f>F91</f>
        <v>16143</v>
      </c>
      <c r="I113" s="173">
        <f>H113/$F$109</f>
        <v>0.016515380548348918</v>
      </c>
    </row>
    <row r="114" spans="1:9" ht="24" customHeight="1">
      <c r="A114" s="58" t="s">
        <v>60</v>
      </c>
      <c r="B114" s="58"/>
      <c r="C114" s="58"/>
      <c r="D114" s="58"/>
      <c r="E114" s="58"/>
      <c r="F114" s="169"/>
      <c r="G114" s="104"/>
      <c r="H114" s="169">
        <f>F92</f>
        <v>73617</v>
      </c>
      <c r="I114" s="173">
        <f>H114/$F$109</f>
        <v>0.07531516879314888</v>
      </c>
    </row>
    <row r="115" spans="1:10" ht="24" customHeight="1">
      <c r="A115" s="58" t="s">
        <v>59</v>
      </c>
      <c r="B115" s="58"/>
      <c r="C115" s="58"/>
      <c r="D115" s="58"/>
      <c r="E115" s="58"/>
      <c r="F115" s="104"/>
      <c r="G115" s="169">
        <f>F110-H112-H113-H114</f>
        <v>303059.030794702</v>
      </c>
      <c r="H115" s="169"/>
      <c r="I115" s="173">
        <f>G115/$F$109</f>
        <v>0.31004988057909294</v>
      </c>
      <c r="J115" s="51"/>
    </row>
    <row r="116" spans="1:9" ht="24" customHeight="1">
      <c r="A116" s="58" t="s">
        <v>56</v>
      </c>
      <c r="B116" s="58"/>
      <c r="C116" s="58"/>
      <c r="D116" s="58"/>
      <c r="E116" s="58"/>
      <c r="F116" s="169">
        <f>F31+F32</f>
        <v>101482.57483443708</v>
      </c>
      <c r="G116" s="169">
        <f>F116</f>
        <v>101482.57483443708</v>
      </c>
      <c r="H116" s="104"/>
      <c r="I116" s="173">
        <f>F116/$F$109</f>
        <v>0.10382353604763835</v>
      </c>
    </row>
    <row r="117" spans="1:9" ht="24" customHeight="1">
      <c r="A117" s="58" t="s">
        <v>61</v>
      </c>
      <c r="B117" s="58"/>
      <c r="C117" s="58"/>
      <c r="D117" s="58"/>
      <c r="E117" s="58"/>
      <c r="F117" s="169">
        <f>F45+F46</f>
        <v>93150.44827867788</v>
      </c>
      <c r="G117" s="174"/>
      <c r="H117" s="169">
        <f>F117</f>
        <v>93150.44827867788</v>
      </c>
      <c r="I117" s="173">
        <f>F117/$F$109</f>
        <v>0.09529920718402149</v>
      </c>
    </row>
    <row r="118" spans="1:9" ht="24" customHeight="1">
      <c r="A118" s="58" t="s">
        <v>57</v>
      </c>
      <c r="B118" s="58"/>
      <c r="C118" s="58"/>
      <c r="D118" s="58"/>
      <c r="E118" s="58"/>
      <c r="F118" s="169">
        <f>F47+F48</f>
        <v>68333.21836243225</v>
      </c>
      <c r="G118" s="104"/>
      <c r="H118" s="169">
        <f>F118</f>
        <v>68333.21836243225</v>
      </c>
      <c r="I118" s="173">
        <f>F118/$F$109</f>
        <v>0.06990950290212432</v>
      </c>
    </row>
    <row r="119" spans="1:10" ht="24" customHeight="1">
      <c r="A119" s="58" t="s">
        <v>58</v>
      </c>
      <c r="B119" s="58"/>
      <c r="C119" s="58"/>
      <c r="D119" s="58"/>
      <c r="E119" s="58"/>
      <c r="F119" s="169">
        <f>F56</f>
        <v>51825.227400662254</v>
      </c>
      <c r="G119" s="104"/>
      <c r="H119" s="169">
        <f>F119</f>
        <v>51825.227400662254</v>
      </c>
      <c r="I119" s="173">
        <f>F119/$F$109</f>
        <v>0.053020711920129894</v>
      </c>
      <c r="J119" s="44"/>
    </row>
    <row r="120" spans="1:9" ht="24" customHeight="1">
      <c r="A120" s="110" t="s">
        <v>74</v>
      </c>
      <c r="B120" s="110"/>
      <c r="C120" s="110"/>
      <c r="D120" s="110"/>
      <c r="E120" s="110"/>
      <c r="F120" s="130">
        <f>SUM(F110:F119)</f>
        <v>977452.4996709115</v>
      </c>
      <c r="G120" s="130">
        <f>SUM(G115:G119)</f>
        <v>404541.6056291391</v>
      </c>
      <c r="H120" s="130">
        <f>SUM(H112:H119)</f>
        <v>572910.8940417723</v>
      </c>
      <c r="I120" s="176">
        <f>SUM(I112:I119)</f>
        <v>1</v>
      </c>
    </row>
    <row r="121" spans="1:9" ht="24" customHeight="1">
      <c r="A121" s="58" t="s">
        <v>71</v>
      </c>
      <c r="B121" s="58"/>
      <c r="C121" s="58"/>
      <c r="D121" s="58"/>
      <c r="E121" s="58"/>
      <c r="F121" s="169">
        <f>F109-F120</f>
        <v>0</v>
      </c>
      <c r="G121" s="175"/>
      <c r="H121" s="175"/>
      <c r="I121" s="173"/>
    </row>
    <row r="122" spans="1:8" ht="24" customHeight="1">
      <c r="A122" s="54"/>
      <c r="B122" s="58"/>
      <c r="C122" s="54"/>
      <c r="D122" s="54"/>
      <c r="E122" s="54"/>
      <c r="F122" s="54"/>
      <c r="G122" s="54"/>
      <c r="H122" s="54"/>
    </row>
    <row r="123" spans="1:8" ht="24" customHeight="1">
      <c r="A123" s="58" t="s">
        <v>86</v>
      </c>
      <c r="B123" s="58"/>
      <c r="C123" s="54"/>
      <c r="D123" s="54"/>
      <c r="E123" s="54"/>
      <c r="F123" s="54"/>
      <c r="G123" s="54"/>
      <c r="H123" s="54"/>
    </row>
    <row r="124" spans="1:2" ht="24" customHeight="1">
      <c r="A124" s="58" t="s">
        <v>62</v>
      </c>
      <c r="B124" s="60">
        <f>I115</f>
        <v>0.31004988057909294</v>
      </c>
    </row>
    <row r="125" spans="1:4" ht="24" customHeight="1">
      <c r="A125" s="58" t="s">
        <v>63</v>
      </c>
      <c r="B125" s="60">
        <f>I116</f>
        <v>0.10382353604763835</v>
      </c>
      <c r="C125" s="44"/>
      <c r="D125" s="45"/>
    </row>
    <row r="126" spans="1:6" ht="24" customHeight="1">
      <c r="A126" s="58" t="s">
        <v>104</v>
      </c>
      <c r="B126" s="60">
        <f>I117</f>
        <v>0.09529920718402149</v>
      </c>
      <c r="F126" s="2"/>
    </row>
    <row r="127" spans="1:6" ht="24" customHeight="1">
      <c r="A127" s="58" t="s">
        <v>105</v>
      </c>
      <c r="B127" s="60">
        <f>I118</f>
        <v>0.06990950290212432</v>
      </c>
      <c r="F127" s="5"/>
    </row>
    <row r="128" spans="1:33" ht="24" customHeight="1">
      <c r="A128" s="58" t="s">
        <v>106</v>
      </c>
      <c r="B128" s="60">
        <f>I119</f>
        <v>0.053020711920129894</v>
      </c>
      <c r="C128" s="5"/>
      <c r="D128" s="5"/>
      <c r="E128" s="5"/>
      <c r="F128" s="48"/>
      <c r="G128" s="5"/>
      <c r="Q128" s="5" t="s">
        <v>23</v>
      </c>
      <c r="U128" s="5" t="s">
        <v>24</v>
      </c>
      <c r="Y128" s="5" t="s">
        <v>25</v>
      </c>
      <c r="AC128" s="5" t="s">
        <v>26</v>
      </c>
      <c r="AG128" s="5" t="s">
        <v>28</v>
      </c>
    </row>
    <row r="129" spans="1:36" ht="24" customHeight="1">
      <c r="A129" s="58" t="s">
        <v>77</v>
      </c>
      <c r="B129" s="60">
        <f>I112</f>
        <v>0.2760666120254952</v>
      </c>
      <c r="D129" s="3"/>
      <c r="H129" s="5"/>
      <c r="I129" s="5"/>
      <c r="J129" s="5"/>
      <c r="K129" s="5"/>
      <c r="L129" s="5"/>
      <c r="M129" s="5"/>
      <c r="N129" s="5"/>
      <c r="O129" s="5"/>
      <c r="P129" s="5" t="s">
        <v>3</v>
      </c>
      <c r="Q129" s="5" t="s">
        <v>0</v>
      </c>
      <c r="R129" s="5" t="s">
        <v>1</v>
      </c>
      <c r="S129" s="5" t="s">
        <v>10</v>
      </c>
      <c r="T129" s="5" t="s">
        <v>3</v>
      </c>
      <c r="U129" s="5" t="s">
        <v>0</v>
      </c>
      <c r="V129" s="5" t="s">
        <v>1</v>
      </c>
      <c r="W129" s="5" t="s">
        <v>10</v>
      </c>
      <c r="X129" s="5" t="s">
        <v>3</v>
      </c>
      <c r="Y129" s="5" t="s">
        <v>21</v>
      </c>
      <c r="Z129" s="5" t="s">
        <v>22</v>
      </c>
      <c r="AA129" s="5" t="s">
        <v>23</v>
      </c>
      <c r="AB129" s="5" t="s">
        <v>24</v>
      </c>
      <c r="AC129" s="5" t="s">
        <v>21</v>
      </c>
      <c r="AD129" s="5" t="s">
        <v>22</v>
      </c>
      <c r="AE129" s="5" t="s">
        <v>23</v>
      </c>
      <c r="AF129" s="5" t="s">
        <v>24</v>
      </c>
      <c r="AG129" s="5" t="s">
        <v>21</v>
      </c>
      <c r="AH129" s="5" t="s">
        <v>22</v>
      </c>
      <c r="AI129" s="5" t="s">
        <v>23</v>
      </c>
      <c r="AJ129" s="5" t="s">
        <v>24</v>
      </c>
    </row>
    <row r="130" spans="1:36" ht="24" customHeight="1">
      <c r="A130" s="58" t="s">
        <v>78</v>
      </c>
      <c r="B130" s="60">
        <f>I113</f>
        <v>0.016515380548348918</v>
      </c>
      <c r="D130" s="3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ht="24" customHeight="1">
      <c r="A131" s="58" t="s">
        <v>107</v>
      </c>
      <c r="B131" s="60">
        <f>I114</f>
        <v>0.07531516879314888</v>
      </c>
      <c r="C131" s="44"/>
      <c r="D131" s="3"/>
      <c r="P131">
        <v>19.2</v>
      </c>
      <c r="Q131">
        <v>1188.2</v>
      </c>
      <c r="R131">
        <v>794.2</v>
      </c>
      <c r="S131" s="25">
        <v>483.6</v>
      </c>
      <c r="T131" s="25">
        <v>31.8</v>
      </c>
      <c r="U131" s="25">
        <f>1512.7*52/51</f>
        <v>1542.3607843137256</v>
      </c>
      <c r="V131" s="27">
        <f>1051.8*52/51</f>
        <v>1072.4235294117648</v>
      </c>
      <c r="W131" s="27">
        <f>665.5*52/51</f>
        <v>678.5490196078431</v>
      </c>
      <c r="X131" s="27" t="s">
        <v>27</v>
      </c>
      <c r="Y131" s="3">
        <f>B129/$U$131</f>
        <v>0.00017898964680195187</v>
      </c>
      <c r="Z131" s="3">
        <f>F129/U131</f>
        <v>0</v>
      </c>
      <c r="AA131" s="3">
        <f>Q131/U131</f>
        <v>0.7703774707476697</v>
      </c>
      <c r="AB131" s="3">
        <v>1</v>
      </c>
      <c r="AC131" s="3">
        <f>C129/$V$131</f>
        <v>0</v>
      </c>
      <c r="AD131" s="3">
        <f>G129/V131</f>
        <v>0</v>
      </c>
      <c r="AE131" s="3">
        <f>R131/V131</f>
        <v>0.7405656237658519</v>
      </c>
      <c r="AF131" s="3">
        <v>1</v>
      </c>
      <c r="AG131" s="3">
        <f>D129/W131</f>
        <v>0</v>
      </c>
      <c r="AH131" s="3">
        <f>H131/W131</f>
        <v>0</v>
      </c>
      <c r="AI131" s="3">
        <f>S131/W131</f>
        <v>0.7126972201352367</v>
      </c>
      <c r="AJ131" s="3">
        <v>1</v>
      </c>
    </row>
    <row r="132" spans="1:36" ht="24" customHeight="1">
      <c r="A132" s="58"/>
      <c r="B132" s="60">
        <f>SUM(B124:B131)</f>
        <v>1</v>
      </c>
      <c r="C132" s="44"/>
      <c r="H132" s="25"/>
      <c r="I132" s="25"/>
      <c r="J132" s="25"/>
      <c r="K132" s="25"/>
      <c r="L132" s="25"/>
      <c r="M132" s="25"/>
      <c r="N132" s="25"/>
      <c r="O132" s="25"/>
      <c r="P132" s="25">
        <v>22.4</v>
      </c>
      <c r="Q132">
        <v>1149.1</v>
      </c>
      <c r="R132">
        <v>749.9</v>
      </c>
      <c r="S132" s="25">
        <v>499.2</v>
      </c>
      <c r="T132" s="25">
        <v>34.8</v>
      </c>
      <c r="U132" s="25">
        <f>1441.3*52/51</f>
        <v>1469.5607843137252</v>
      </c>
      <c r="V132" s="27">
        <f>997.6*52/51</f>
        <v>1017.1607843137256</v>
      </c>
      <c r="W132" s="25">
        <f>(675.5+45.1+16.6)*10/11</f>
        <v>670.1818181818181</v>
      </c>
      <c r="X132" s="25">
        <f>(675.5+45.1+16.6)*1/11</f>
        <v>67.01818181818182</v>
      </c>
      <c r="Y132" s="3">
        <f>B131/$U$132</f>
        <v>5.125012153091752E-05</v>
      </c>
      <c r="Z132" s="3">
        <f>F131/U132</f>
        <v>0</v>
      </c>
      <c r="AA132" s="3">
        <f>Q132/U132</f>
        <v>0.7819343114389254</v>
      </c>
      <c r="AB132" s="3">
        <v>1</v>
      </c>
      <c r="AC132" s="3">
        <f>C131/$V$132</f>
        <v>0</v>
      </c>
      <c r="AD132" s="3">
        <f>G131/V132</f>
        <v>0</v>
      </c>
      <c r="AE132" s="3">
        <f>R132/V132</f>
        <v>0.7372482419344889</v>
      </c>
      <c r="AF132" s="3">
        <v>1</v>
      </c>
      <c r="AG132" s="3">
        <f>D131/W132</f>
        <v>0</v>
      </c>
      <c r="AH132" s="3">
        <f>H132/W132</f>
        <v>0</v>
      </c>
      <c r="AI132" s="3">
        <f>S132/W132</f>
        <v>0.7448724905046121</v>
      </c>
      <c r="AJ132" s="3">
        <v>1</v>
      </c>
    </row>
    <row r="133" spans="8:36" ht="24" customHeight="1">
      <c r="H133" s="25"/>
      <c r="I133" s="25"/>
      <c r="J133" s="25"/>
      <c r="K133" s="25"/>
      <c r="L133" s="25"/>
      <c r="M133" s="25"/>
      <c r="N133" s="25"/>
      <c r="O133" s="25"/>
      <c r="P133" s="25">
        <f>(354.3+9.9+89.5)*1/11</f>
        <v>41.24545454545454</v>
      </c>
      <c r="Q133">
        <v>1101.2</v>
      </c>
      <c r="R133">
        <v>704.7</v>
      </c>
      <c r="S133" s="25">
        <f>(516.8+13.9+134)*10/11</f>
        <v>604.2727272727271</v>
      </c>
      <c r="T133" s="25">
        <f>(516.8+13.9+134)*1/11</f>
        <v>60.42727272727272</v>
      </c>
      <c r="U133" s="25">
        <v>1443</v>
      </c>
      <c r="V133" s="25">
        <v>971.2</v>
      </c>
      <c r="W133" s="25">
        <f>(730.1+20.1+193.9)*10/11</f>
        <v>858.2727272727273</v>
      </c>
      <c r="X133" s="25">
        <f>(730.1+20.1+193.9)*1/11</f>
        <v>85.82727272727273</v>
      </c>
      <c r="Y133" s="3">
        <f>B132/$U$132</f>
        <v>0.0006804754254972809</v>
      </c>
      <c r="Z133" s="3">
        <f>F132/U133</f>
        <v>0</v>
      </c>
      <c r="AA133" s="3">
        <f>Q133/U133</f>
        <v>0.7631323631323632</v>
      </c>
      <c r="AB133" s="3">
        <v>1</v>
      </c>
      <c r="AC133" s="3">
        <f>C132/$V$132</f>
        <v>0</v>
      </c>
      <c r="AD133" s="3">
        <f>G132/V133</f>
        <v>0</v>
      </c>
      <c r="AE133" s="3">
        <f>R133/V133</f>
        <v>0.7255971993410214</v>
      </c>
      <c r="AF133" s="3">
        <v>1</v>
      </c>
      <c r="AG133" s="3">
        <f>D132/W133</f>
        <v>0</v>
      </c>
      <c r="AH133" s="3">
        <f>H133/W133</f>
        <v>0</v>
      </c>
      <c r="AI133" s="3">
        <f>S133/W133</f>
        <v>0.7040567736468593</v>
      </c>
      <c r="AJ133" s="3">
        <v>1</v>
      </c>
    </row>
    <row r="134" spans="8:36" ht="24" customHeight="1">
      <c r="H134" s="25"/>
      <c r="I134" s="25"/>
      <c r="J134" s="25"/>
      <c r="K134" s="25"/>
      <c r="L134" s="25"/>
      <c r="M134" s="25"/>
      <c r="N134" s="25"/>
      <c r="O134" s="25"/>
      <c r="P134" s="25">
        <f>(281+6+91.5)*1/11</f>
        <v>34.40909090909091</v>
      </c>
      <c r="Q134">
        <v>1155.1</v>
      </c>
      <c r="R134">
        <v>730.8</v>
      </c>
      <c r="S134" s="25">
        <f>(411.1+11.2+131)*10/11</f>
        <v>503</v>
      </c>
      <c r="T134" s="25">
        <f>(411.1+11.2+131)*1/11</f>
        <v>50.3</v>
      </c>
      <c r="U134" s="25">
        <v>1499</v>
      </c>
      <c r="V134" s="25">
        <v>986.8</v>
      </c>
      <c r="W134" s="25">
        <f>(593.7+15.9+203.6)*10/11</f>
        <v>739.2727272727273</v>
      </c>
      <c r="X134" s="25">
        <f>(593.7+15.9+203.6)*1/11</f>
        <v>73.92727272727274</v>
      </c>
      <c r="Y134" s="3">
        <f>B133/$U$132</f>
        <v>0</v>
      </c>
      <c r="Z134" s="3">
        <f>F133/U134</f>
        <v>0</v>
      </c>
      <c r="AA134" s="3">
        <f>Q134/U134</f>
        <v>0.7705803869246164</v>
      </c>
      <c r="AB134" s="3">
        <v>1</v>
      </c>
      <c r="AC134" s="3">
        <f>C133/$V$132</f>
        <v>0</v>
      </c>
      <c r="AD134" s="3">
        <f>G133/V134</f>
        <v>0</v>
      </c>
      <c r="AE134" s="3">
        <f>R134/V134</f>
        <v>0.7405755978921768</v>
      </c>
      <c r="AF134" s="3">
        <v>1</v>
      </c>
      <c r="AG134" s="3">
        <f>D133/W134</f>
        <v>0</v>
      </c>
      <c r="AH134" s="3">
        <f>H134/W134</f>
        <v>0</v>
      </c>
      <c r="AI134" s="3">
        <f>S134/W134</f>
        <v>0.6803984259714707</v>
      </c>
      <c r="AJ134" s="3">
        <v>1</v>
      </c>
    </row>
    <row r="135" spans="1:36" ht="24" customHeight="1">
      <c r="A135" s="177" t="s">
        <v>64</v>
      </c>
      <c r="B135" s="112"/>
      <c r="C135" s="112"/>
      <c r="D135" s="112"/>
      <c r="E135" s="31"/>
      <c r="H135" s="25"/>
      <c r="I135" s="25"/>
      <c r="J135" s="25"/>
      <c r="K135" s="25"/>
      <c r="L135" s="25"/>
      <c r="M135" s="25"/>
      <c r="N135" s="25"/>
      <c r="O135" s="25"/>
      <c r="P135" s="25">
        <f>(273.8+11.6+113)*1/11</f>
        <v>36.21818181818182</v>
      </c>
      <c r="Q135">
        <v>1225.7</v>
      </c>
      <c r="R135">
        <v>810.4</v>
      </c>
      <c r="S135" s="25">
        <f>(403.7+21.5+146.4)*10/11</f>
        <v>519.6363636363636</v>
      </c>
      <c r="T135" s="25">
        <f>(403.7+21.5+146.4)*1/11</f>
        <v>51.96363636363637</v>
      </c>
      <c r="U135" s="25">
        <f>1524.8*52/51</f>
        <v>1554.698039215686</v>
      </c>
      <c r="V135" s="25">
        <f>1048.6*52/51</f>
        <v>1069.1607843137253</v>
      </c>
      <c r="W135" s="25">
        <f>(564.7+29+219)*52/51*10/11</f>
        <v>753.3048128342245</v>
      </c>
      <c r="X135" s="25">
        <f>(564.7+29+219)*52/51*1/11</f>
        <v>75.33048128342246</v>
      </c>
      <c r="Y135" s="3">
        <f>B134/$U$132</f>
        <v>0</v>
      </c>
      <c r="Z135" s="3">
        <f>F134/U135</f>
        <v>0</v>
      </c>
      <c r="AA135" s="3">
        <f>Q135/U135</f>
        <v>0.7883846052950199</v>
      </c>
      <c r="AB135" s="3">
        <v>1</v>
      </c>
      <c r="AC135" s="3">
        <f>C134/$V$132</f>
        <v>0</v>
      </c>
      <c r="AD135" s="3">
        <f>G134/V135</f>
        <v>0</v>
      </c>
      <c r="AE135" s="3">
        <f>R135/V135</f>
        <v>0.75797766986018</v>
      </c>
      <c r="AF135" s="3">
        <v>1</v>
      </c>
      <c r="AG135" s="3">
        <f>D134/W135</f>
        <v>0</v>
      </c>
      <c r="AH135" s="3">
        <f>H135/W135</f>
        <v>0</v>
      </c>
      <c r="AI135" s="3">
        <f>S135/W135</f>
        <v>0.6898088991112247</v>
      </c>
      <c r="AJ135" s="3">
        <v>1</v>
      </c>
    </row>
    <row r="136" spans="1:36" ht="24" customHeight="1">
      <c r="A136" s="112" t="s">
        <v>103</v>
      </c>
      <c r="B136" s="112"/>
      <c r="C136" s="112" t="s">
        <v>70</v>
      </c>
      <c r="D136" s="112" t="s">
        <v>72</v>
      </c>
      <c r="E136" s="31"/>
      <c r="Y136" s="3">
        <f aca="true" t="shared" si="7" ref="Y136:AJ136">AVERAGE(Y131:Y135)</f>
        <v>0.00018214303876603005</v>
      </c>
      <c r="Z136" s="3">
        <f t="shared" si="7"/>
        <v>0</v>
      </c>
      <c r="AA136" s="3">
        <f t="shared" si="7"/>
        <v>0.774881827507719</v>
      </c>
      <c r="AB136" s="3">
        <f t="shared" si="7"/>
        <v>1</v>
      </c>
      <c r="AC136" s="3">
        <f t="shared" si="7"/>
        <v>0</v>
      </c>
      <c r="AD136" s="3">
        <f t="shared" si="7"/>
        <v>0</v>
      </c>
      <c r="AE136" s="3">
        <f t="shared" si="7"/>
        <v>0.7403928665587438</v>
      </c>
      <c r="AF136" s="3">
        <f t="shared" si="7"/>
        <v>1</v>
      </c>
      <c r="AG136" s="3">
        <f t="shared" si="7"/>
        <v>0</v>
      </c>
      <c r="AH136" s="3">
        <f t="shared" si="7"/>
        <v>0</v>
      </c>
      <c r="AI136" s="3">
        <f t="shared" si="7"/>
        <v>0.7063667618738807</v>
      </c>
      <c r="AJ136" s="3">
        <f t="shared" si="7"/>
        <v>1</v>
      </c>
    </row>
    <row r="137" spans="1:36" ht="24" customHeight="1">
      <c r="A137" s="112" t="s">
        <v>65</v>
      </c>
      <c r="B137" s="113">
        <f>G115</f>
        <v>303059.030794702</v>
      </c>
      <c r="C137" s="178">
        <f>B137/(B$99*1000)</f>
        <v>8.418306410963945</v>
      </c>
      <c r="D137" s="179">
        <f>C137/$C$142</f>
        <v>0.5112947610703324</v>
      </c>
      <c r="E137" s="43"/>
      <c r="Y137" s="3">
        <f aca="true" t="shared" si="8" ref="Y137:AJ137">AVEDEV(Y131:Y135)</f>
        <v>0.00019933295469250033</v>
      </c>
      <c r="Z137" s="3">
        <f t="shared" si="8"/>
        <v>0</v>
      </c>
      <c r="AA137" s="3">
        <f t="shared" si="8"/>
        <v>0.008222104687402986</v>
      </c>
      <c r="AB137" s="3">
        <f t="shared" si="8"/>
        <v>0</v>
      </c>
      <c r="AC137" s="3">
        <f t="shared" si="8"/>
        <v>0</v>
      </c>
      <c r="AD137" s="3">
        <f t="shared" si="8"/>
        <v>0</v>
      </c>
      <c r="AE137" s="3">
        <f t="shared" si="8"/>
        <v>0.007176116736790905</v>
      </c>
      <c r="AF137" s="3">
        <f t="shared" si="8"/>
        <v>0</v>
      </c>
      <c r="AG137" s="3">
        <f t="shared" si="8"/>
        <v>0</v>
      </c>
      <c r="AH137" s="3">
        <f t="shared" si="8"/>
        <v>0</v>
      </c>
      <c r="AI137" s="3">
        <f t="shared" si="8"/>
        <v>0.017934474756834982</v>
      </c>
      <c r="AJ137" s="3">
        <f t="shared" si="8"/>
        <v>0</v>
      </c>
    </row>
    <row r="138" spans="1:36" ht="24" customHeight="1">
      <c r="A138" s="112" t="s">
        <v>66</v>
      </c>
      <c r="B138" s="113">
        <f>F116</f>
        <v>101482.57483443708</v>
      </c>
      <c r="C138" s="178">
        <f>B138/(B$99*1000)</f>
        <v>2.8189604120676965</v>
      </c>
      <c r="D138" s="179">
        <f>C138/$C$142</f>
        <v>0.17121254798681526</v>
      </c>
      <c r="E138" s="4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ht="24" customHeight="1">
      <c r="A139" s="112" t="s">
        <v>67</v>
      </c>
      <c r="B139" s="113">
        <f>F85</f>
        <v>64234.00000000001</v>
      </c>
      <c r="C139" s="178">
        <f>B139/(B$99*1000)</f>
        <v>1.784277777777778</v>
      </c>
      <c r="D139" s="179">
        <f>C139/$C$142</f>
        <v>0.1083700017005594</v>
      </c>
      <c r="E139" s="43"/>
      <c r="Y139" s="3">
        <f>Y131</f>
        <v>0.00017898964680195187</v>
      </c>
      <c r="Z139" s="3">
        <f>Z131-Y131</f>
        <v>-0.00017898964680195187</v>
      </c>
      <c r="AA139" s="3">
        <f>AA131-Z131</f>
        <v>0.7703774707476697</v>
      </c>
      <c r="AB139" s="3">
        <f>AB131-AA131</f>
        <v>0.2296225292523303</v>
      </c>
      <c r="AC139" s="3">
        <f>AC131</f>
        <v>0</v>
      </c>
      <c r="AD139" s="3">
        <f>AD131-AC131</f>
        <v>0</v>
      </c>
      <c r="AE139" s="3">
        <f>AE131-AD131</f>
        <v>0.7405656237658519</v>
      </c>
      <c r="AF139" s="3">
        <f>AF131-AE131</f>
        <v>0.2594343762341481</v>
      </c>
      <c r="AG139" s="3">
        <f>AG131</f>
        <v>0</v>
      </c>
      <c r="AH139" s="3">
        <f>AH131-AG131</f>
        <v>0</v>
      </c>
      <c r="AI139" s="3">
        <f>AI131-AH131</f>
        <v>0.7126972201352367</v>
      </c>
      <c r="AJ139" s="3">
        <f>AJ131-AI131</f>
        <v>0.28730277986476327</v>
      </c>
    </row>
    <row r="140" spans="1:36" ht="24" customHeight="1">
      <c r="A140" s="112" t="s">
        <v>68</v>
      </c>
      <c r="B140" s="113">
        <f>F84</f>
        <v>123953</v>
      </c>
      <c r="C140" s="178">
        <f>B140/(B$99*1000)</f>
        <v>3.443138888888889</v>
      </c>
      <c r="D140" s="179">
        <f>C140/$C$142</f>
        <v>0.20912268924229283</v>
      </c>
      <c r="E140" s="43"/>
      <c r="Y140" s="3">
        <f>Y132</f>
        <v>5.125012153091752E-05</v>
      </c>
      <c r="Z140" s="3">
        <f aca="true" t="shared" si="9" ref="Z140:AB143">Z132-Y132</f>
        <v>-5.125012153091752E-05</v>
      </c>
      <c r="AA140" s="3">
        <f t="shared" si="9"/>
        <v>0.7819343114389254</v>
      </c>
      <c r="AB140" s="3">
        <f t="shared" si="9"/>
        <v>0.21806568856107456</v>
      </c>
      <c r="AC140" s="3">
        <f>AC132</f>
        <v>0</v>
      </c>
      <c r="AD140" s="3">
        <f aca="true" t="shared" si="10" ref="AD140:AF143">AD132-AC132</f>
        <v>0</v>
      </c>
      <c r="AE140" s="3">
        <f t="shared" si="10"/>
        <v>0.7372482419344889</v>
      </c>
      <c r="AF140" s="3">
        <f t="shared" si="10"/>
        <v>0.2627517580655111</v>
      </c>
      <c r="AG140" s="3">
        <f>AG132</f>
        <v>0</v>
      </c>
      <c r="AH140" s="3">
        <f aca="true" t="shared" si="11" ref="AH140:AJ143">AH132-AG132</f>
        <v>0</v>
      </c>
      <c r="AI140" s="3">
        <f t="shared" si="11"/>
        <v>0.7448724905046121</v>
      </c>
      <c r="AJ140" s="3">
        <f t="shared" si="11"/>
        <v>0.25512750949538787</v>
      </c>
    </row>
    <row r="141" spans="1:36" ht="24" customHeight="1">
      <c r="A141" s="112"/>
      <c r="B141" s="178"/>
      <c r="C141" s="113"/>
      <c r="D141" s="112"/>
      <c r="E141" s="31"/>
      <c r="Y141" s="3">
        <f>Y133</f>
        <v>0.0006804754254972809</v>
      </c>
      <c r="Z141" s="3">
        <f t="shared" si="9"/>
        <v>-0.0006804754254972809</v>
      </c>
      <c r="AA141" s="3">
        <f t="shared" si="9"/>
        <v>0.7631323631323632</v>
      </c>
      <c r="AB141" s="3">
        <f t="shared" si="9"/>
        <v>0.2368676368676368</v>
      </c>
      <c r="AC141" s="3">
        <f>AC133</f>
        <v>0</v>
      </c>
      <c r="AD141" s="3">
        <f t="shared" si="10"/>
        <v>0</v>
      </c>
      <c r="AE141" s="3">
        <f t="shared" si="10"/>
        <v>0.7255971993410214</v>
      </c>
      <c r="AF141" s="3">
        <f t="shared" si="10"/>
        <v>0.2744028006589786</v>
      </c>
      <c r="AG141" s="3">
        <f>AG133</f>
        <v>0</v>
      </c>
      <c r="AH141" s="3">
        <f t="shared" si="11"/>
        <v>0</v>
      </c>
      <c r="AI141" s="3">
        <f t="shared" si="11"/>
        <v>0.7040567736468593</v>
      </c>
      <c r="AJ141" s="3">
        <f t="shared" si="11"/>
        <v>0.29594322635314074</v>
      </c>
    </row>
    <row r="142" spans="1:36" ht="24" customHeight="1">
      <c r="A142" s="112"/>
      <c r="B142" s="178">
        <f>SUM(B137:B141)</f>
        <v>592728.6056291391</v>
      </c>
      <c r="C142" s="178">
        <f>SUM(C137:C141)</f>
        <v>16.46468348969831</v>
      </c>
      <c r="D142" s="180">
        <f>SUM(D137:D141)</f>
        <v>1</v>
      </c>
      <c r="E142" s="38"/>
      <c r="Y142" s="3">
        <f>Y134</f>
        <v>0</v>
      </c>
      <c r="Z142" s="3">
        <f t="shared" si="9"/>
        <v>0</v>
      </c>
      <c r="AA142" s="3">
        <f t="shared" si="9"/>
        <v>0.7705803869246164</v>
      </c>
      <c r="AB142" s="3">
        <f t="shared" si="9"/>
        <v>0.2294196130753836</v>
      </c>
      <c r="AC142" s="3">
        <f>AC134</f>
        <v>0</v>
      </c>
      <c r="AD142" s="3">
        <f t="shared" si="10"/>
        <v>0</v>
      </c>
      <c r="AE142" s="3">
        <f t="shared" si="10"/>
        <v>0.7405755978921768</v>
      </c>
      <c r="AF142" s="3">
        <f t="shared" si="10"/>
        <v>0.25942440210782325</v>
      </c>
      <c r="AG142" s="3">
        <f>AG134</f>
        <v>0</v>
      </c>
      <c r="AH142" s="3">
        <f t="shared" si="11"/>
        <v>0</v>
      </c>
      <c r="AI142" s="3">
        <f t="shared" si="11"/>
        <v>0.6803984259714707</v>
      </c>
      <c r="AJ142" s="3">
        <f t="shared" si="11"/>
        <v>0.3196015740285293</v>
      </c>
    </row>
    <row r="143" spans="25:36" ht="24" customHeight="1">
      <c r="Y143" s="3">
        <f>Y135</f>
        <v>0</v>
      </c>
      <c r="Z143" s="3">
        <f t="shared" si="9"/>
        <v>0</v>
      </c>
      <c r="AA143" s="3">
        <f t="shared" si="9"/>
        <v>0.7883846052950199</v>
      </c>
      <c r="AB143" s="3">
        <f t="shared" si="9"/>
        <v>0.21161539470498014</v>
      </c>
      <c r="AC143" s="3">
        <f>AC135</f>
        <v>0</v>
      </c>
      <c r="AD143" s="3">
        <f t="shared" si="10"/>
        <v>0</v>
      </c>
      <c r="AE143" s="3">
        <f t="shared" si="10"/>
        <v>0.75797766986018</v>
      </c>
      <c r="AF143" s="3">
        <f t="shared" si="10"/>
        <v>0.24202233013982</v>
      </c>
      <c r="AG143" s="3">
        <f>AG135</f>
        <v>0</v>
      </c>
      <c r="AH143" s="3">
        <f t="shared" si="11"/>
        <v>0</v>
      </c>
      <c r="AI143" s="3">
        <f t="shared" si="11"/>
        <v>0.6898088991112247</v>
      </c>
      <c r="AJ143" s="3">
        <f t="shared" si="11"/>
        <v>0.31019110088877533</v>
      </c>
    </row>
    <row r="144" spans="25:36" ht="24" customHeight="1">
      <c r="Y144" s="3">
        <f aca="true" t="shared" si="12" ref="Y144:AJ144">AVERAGE(Y139:Y143)</f>
        <v>0.00018214303876603005</v>
      </c>
      <c r="Z144" s="3">
        <f t="shared" si="12"/>
        <v>-0.00018214303876603005</v>
      </c>
      <c r="AA144" s="3">
        <f t="shared" si="12"/>
        <v>0.774881827507719</v>
      </c>
      <c r="AB144" s="3">
        <f t="shared" si="12"/>
        <v>0.22511817249228105</v>
      </c>
      <c r="AC144" s="3">
        <f t="shared" si="12"/>
        <v>0</v>
      </c>
      <c r="AD144" s="3">
        <f t="shared" si="12"/>
        <v>0</v>
      </c>
      <c r="AE144" s="3">
        <f t="shared" si="12"/>
        <v>0.7403928665587438</v>
      </c>
      <c r="AF144" s="3">
        <f t="shared" si="12"/>
        <v>0.2596071334412562</v>
      </c>
      <c r="AG144" s="3">
        <f t="shared" si="12"/>
        <v>0</v>
      </c>
      <c r="AH144" s="3">
        <f t="shared" si="12"/>
        <v>0</v>
      </c>
      <c r="AI144" s="3">
        <f t="shared" si="12"/>
        <v>0.7063667618738807</v>
      </c>
      <c r="AJ144" s="3">
        <f t="shared" si="12"/>
        <v>0.29363323812611924</v>
      </c>
    </row>
    <row r="145" spans="25:36" ht="24" customHeight="1">
      <c r="Y145" s="3">
        <f aca="true" t="shared" si="13" ref="Y145:AJ145">AVEDEV(Y139:Y143)</f>
        <v>0.00019933295469250033</v>
      </c>
      <c r="Z145" s="3">
        <f t="shared" si="13"/>
        <v>0.00019933295469250033</v>
      </c>
      <c r="AA145" s="3">
        <f t="shared" si="13"/>
        <v>0.008222104687402986</v>
      </c>
      <c r="AB145" s="3">
        <f t="shared" si="13"/>
        <v>0.008222104687402986</v>
      </c>
      <c r="AC145" s="3">
        <f t="shared" si="13"/>
        <v>0</v>
      </c>
      <c r="AD145" s="3">
        <f t="shared" si="13"/>
        <v>0</v>
      </c>
      <c r="AE145" s="3">
        <f t="shared" si="13"/>
        <v>0.007176116736790905</v>
      </c>
      <c r="AF145" s="3">
        <f t="shared" si="13"/>
        <v>0.007176116736790905</v>
      </c>
      <c r="AG145" s="3">
        <f t="shared" si="13"/>
        <v>0</v>
      </c>
      <c r="AH145" s="3">
        <f t="shared" si="13"/>
        <v>0</v>
      </c>
      <c r="AI145" s="3">
        <f t="shared" si="13"/>
        <v>0.017934474756834982</v>
      </c>
      <c r="AJ145" s="3">
        <f t="shared" si="13"/>
        <v>0.017934474756834996</v>
      </c>
    </row>
    <row r="146" ht="24" customHeight="1"/>
    <row r="147" ht="24" customHeight="1"/>
  </sheetData>
  <sheetProtection password="C100" sheet="1"/>
  <mergeCells count="10">
    <mergeCell ref="F51:F52"/>
    <mergeCell ref="G51:G52"/>
    <mergeCell ref="F7:F8"/>
    <mergeCell ref="G7:G8"/>
    <mergeCell ref="A2:D2"/>
    <mergeCell ref="B7:B8"/>
    <mergeCell ref="C7:C8"/>
    <mergeCell ref="B100:B101"/>
    <mergeCell ref="C100:C101"/>
    <mergeCell ref="D100:D10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B16" sqref="B16"/>
    </sheetView>
  </sheetViews>
  <sheetFormatPr defaultColWidth="9.140625" defaultRowHeight="12.75"/>
  <cols>
    <col min="1" max="1" width="0.85546875" style="0" customWidth="1"/>
    <col min="2" max="2" width="50.140625" style="0" customWidth="1"/>
    <col min="3" max="3" width="1.1484375" style="0" customWidth="1"/>
    <col min="4" max="4" width="4.421875" style="0" customWidth="1"/>
    <col min="5" max="5" width="12.421875" style="0" customWidth="1"/>
  </cols>
  <sheetData>
    <row r="1" spans="1:5" ht="14.25">
      <c r="A1" s="23"/>
      <c r="B1" s="12"/>
      <c r="C1" s="13"/>
      <c r="D1" s="18"/>
      <c r="E1" s="18"/>
    </row>
    <row r="2" spans="2:5" ht="12.75">
      <c r="B2" s="12"/>
      <c r="C2" s="13"/>
      <c r="D2" s="18"/>
      <c r="E2" s="18"/>
    </row>
    <row r="3" spans="2:5" ht="12.75">
      <c r="B3" s="14"/>
      <c r="C3" s="14"/>
      <c r="D3" s="19"/>
      <c r="E3" s="19"/>
    </row>
    <row r="4" spans="2:5" ht="12.75">
      <c r="B4" s="15"/>
      <c r="C4" s="14"/>
      <c r="D4" s="19"/>
      <c r="E4" s="19"/>
    </row>
    <row r="5" spans="2:5" ht="12.75">
      <c r="B5" s="14"/>
      <c r="C5" s="14"/>
      <c r="D5" s="19"/>
      <c r="E5" s="19"/>
    </row>
    <row r="6" spans="2:5" ht="12.75">
      <c r="B6" s="12"/>
      <c r="C6" s="13"/>
      <c r="D6" s="18"/>
      <c r="E6" s="20"/>
    </row>
    <row r="7" spans="2:5" ht="13.5" thickBot="1">
      <c r="B7" s="14"/>
      <c r="C7" s="14"/>
      <c r="D7" s="19"/>
      <c r="E7" s="19"/>
    </row>
    <row r="8" spans="2:5" ht="13.5" thickBot="1">
      <c r="B8" s="16"/>
      <c r="C8" s="17"/>
      <c r="D8" s="21"/>
      <c r="E8" s="22"/>
    </row>
    <row r="9" spans="2:5" ht="12.75">
      <c r="B9" s="14"/>
      <c r="C9" s="14"/>
      <c r="D9" s="19"/>
      <c r="E9" s="19"/>
    </row>
    <row r="10" spans="2:5" ht="12.75">
      <c r="B10" s="14"/>
      <c r="C10" s="14"/>
      <c r="D10" s="19"/>
      <c r="E10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Gracey</dc:creator>
  <cp:keywords/>
  <dc:description/>
  <cp:lastModifiedBy>Owner</cp:lastModifiedBy>
  <cp:lastPrinted>2010-08-02T18:31:18Z</cp:lastPrinted>
  <dcterms:created xsi:type="dcterms:W3CDTF">2010-07-19T17:23:11Z</dcterms:created>
  <dcterms:modified xsi:type="dcterms:W3CDTF">2017-05-10T19:35:32Z</dcterms:modified>
  <cp:category/>
  <cp:version/>
  <cp:contentType/>
  <cp:contentStatus/>
</cp:coreProperties>
</file>