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B26C" lockStructure="1"/>
  <bookViews>
    <workbookView xWindow="480" yWindow="210" windowWidth="27795" windowHeight="12210" activeTab="1"/>
  </bookViews>
  <sheets>
    <sheet name="0. Instrucciones" sheetId="4" r:id="rId1"/>
    <sheet name="1. Calculo de Pesca" sheetId="1" r:id="rId2"/>
    <sheet name="2. Propiedades de las Varillas" sheetId="2" r:id="rId3"/>
    <sheet name="3. Combos" sheetId="3" r:id="rId4"/>
    <sheet name="4. Aclinar" sheetId="5" r:id="rId5"/>
  </sheets>
  <externalReferences>
    <externalReference r:id="rId6"/>
  </externalReferences>
  <definedNames>
    <definedName name="cupla">'3. Combos'!$F$4:$F$5</definedName>
    <definedName name="diametros">'3. Combos'!$D$4:$D$13</definedName>
    <definedName name="_xlnm.Print_Area" localSheetId="1">'1. Calculo de Pesca'!$A$1:$P$82</definedName>
    <definedName name="tipo">'3. Combos'!$B$4:$B$5</definedName>
    <definedName name="u_largo">'3. Combos'!$H$4:$H$5</definedName>
    <definedName name="u_peso">'3. Combos'!$J$4:$J$5</definedName>
    <definedName name="Varillas">'[1]9. Configuración y Datos'!$C$13:$C$18</definedName>
  </definedNames>
  <calcPr calcId="144525"/>
</workbook>
</file>

<file path=xl/calcChain.xml><?xml version="1.0" encoding="utf-8"?>
<calcChain xmlns="http://schemas.openxmlformats.org/spreadsheetml/2006/main">
  <c r="B22" i="1" l="1"/>
  <c r="B23" i="1"/>
  <c r="B24" i="1"/>
  <c r="B25" i="1"/>
  <c r="B26" i="1"/>
  <c r="M70" i="1" l="1"/>
  <c r="AK20" i="1"/>
  <c r="AG26" i="1"/>
  <c r="AG25" i="1"/>
  <c r="AG24" i="1"/>
  <c r="AG23" i="1"/>
  <c r="AG22" i="1"/>
  <c r="AK22" i="1" s="1"/>
  <c r="AG21" i="1"/>
  <c r="AH21" i="1" s="1"/>
  <c r="AH22" i="1" s="1"/>
  <c r="AF21" i="1"/>
  <c r="AF22" i="1"/>
  <c r="AF23" i="1"/>
  <c r="AF24" i="1"/>
  <c r="AF26" i="1"/>
  <c r="AF25" i="1"/>
  <c r="W22" i="1"/>
  <c r="W23" i="1"/>
  <c r="W24" i="1"/>
  <c r="W25" i="1"/>
  <c r="W26" i="1"/>
  <c r="W21" i="1"/>
  <c r="X21" i="1" s="1"/>
  <c r="X22" i="1" s="1"/>
  <c r="X23" i="1" l="1"/>
  <c r="X24" i="1"/>
  <c r="X25" i="1" s="1"/>
  <c r="X26" i="1" s="1"/>
  <c r="AH23" i="1"/>
  <c r="AH24" i="1" s="1"/>
  <c r="AH25" i="1" s="1"/>
  <c r="AH26" i="1" s="1"/>
  <c r="AK21" i="1"/>
  <c r="M59" i="1"/>
  <c r="F28" i="1"/>
  <c r="AA22" i="1"/>
  <c r="Y22" i="1" s="1"/>
  <c r="AB22" i="1"/>
  <c r="AC22" i="1"/>
  <c r="AD22" i="1"/>
  <c r="AE22" i="1"/>
  <c r="AA23" i="1"/>
  <c r="Y23" i="1" s="1"/>
  <c r="AB23" i="1"/>
  <c r="AC23" i="1"/>
  <c r="AD23" i="1"/>
  <c r="AE23" i="1"/>
  <c r="AA24" i="1"/>
  <c r="Y24" i="1" s="1"/>
  <c r="AB24" i="1"/>
  <c r="AC24" i="1"/>
  <c r="AD24" i="1"/>
  <c r="AE24" i="1"/>
  <c r="AA25" i="1"/>
  <c r="Y25" i="1" s="1"/>
  <c r="AB25" i="1"/>
  <c r="AC25" i="1"/>
  <c r="AD25" i="1"/>
  <c r="AE25" i="1"/>
  <c r="AA26" i="1"/>
  <c r="Y26" i="1" s="1"/>
  <c r="AB26" i="1"/>
  <c r="AC26" i="1"/>
  <c r="AD26" i="1"/>
  <c r="AE26" i="1"/>
  <c r="AE21" i="1"/>
  <c r="AD21" i="1"/>
  <c r="AC21" i="1"/>
  <c r="AB21" i="1"/>
  <c r="AA21" i="1"/>
  <c r="Y21" i="1" s="1"/>
  <c r="Z21" i="1" s="1"/>
  <c r="T6" i="2"/>
  <c r="U6" i="2"/>
  <c r="T7" i="2"/>
  <c r="U7" i="2"/>
  <c r="T8" i="2"/>
  <c r="U8" i="2"/>
  <c r="T9" i="2"/>
  <c r="U9" i="2"/>
  <c r="U5" i="2"/>
  <c r="T5" i="2"/>
  <c r="S6" i="2"/>
  <c r="S7" i="2"/>
  <c r="S8" i="2"/>
  <c r="S9" i="2"/>
  <c r="S5" i="2"/>
  <c r="R6" i="2"/>
  <c r="R7" i="2"/>
  <c r="R8" i="2"/>
  <c r="R9" i="2"/>
  <c r="R5" i="2"/>
  <c r="D13" i="1"/>
  <c r="S21" i="1" l="1"/>
  <c r="T21" i="1" s="1"/>
  <c r="AI26" i="1" s="1"/>
  <c r="AK26" i="1" s="1"/>
  <c r="S23" i="1"/>
  <c r="S25" i="1"/>
  <c r="T25" i="1" s="1"/>
  <c r="AI22" i="1" s="1"/>
  <c r="S24" i="1"/>
  <c r="T24" i="1" s="1"/>
  <c r="AI23" i="1" s="1"/>
  <c r="AK23" i="1" s="1"/>
  <c r="Z22" i="1"/>
  <c r="Z23" i="1" s="1"/>
  <c r="Z24" i="1" s="1"/>
  <c r="Z25" i="1" s="1"/>
  <c r="Z26" i="1" s="1"/>
  <c r="S26" i="1"/>
  <c r="T26" i="1" s="1"/>
  <c r="AI21" i="1" s="1"/>
  <c r="AJ21" i="1" s="1"/>
  <c r="S22" i="1"/>
  <c r="T22" i="1" s="1"/>
  <c r="AI25" i="1" s="1"/>
  <c r="AK25" i="1" s="1"/>
  <c r="T23" i="1"/>
  <c r="AI24" i="1" s="1"/>
  <c r="AK24" i="1" s="1"/>
  <c r="R26" i="1"/>
  <c r="R25" i="1"/>
  <c r="R24" i="1"/>
  <c r="R22" i="1"/>
  <c r="R21" i="1"/>
  <c r="B21" i="1" s="1"/>
  <c r="R23" i="1"/>
  <c r="AJ22" i="1" l="1"/>
  <c r="AJ23" i="1" s="1"/>
  <c r="U22" i="1"/>
  <c r="U23" i="1"/>
  <c r="U24" i="1"/>
  <c r="U26" i="1"/>
  <c r="U25" i="1"/>
  <c r="V21" i="1"/>
  <c r="V22" i="1" s="1"/>
  <c r="V23" i="1" s="1"/>
  <c r="U21" i="1"/>
  <c r="I25" i="1"/>
  <c r="J25" i="1"/>
  <c r="K25" i="1"/>
  <c r="K21" i="1"/>
  <c r="J21" i="1"/>
  <c r="I21" i="1"/>
  <c r="I26" i="1"/>
  <c r="J26" i="1"/>
  <c r="K26" i="1"/>
  <c r="I23" i="1"/>
  <c r="K23" i="1"/>
  <c r="J23" i="1"/>
  <c r="K22" i="1"/>
  <c r="I22" i="1"/>
  <c r="J22" i="1"/>
  <c r="I24" i="1"/>
  <c r="K24" i="1"/>
  <c r="J24" i="1"/>
  <c r="AJ24" i="1" l="1"/>
  <c r="AJ25" i="1" s="1"/>
  <c r="AJ26" i="1" s="1"/>
  <c r="M71" i="1"/>
  <c r="M73" i="1"/>
  <c r="M74" i="1" s="1"/>
  <c r="M72" i="1"/>
  <c r="M75" i="1" s="1"/>
  <c r="V24" i="1"/>
  <c r="V25" i="1" s="1"/>
  <c r="V26" i="1" s="1"/>
  <c r="M61" i="1"/>
  <c r="M62" i="1" s="1"/>
  <c r="I28" i="1"/>
  <c r="J28" i="1"/>
  <c r="K28" i="1"/>
  <c r="M60" i="1" l="1"/>
  <c r="D39" i="1" s="1"/>
  <c r="M76" i="1"/>
  <c r="M77" i="1"/>
  <c r="M79" i="1"/>
  <c r="D49" i="1"/>
  <c r="D50" i="1" s="1"/>
  <c r="M65" i="1" l="1"/>
  <c r="D38" i="1"/>
  <c r="M63" i="1"/>
  <c r="M64" i="1" s="1"/>
  <c r="D40" i="1" s="1"/>
  <c r="M78" i="1"/>
  <c r="D48" i="1" s="1"/>
  <c r="D47" i="1" s="1"/>
  <c r="D51" i="1"/>
  <c r="D37" i="1" l="1"/>
  <c r="D36" i="1" s="1"/>
  <c r="N5" i="2"/>
  <c r="N7" i="2"/>
  <c r="N8" i="2"/>
  <c r="N9" i="2"/>
  <c r="N10" i="2"/>
  <c r="N11" i="2"/>
  <c r="N6" i="2"/>
  <c r="J7" i="2"/>
  <c r="J8" i="2"/>
  <c r="J9" i="2"/>
  <c r="J10" i="2"/>
  <c r="J11" i="2"/>
  <c r="J6" i="2"/>
  <c r="F6" i="2"/>
  <c r="F7" i="2"/>
  <c r="F8" i="2"/>
  <c r="F9" i="2"/>
  <c r="F10" i="2"/>
  <c r="F5" i="2"/>
  <c r="D11" i="2" l="1"/>
  <c r="F11" i="2" s="1"/>
</calcChain>
</file>

<file path=xl/comments1.xml><?xml version="1.0" encoding="utf-8"?>
<comments xmlns="http://schemas.openxmlformats.org/spreadsheetml/2006/main">
  <authors>
    <author>PS</author>
  </authors>
  <commentList>
    <comment ref="D19" authorId="0">
      <text>
        <r>
          <rPr>
            <sz val="9"/>
            <color indexed="81"/>
            <rFont val="Tahoma"/>
            <family val="2"/>
          </rPr>
          <t xml:space="preserve">V/B: Varilla de bomeo
B/P: Barra de Peso
</t>
        </r>
      </text>
    </comment>
    <comment ref="G19" authorId="0">
      <text>
        <r>
          <rPr>
            <b/>
            <sz val="9"/>
            <color indexed="81"/>
            <rFont val="Tahoma"/>
            <family val="2"/>
          </rPr>
          <t>PS:</t>
        </r>
        <r>
          <rPr>
            <sz val="9"/>
            <color indexed="81"/>
            <rFont val="Tahoma"/>
            <family val="2"/>
          </rPr>
          <t xml:space="preserve">
FS: Full Size
SH: Slim Hole</t>
        </r>
      </text>
    </comment>
  </commentList>
</comments>
</file>

<file path=xl/sharedStrings.xml><?xml version="1.0" encoding="utf-8"?>
<sst xmlns="http://schemas.openxmlformats.org/spreadsheetml/2006/main" count="155" uniqueCount="111">
  <si>
    <t>Diámetro</t>
  </si>
  <si>
    <t>Cupla SH</t>
  </si>
  <si>
    <t>Cupla FS</t>
  </si>
  <si>
    <t>-</t>
  </si>
  <si>
    <t>Largo (mm)</t>
  </si>
  <si>
    <t>Diam Ex (mm)</t>
  </si>
  <si>
    <t>Varilla</t>
  </si>
  <si>
    <t>Varilla de bombeo</t>
  </si>
  <si>
    <t>Barra de peso</t>
  </si>
  <si>
    <t>Diámetro (in)</t>
  </si>
  <si>
    <t>Desp. (l)</t>
  </si>
  <si>
    <t>m</t>
  </si>
  <si>
    <t>Peso (Kg)</t>
  </si>
  <si>
    <t>Peso Barra (Kg)</t>
  </si>
  <si>
    <t>Peso Cupla (Kg)</t>
  </si>
  <si>
    <t>ACLINAR CONSULTORA</t>
  </si>
  <si>
    <t>www.aclinar.com</t>
  </si>
  <si>
    <t>1. Datos del los Fluidos</t>
  </si>
  <si>
    <t>COMPLETAR LOS CAMPOS EN AMARILLO</t>
  </si>
  <si>
    <t>Densidad Petróleo:</t>
  </si>
  <si>
    <t>S.G.</t>
  </si>
  <si>
    <t>Densidad Agua:</t>
  </si>
  <si>
    <t>% Agua:</t>
  </si>
  <si>
    <t>Densidad Mezcla</t>
  </si>
  <si>
    <t>pulgadas</t>
  </si>
  <si>
    <t>Cálculos</t>
  </si>
  <si>
    <t>Tramo</t>
  </si>
  <si>
    <t>Diám. (pulgadas)</t>
  </si>
  <si>
    <t>Cant. #</t>
  </si>
  <si>
    <t>pies</t>
  </si>
  <si>
    <t xml:space="preserve">Tramo 1 </t>
  </si>
  <si>
    <t>Tramo 2</t>
  </si>
  <si>
    <t>Tramo 3</t>
  </si>
  <si>
    <t xml:space="preserve">Tramo 4 </t>
  </si>
  <si>
    <t>2. Diseño de Varillas</t>
  </si>
  <si>
    <t>Tipo</t>
  </si>
  <si>
    <t>Tramo 5</t>
  </si>
  <si>
    <t>Tramo 6</t>
  </si>
  <si>
    <t>Tipo Cupla</t>
  </si>
  <si>
    <t>Peso en Vacio</t>
  </si>
  <si>
    <t>Peso en Flotación</t>
  </si>
  <si>
    <t>V/B</t>
  </si>
  <si>
    <t>B/P</t>
  </si>
  <si>
    <t>Cuplas</t>
  </si>
  <si>
    <t>FS</t>
  </si>
  <si>
    <t>SH</t>
  </si>
  <si>
    <t>Largo del tramo</t>
  </si>
  <si>
    <t>Largo Cupla (mm)</t>
  </si>
  <si>
    <t>Control</t>
  </si>
  <si>
    <t>Total</t>
  </si>
  <si>
    <t>3.a. Determinación por peso en superficie</t>
  </si>
  <si>
    <t>Peso en Superficie</t>
  </si>
  <si>
    <t>Unidad Largo</t>
  </si>
  <si>
    <t>Unidad Peso</t>
  </si>
  <si>
    <t>Peso en Vacio (kg)</t>
  </si>
  <si>
    <t>Peso Flotacion (kg)</t>
  </si>
  <si>
    <t>lbs</t>
  </si>
  <si>
    <t>kg</t>
  </si>
  <si>
    <t>Peso en Gancho (kg)</t>
  </si>
  <si>
    <t>Tramo en Pesca</t>
  </si>
  <si>
    <t>Largo Acumulado (m)</t>
  </si>
  <si>
    <t>Largo del Tramo (m )</t>
  </si>
  <si>
    <t>#</t>
  </si>
  <si>
    <t>Peso por Varilla del tramo en pesca</t>
  </si>
  <si>
    <t>Peso en Flotacion por Varilla (kg)</t>
  </si>
  <si>
    <t># Varilla en Pesca</t>
  </si>
  <si>
    <t># de Varilla (del tramo)</t>
  </si>
  <si>
    <t>Tramo Nº</t>
  </si>
  <si>
    <t>3. b. Determinación por carta dinamométrica de Fondo</t>
  </si>
  <si>
    <t>Valor de carga por debajo de la línea de 0</t>
  </si>
  <si>
    <t>Tabla Inversa</t>
  </si>
  <si>
    <t>Valor en Dina</t>
  </si>
  <si>
    <t>Peso por Varilla del tramo de la falla</t>
  </si>
  <si>
    <t>Cantidad de Varillas del tramo de la falla</t>
  </si>
  <si>
    <t>Peso del tramo en falla</t>
  </si>
  <si>
    <t>N de varilla en falla</t>
  </si>
  <si>
    <t>Profundidad de la Pesca</t>
  </si>
  <si>
    <t>Cantidad de varillas total del tramo en falla</t>
  </si>
  <si>
    <t>Peso en flot. al tramo anterior</t>
  </si>
  <si>
    <t>Cantidad de varillas al tramo anterior de la falla</t>
  </si>
  <si>
    <t>Posición Referencia</t>
  </si>
  <si>
    <t>Peso faltante en flot. a partir tramo siguiente</t>
  </si>
  <si>
    <t>Peso faltante del tramo en pesca</t>
  </si>
  <si>
    <t>Cantidad de varillas en pesca del tramo en falla</t>
  </si>
  <si>
    <t>Cantidad de varillas hasta el tramo en falla inc. las en pesca)</t>
  </si>
  <si>
    <t>v. 1.0</t>
  </si>
  <si>
    <t>He protegido las hojas con los cálculos para evitar su edición no intencional, pero las mismas no se encuentran protegidas con clave (solo esta carátula lo está) para poder permitir a los usuarios modificar las mismas a su necesidad. Espero que encuentren útil a este trabajo.</t>
  </si>
  <si>
    <t>Cálculo del Punto de Pesca en varillas</t>
  </si>
  <si>
    <t>por Pablo Subotovsky</t>
  </si>
  <si>
    <r>
      <t>Cálculo del Punto de Pesca en Varillas</t>
    </r>
    <r>
      <rPr>
        <sz val="12"/>
        <color theme="1"/>
        <rFont val="Calibri"/>
        <family val="2"/>
        <scheme val="minor"/>
      </rPr>
      <t xml:space="preserve">     v 1.0</t>
    </r>
  </si>
  <si>
    <t>Peso Flot Acum (kg.)</t>
  </si>
  <si>
    <t>Varillas (#)</t>
  </si>
  <si>
    <t>Varillas acumuladas (#)</t>
  </si>
  <si>
    <t>Despazamiento Cuerpo (l)</t>
  </si>
  <si>
    <t>Desplazamiento Cupla (l)</t>
  </si>
  <si>
    <t>Peso en vacio Cuerpo (kg.)</t>
  </si>
  <si>
    <t>Peso en vacio cupla (kg)</t>
  </si>
  <si>
    <t>Tramo (pulg.)</t>
  </si>
  <si>
    <t>Cantidad (#)</t>
  </si>
  <si>
    <t>Cant. Acum. (#)</t>
  </si>
  <si>
    <t>Peso en Flotacion del tramo (kg.)</t>
  </si>
  <si>
    <t>Peso en flotacion acumulado (kg)</t>
  </si>
  <si>
    <t>Cálcuilos Auxiliares</t>
  </si>
  <si>
    <t>Si se cuenta con los datos de prueba de válvula, utilizar este valor para el cálculo. En caso que tengamos una carta dinamométrica de superficie, la mejor opción es promediar las cargas en el momento del cambio de carrera.</t>
  </si>
  <si>
    <t>Instrucciones:</t>
  </si>
  <si>
    <t>Peso (Kg.)</t>
  </si>
  <si>
    <t>Desp. Cuerpo (l)</t>
  </si>
  <si>
    <t>Desp. Cupla (l)</t>
  </si>
  <si>
    <t>El objetivo de esta herramienta es poder estimar el punto de pesca previo a intervenir un pozo con bombeo mecánico. Si bien existen varios factores que pueden alterar este resultado (segregación de los fluidos dentro del tubing, fricción, etc.) el poder determinar en forma estimada el punto de pesca es sumamente útil ya que nos ayuda a optimizar la intervención del pozo (por ejemplo sabiendo el tiempo que durará la operación) así también como el considerar mejoras en el nuevo diseño que iremos a bajar.</t>
  </si>
  <si>
    <t>La herramienta permite estimar el punto de pesca tanto por el peso en superficie o bien si se cuenta con una carta dinamométrica de fondo, mediante el valor por debajo de la línea de carga 0. Para esto, es necesario en primera medida cargar el diseño de varillas y colocar los valores de los fluidos para poder calcular los pesos y la flotabilidad. Cabe mencionar que se utilizaron los pesos de las varillas grado D de Tenaris, aunque los mismos son similares para otros tipos de varillas API.</t>
  </si>
  <si>
    <t>En caso de utilizar la carta de fondo, una alternativa es obtener el valor negativo utilizando los módulos para calcular las fuerzas de fricción o la PIP, los cuales me permiten obtener el valor numérico calculado en el PMI.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</si>
</sst>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6"/>
      <color theme="1"/>
      <name val="Copperplate Gothic Bold"/>
      <family val="2"/>
    </font>
    <font>
      <u/>
      <sz val="11"/>
      <color theme="10"/>
      <name val="Calibri"/>
      <family val="2"/>
      <scheme val="minor"/>
    </font>
    <font>
      <b/>
      <u/>
      <sz val="22"/>
      <color theme="1"/>
      <name val="Calibri"/>
      <family val="2"/>
      <scheme val="minor"/>
    </font>
    <font>
      <sz val="12"/>
      <color theme="1"/>
      <name val="Calibri"/>
      <family val="2"/>
      <scheme val="minor"/>
    </font>
    <font>
      <b/>
      <u/>
      <sz val="14"/>
      <color theme="1"/>
      <name val="Calibri"/>
      <family val="2"/>
      <scheme val="minor"/>
    </font>
    <font>
      <b/>
      <sz val="11"/>
      <color rgb="FFFF0000"/>
      <name val="Calibri"/>
      <family val="2"/>
      <scheme val="minor"/>
    </font>
    <font>
      <b/>
      <sz val="16"/>
      <color rgb="FFFF0000"/>
      <name val="Calibri"/>
      <family val="2"/>
      <scheme val="minor"/>
    </font>
    <font>
      <b/>
      <sz val="9"/>
      <color indexed="81"/>
      <name val="Tahoma"/>
      <family val="2"/>
    </font>
    <font>
      <sz val="9"/>
      <color indexed="81"/>
      <name val="Tahoma"/>
      <family val="2"/>
    </font>
    <font>
      <sz val="11"/>
      <color theme="0" tint="-0.34998626667073579"/>
      <name val="Calibri"/>
      <family val="2"/>
      <scheme val="minor"/>
    </font>
    <font>
      <sz val="11"/>
      <color theme="0" tint="-0.499984740745262"/>
      <name val="Calibri"/>
      <family val="2"/>
      <scheme val="minor"/>
    </font>
    <font>
      <b/>
      <sz val="16"/>
      <color theme="0" tint="-0.499984740745262"/>
      <name val="Calibri"/>
      <family val="2"/>
      <scheme val="minor"/>
    </font>
    <font>
      <b/>
      <sz val="12"/>
      <color theme="1"/>
      <name val="Calibri"/>
      <family val="2"/>
      <scheme val="minor"/>
    </font>
    <font>
      <b/>
      <sz val="14"/>
      <color theme="1"/>
      <name val="Calibri"/>
      <family val="2"/>
      <scheme val="minor"/>
    </font>
    <font>
      <sz val="11"/>
      <color rgb="FFFFC000"/>
      <name val="Calibri"/>
      <family val="2"/>
      <scheme val="minor"/>
    </font>
    <font>
      <b/>
      <sz val="11"/>
      <color rgb="FFFFC000"/>
      <name val="Calibri"/>
      <family val="2"/>
      <scheme val="minor"/>
    </font>
    <font>
      <b/>
      <sz val="11"/>
      <color theme="0" tint="-0.34998626667073579"/>
      <name val="Calibri"/>
      <family val="2"/>
      <scheme val="minor"/>
    </font>
    <font>
      <b/>
      <u/>
      <sz val="16"/>
      <color theme="1"/>
      <name val="Calibri"/>
      <family val="2"/>
      <scheme val="minor"/>
    </font>
    <font>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14999847407452621"/>
        <bgColor indexed="64"/>
      </patternFill>
    </fill>
  </fills>
  <borders count="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186">
    <xf numFmtId="0" fontId="0" fillId="0" borderId="0" xfId="0"/>
    <xf numFmtId="0" fontId="0" fillId="0" borderId="0" xfId="0" applyAlignment="1">
      <alignment horizontal="center"/>
    </xf>
    <xf numFmtId="0" fontId="0" fillId="0" borderId="0" xfId="0" applyAlignment="1">
      <alignment horizontal="center"/>
    </xf>
    <xf numFmtId="2" fontId="0" fillId="0" borderId="0" xfId="0" applyNumberFormat="1"/>
    <xf numFmtId="0" fontId="0" fillId="2" borderId="0" xfId="0" applyFill="1"/>
    <xf numFmtId="0" fontId="0" fillId="3" borderId="9" xfId="0" applyFill="1" applyBorder="1" applyAlignment="1" applyProtection="1">
      <alignment horizontal="center"/>
      <protection locked="0"/>
    </xf>
    <xf numFmtId="9" fontId="0" fillId="3" borderId="9" xfId="1" applyFont="1"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8" xfId="0" applyFill="1" applyBorder="1" applyAlignment="1" applyProtection="1">
      <alignment horizontal="center"/>
      <protection locked="0"/>
    </xf>
    <xf numFmtId="12" fontId="0" fillId="3" borderId="24" xfId="0" applyNumberFormat="1" applyFill="1" applyBorder="1" applyAlignment="1" applyProtection="1">
      <alignment horizontal="center"/>
      <protection locked="0"/>
    </xf>
    <xf numFmtId="0" fontId="0" fillId="3" borderId="24" xfId="0" applyFill="1" applyBorder="1" applyAlignment="1" applyProtection="1">
      <alignment horizontal="center"/>
      <protection locked="0"/>
    </xf>
    <xf numFmtId="12" fontId="0" fillId="3" borderId="23" xfId="0" applyNumberFormat="1" applyFill="1" applyBorder="1" applyAlignment="1" applyProtection="1">
      <alignment horizontal="center"/>
      <protection locked="0"/>
    </xf>
    <xf numFmtId="0" fontId="0" fillId="3" borderId="23"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3" fillId="2" borderId="0" xfId="0" applyFont="1" applyFill="1" applyBorder="1" applyAlignment="1" applyProtection="1">
      <alignment horizontal="right"/>
    </xf>
    <xf numFmtId="0" fontId="4" fillId="2" borderId="0" xfId="2" applyFill="1" applyBorder="1" applyAlignment="1" applyProtection="1">
      <alignment horizontal="right"/>
    </xf>
    <xf numFmtId="0" fontId="0" fillId="2" borderId="4" xfId="0" applyFill="1" applyBorder="1" applyProtection="1"/>
    <xf numFmtId="0" fontId="7" fillId="2" borderId="5" xfId="0" applyFont="1" applyFill="1" applyBorder="1" applyProtection="1"/>
    <xf numFmtId="0" fontId="0" fillId="2" borderId="5" xfId="0" applyFill="1" applyBorder="1" applyAlignment="1" applyProtection="1">
      <alignment horizontal="center"/>
    </xf>
    <xf numFmtId="0" fontId="0" fillId="2" borderId="5" xfId="0" applyFill="1" applyBorder="1" applyProtection="1"/>
    <xf numFmtId="0" fontId="0" fillId="2" borderId="6" xfId="0" applyFill="1" applyBorder="1" applyProtection="1"/>
    <xf numFmtId="0" fontId="0" fillId="2" borderId="7" xfId="0" applyFill="1" applyBorder="1" applyProtection="1"/>
    <xf numFmtId="0" fontId="0" fillId="2" borderId="0" xfId="0" applyFill="1" applyBorder="1" applyProtection="1"/>
    <xf numFmtId="0" fontId="0" fillId="2" borderId="0" xfId="0" applyFill="1" applyBorder="1" applyAlignment="1" applyProtection="1">
      <alignment horizontal="center"/>
    </xf>
    <xf numFmtId="0" fontId="0" fillId="2" borderId="8" xfId="0" applyFill="1" applyBorder="1" applyProtection="1"/>
    <xf numFmtId="9" fontId="0" fillId="2" borderId="0" xfId="1" applyFont="1" applyFill="1" applyBorder="1" applyAlignment="1" applyProtection="1">
      <alignment horizontal="center"/>
    </xf>
    <xf numFmtId="0" fontId="0" fillId="5" borderId="9" xfId="0" applyFill="1" applyBorder="1" applyAlignment="1" applyProtection="1">
      <alignment horizontal="center"/>
    </xf>
    <xf numFmtId="0" fontId="0" fillId="2" borderId="10" xfId="0" applyFill="1" applyBorder="1" applyProtection="1"/>
    <xf numFmtId="0" fontId="0" fillId="2" borderId="11" xfId="0" applyFill="1" applyBorder="1" applyProtection="1"/>
    <xf numFmtId="0" fontId="0" fillId="2" borderId="11" xfId="0" applyFill="1" applyBorder="1" applyAlignment="1" applyProtection="1">
      <alignment horizontal="center"/>
    </xf>
    <xf numFmtId="0" fontId="0" fillId="2" borderId="12" xfId="0" applyFill="1" applyBorder="1" applyProtection="1"/>
    <xf numFmtId="0" fontId="7" fillId="2" borderId="0" xfId="0" applyFont="1" applyFill="1" applyBorder="1" applyProtection="1"/>
    <xf numFmtId="0" fontId="0" fillId="2" borderId="0" xfId="0" applyFill="1" applyAlignment="1" applyProtection="1">
      <alignment vertical="center" wrapText="1"/>
    </xf>
    <xf numFmtId="2" fontId="0" fillId="2" borderId="0" xfId="0" applyNumberFormat="1" applyFill="1" applyProtection="1"/>
    <xf numFmtId="0" fontId="0" fillId="2" borderId="25" xfId="0" applyFill="1" applyBorder="1" applyAlignment="1" applyProtection="1">
      <alignment horizontal="center"/>
    </xf>
    <xf numFmtId="1" fontId="0" fillId="2" borderId="0" xfId="0" applyNumberFormat="1" applyFill="1" applyBorder="1" applyAlignment="1" applyProtection="1">
      <alignment horizontal="center"/>
    </xf>
    <xf numFmtId="0" fontId="0" fillId="2" borderId="22" xfId="0" applyFill="1" applyBorder="1" applyAlignment="1" applyProtection="1">
      <alignment horizontal="center"/>
    </xf>
    <xf numFmtId="0" fontId="9" fillId="2" borderId="0" xfId="0" applyFont="1" applyFill="1" applyBorder="1" applyAlignment="1" applyProtection="1">
      <alignment vertical="center"/>
    </xf>
    <xf numFmtId="1" fontId="0" fillId="2" borderId="0" xfId="0" applyNumberFormat="1" applyFill="1" applyProtection="1"/>
    <xf numFmtId="0" fontId="2" fillId="2" borderId="0" xfId="0" applyFont="1" applyFill="1" applyBorder="1" applyProtection="1"/>
    <xf numFmtId="0" fontId="2" fillId="2" borderId="0" xfId="0" applyFont="1" applyFill="1" applyBorder="1" applyAlignment="1" applyProtection="1">
      <alignment horizontal="center"/>
    </xf>
    <xf numFmtId="0" fontId="0" fillId="2" borderId="19" xfId="0" applyFill="1" applyBorder="1" applyAlignment="1" applyProtection="1">
      <alignment horizontal="center"/>
    </xf>
    <xf numFmtId="1" fontId="2" fillId="5" borderId="28" xfId="0" applyNumberFormat="1" applyFont="1" applyFill="1" applyBorder="1" applyAlignment="1" applyProtection="1">
      <alignment horizontal="center"/>
    </xf>
    <xf numFmtId="1" fontId="2" fillId="5" borderId="29" xfId="0" applyNumberFormat="1" applyFont="1" applyFill="1" applyBorder="1" applyAlignment="1" applyProtection="1">
      <alignment horizontal="center"/>
    </xf>
    <xf numFmtId="1" fontId="2" fillId="5" borderId="13" xfId="0" applyNumberFormat="1" applyFont="1" applyFill="1" applyBorder="1" applyAlignment="1" applyProtection="1">
      <alignment horizontal="center"/>
    </xf>
    <xf numFmtId="1" fontId="0" fillId="5" borderId="19" xfId="0" applyNumberFormat="1" applyFill="1" applyBorder="1" applyAlignment="1" applyProtection="1">
      <alignment horizontal="center"/>
    </xf>
    <xf numFmtId="1" fontId="0" fillId="5" borderId="20" xfId="0" applyNumberFormat="1" applyFill="1" applyBorder="1" applyAlignment="1" applyProtection="1">
      <alignment horizontal="center"/>
    </xf>
    <xf numFmtId="1" fontId="0" fillId="5" borderId="21" xfId="0" applyNumberFormat="1" applyFill="1" applyBorder="1" applyAlignment="1" applyProtection="1">
      <alignment horizontal="center"/>
    </xf>
    <xf numFmtId="1" fontId="0" fillId="5" borderId="25" xfId="0" applyNumberFormat="1" applyFill="1" applyBorder="1" applyAlignment="1" applyProtection="1">
      <alignment horizontal="center"/>
    </xf>
    <xf numFmtId="1" fontId="0" fillId="5" borderId="24" xfId="0" applyNumberFormat="1" applyFill="1" applyBorder="1" applyAlignment="1" applyProtection="1">
      <alignment horizontal="center"/>
    </xf>
    <xf numFmtId="1" fontId="0" fillId="5" borderId="16" xfId="0" applyNumberFormat="1" applyFill="1" applyBorder="1" applyAlignment="1" applyProtection="1">
      <alignment horizontal="center"/>
    </xf>
    <xf numFmtId="1" fontId="0" fillId="5" borderId="22" xfId="0" applyNumberFormat="1" applyFill="1" applyBorder="1" applyAlignment="1" applyProtection="1">
      <alignment horizontal="center"/>
    </xf>
    <xf numFmtId="1" fontId="0" fillId="5" borderId="23" xfId="0" applyNumberFormat="1" applyFill="1" applyBorder="1" applyAlignment="1" applyProtection="1">
      <alignment horizontal="center"/>
    </xf>
    <xf numFmtId="1" fontId="0" fillId="5" borderId="18" xfId="0" applyNumberFormat="1" applyFill="1" applyBorder="1" applyAlignment="1" applyProtection="1">
      <alignment horizontal="center"/>
    </xf>
    <xf numFmtId="0" fontId="0" fillId="5" borderId="13" xfId="0" applyFill="1" applyBorder="1" applyAlignment="1" applyProtection="1">
      <alignment horizontal="center"/>
    </xf>
    <xf numFmtId="12" fontId="0" fillId="5" borderId="1" xfId="0" applyNumberFormat="1" applyFill="1" applyBorder="1" applyAlignment="1" applyProtection="1">
      <alignment horizontal="center"/>
    </xf>
    <xf numFmtId="0" fontId="0" fillId="5" borderId="3" xfId="0" applyFill="1" applyBorder="1" applyAlignment="1" applyProtection="1">
      <alignment horizontal="left"/>
    </xf>
    <xf numFmtId="12" fontId="0" fillId="2" borderId="0" xfId="0" applyNumberFormat="1" applyFill="1" applyProtection="1"/>
    <xf numFmtId="1" fontId="0" fillId="5" borderId="9" xfId="0" applyNumberFormat="1" applyFill="1" applyBorder="1" applyAlignment="1" applyProtection="1">
      <alignment horizontal="center"/>
    </xf>
    <xf numFmtId="0" fontId="9" fillId="5" borderId="7" xfId="0" applyFont="1" applyFill="1" applyBorder="1" applyAlignment="1" applyProtection="1">
      <alignment vertical="center"/>
    </xf>
    <xf numFmtId="0" fontId="9" fillId="5" borderId="0" xfId="0" applyFont="1" applyFill="1" applyBorder="1" applyAlignment="1" applyProtection="1">
      <alignment vertical="center"/>
    </xf>
    <xf numFmtId="0" fontId="0" fillId="5" borderId="8" xfId="0" applyFill="1" applyBorder="1" applyProtection="1"/>
    <xf numFmtId="0" fontId="13" fillId="5" borderId="7" xfId="0" applyFont="1" applyFill="1" applyBorder="1" applyProtection="1"/>
    <xf numFmtId="0" fontId="14" fillId="5" borderId="0" xfId="0" applyFont="1" applyFill="1" applyBorder="1" applyAlignment="1" applyProtection="1">
      <alignment vertical="center"/>
    </xf>
    <xf numFmtId="0" fontId="13" fillId="5" borderId="0" xfId="0" applyFont="1" applyFill="1" applyBorder="1" applyProtection="1"/>
    <xf numFmtId="1" fontId="13" fillId="5" borderId="0" xfId="0" applyNumberFormat="1" applyFont="1" applyFill="1" applyBorder="1" applyProtection="1"/>
    <xf numFmtId="0" fontId="0" fillId="5" borderId="10" xfId="0" applyFill="1" applyBorder="1" applyProtection="1"/>
    <xf numFmtId="0" fontId="0" fillId="5" borderId="11" xfId="0" applyFill="1" applyBorder="1" applyProtection="1"/>
    <xf numFmtId="0" fontId="0" fillId="5" borderId="12" xfId="0" applyFill="1" applyBorder="1" applyProtection="1"/>
    <xf numFmtId="0" fontId="2" fillId="5" borderId="19" xfId="0" applyFont="1" applyFill="1" applyBorder="1" applyAlignment="1" applyProtection="1">
      <alignment horizontal="center" vertical="center" wrapText="1"/>
    </xf>
    <xf numFmtId="0" fontId="2" fillId="5" borderId="20"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xf>
    <xf numFmtId="0" fontId="0" fillId="2" borderId="0" xfId="0" applyFill="1" applyAlignment="1">
      <alignment wrapText="1"/>
    </xf>
    <xf numFmtId="0" fontId="4" fillId="2" borderId="0" xfId="2" applyFill="1" applyAlignment="1">
      <alignment horizontal="right" wrapText="1"/>
    </xf>
    <xf numFmtId="0" fontId="7" fillId="2" borderId="0" xfId="0" applyFont="1" applyFill="1" applyAlignment="1">
      <alignment horizontal="center" wrapText="1"/>
    </xf>
    <xf numFmtId="0" fontId="15" fillId="2" borderId="0" xfId="0" applyFont="1" applyFill="1" applyAlignment="1">
      <alignment horizontal="right" wrapText="1"/>
    </xf>
    <xf numFmtId="0" fontId="0" fillId="2" borderId="0" xfId="0" applyFill="1" applyAlignment="1">
      <alignment horizontal="right" wrapText="1"/>
    </xf>
    <xf numFmtId="0" fontId="18" fillId="2" borderId="2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12" fontId="17" fillId="2" borderId="24" xfId="0" applyNumberFormat="1" applyFont="1" applyFill="1" applyBorder="1" applyProtection="1"/>
    <xf numFmtId="165" fontId="17" fillId="2" borderId="24" xfId="0" applyNumberFormat="1" applyFont="1" applyFill="1" applyBorder="1" applyProtection="1"/>
    <xf numFmtId="165" fontId="17" fillId="2" borderId="16" xfId="0" applyNumberFormat="1" applyFont="1" applyFill="1" applyBorder="1" applyProtection="1"/>
    <xf numFmtId="2" fontId="17" fillId="2" borderId="24" xfId="0" applyNumberFormat="1" applyFont="1" applyFill="1" applyBorder="1" applyProtection="1"/>
    <xf numFmtId="12" fontId="17" fillId="2" borderId="23" xfId="0" applyNumberFormat="1" applyFont="1" applyFill="1" applyBorder="1" applyProtection="1"/>
    <xf numFmtId="165" fontId="17" fillId="2" borderId="23" xfId="0" applyNumberFormat="1" applyFont="1" applyFill="1" applyBorder="1" applyProtection="1"/>
    <xf numFmtId="2" fontId="17" fillId="2" borderId="23" xfId="0" applyNumberFormat="1" applyFont="1" applyFill="1" applyBorder="1" applyProtection="1"/>
    <xf numFmtId="165" fontId="17" fillId="2" borderId="18" xfId="0" applyNumberFormat="1" applyFont="1" applyFill="1" applyBorder="1" applyProtection="1"/>
    <xf numFmtId="0" fontId="3" fillId="3" borderId="2" xfId="0" applyFont="1" applyFill="1" applyBorder="1" applyAlignment="1" applyProtection="1">
      <alignment horizontal="right"/>
    </xf>
    <xf numFmtId="0" fontId="0" fillId="4" borderId="3" xfId="0" applyFill="1" applyBorder="1" applyAlignment="1" applyProtection="1"/>
    <xf numFmtId="0" fontId="8" fillId="2" borderId="0" xfId="0" applyFont="1" applyFill="1" applyBorder="1" applyAlignment="1" applyProtection="1">
      <alignment horizontal="center"/>
    </xf>
    <xf numFmtId="0" fontId="18" fillId="2" borderId="15" xfId="0" applyFont="1" applyFill="1" applyBorder="1" applyAlignment="1" applyProtection="1">
      <alignment horizontal="center" vertical="center" wrapText="1"/>
    </xf>
    <xf numFmtId="12" fontId="17" fillId="2" borderId="15" xfId="0" applyNumberFormat="1" applyFont="1" applyFill="1" applyBorder="1" applyProtection="1"/>
    <xf numFmtId="12" fontId="17" fillId="2" borderId="17" xfId="0" applyNumberFormat="1" applyFont="1" applyFill="1" applyBorder="1" applyProtection="1"/>
    <xf numFmtId="0" fontId="19" fillId="5" borderId="19" xfId="0" applyFont="1" applyFill="1" applyBorder="1" applyAlignment="1" applyProtection="1">
      <alignment horizontal="center" vertical="center" wrapText="1"/>
    </xf>
    <xf numFmtId="0" fontId="19" fillId="5" borderId="20" xfId="0" applyFont="1" applyFill="1" applyBorder="1" applyAlignment="1" applyProtection="1">
      <alignment horizontal="center" vertical="center" wrapText="1"/>
    </xf>
    <xf numFmtId="0" fontId="19" fillId="5" borderId="21"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1" fontId="12" fillId="2" borderId="25" xfId="0" applyNumberFormat="1" applyFont="1" applyFill="1" applyBorder="1" applyAlignment="1" applyProtection="1">
      <alignment horizontal="center" vertical="center"/>
    </xf>
    <xf numFmtId="1" fontId="12" fillId="2" borderId="24" xfId="0" applyNumberFormat="1" applyFont="1" applyFill="1" applyBorder="1" applyAlignment="1" applyProtection="1">
      <alignment horizontal="center" vertical="center"/>
    </xf>
    <xf numFmtId="165" fontId="12" fillId="2" borderId="24" xfId="0" applyNumberFormat="1" applyFont="1" applyFill="1" applyBorder="1" applyAlignment="1" applyProtection="1">
      <alignment horizontal="center" vertical="center"/>
    </xf>
    <xf numFmtId="2" fontId="12" fillId="2" borderId="24" xfId="0" applyNumberFormat="1" applyFont="1" applyFill="1" applyBorder="1" applyAlignment="1" applyProtection="1">
      <alignment horizontal="center" vertical="center"/>
    </xf>
    <xf numFmtId="2" fontId="12" fillId="2" borderId="16" xfId="0" applyNumberFormat="1" applyFont="1" applyFill="1" applyBorder="1" applyAlignment="1" applyProtection="1">
      <alignment horizontal="center" vertical="center"/>
    </xf>
    <xf numFmtId="164" fontId="12" fillId="2" borderId="24" xfId="0" applyNumberFormat="1" applyFont="1" applyFill="1" applyBorder="1" applyAlignment="1" applyProtection="1">
      <alignment horizontal="center" vertical="center"/>
    </xf>
    <xf numFmtId="1" fontId="12" fillId="2" borderId="22" xfId="0" applyNumberFormat="1" applyFont="1" applyFill="1" applyBorder="1" applyAlignment="1" applyProtection="1">
      <alignment horizontal="center" vertical="center"/>
    </xf>
    <xf numFmtId="1" fontId="12" fillId="2" borderId="23" xfId="0" applyNumberFormat="1" applyFont="1" applyFill="1" applyBorder="1" applyAlignment="1" applyProtection="1">
      <alignment horizontal="center" vertical="center"/>
    </xf>
    <xf numFmtId="2" fontId="12" fillId="2" borderId="23" xfId="0" applyNumberFormat="1" applyFont="1" applyFill="1" applyBorder="1" applyAlignment="1" applyProtection="1">
      <alignment horizontal="center" vertical="center"/>
    </xf>
    <xf numFmtId="2" fontId="12" fillId="2" borderId="18" xfId="0" applyNumberFormat="1" applyFont="1" applyFill="1" applyBorder="1" applyAlignment="1" applyProtection="1">
      <alignment horizontal="center" vertical="center"/>
    </xf>
    <xf numFmtId="0" fontId="5" fillId="2" borderId="0" xfId="0" applyFont="1" applyFill="1" applyBorder="1" applyAlignment="1" applyProtection="1">
      <alignment horizontal="center"/>
    </xf>
    <xf numFmtId="0" fontId="2" fillId="3" borderId="36" xfId="0" applyFont="1" applyFill="1" applyBorder="1" applyAlignment="1" applyProtection="1">
      <alignment horizontal="center" vertical="center" wrapText="1"/>
      <protection locked="0"/>
    </xf>
    <xf numFmtId="0" fontId="2" fillId="3" borderId="37"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0" fillId="3" borderId="3" xfId="0" applyFill="1" applyBorder="1" applyAlignment="1" applyProtection="1">
      <alignment horizontal="center"/>
      <protection locked="0"/>
    </xf>
    <xf numFmtId="0" fontId="2" fillId="3" borderId="9"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xf>
    <xf numFmtId="0" fontId="0" fillId="2" borderId="0" xfId="0" applyFill="1" applyBorder="1" applyAlignment="1" applyProtection="1"/>
    <xf numFmtId="12" fontId="0" fillId="3" borderId="20" xfId="0" applyNumberFormat="1"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20" fillId="2" borderId="0" xfId="0" applyFont="1" applyFill="1" applyAlignment="1">
      <alignment wrapText="1"/>
    </xf>
    <xf numFmtId="12" fontId="0" fillId="0" borderId="24" xfId="0" applyNumberFormat="1" applyBorder="1" applyAlignment="1">
      <alignment horizontal="center"/>
    </xf>
    <xf numFmtId="12" fontId="0" fillId="0" borderId="25" xfId="0" applyNumberFormat="1" applyBorder="1" applyAlignment="1">
      <alignment horizontal="center"/>
    </xf>
    <xf numFmtId="12" fontId="0" fillId="0" borderId="22" xfId="0" applyNumberFormat="1" applyBorder="1" applyAlignment="1">
      <alignment horizontal="center"/>
    </xf>
    <xf numFmtId="0" fontId="0" fillId="0" borderId="25" xfId="0" applyBorder="1" applyAlignment="1">
      <alignment horizontal="center"/>
    </xf>
    <xf numFmtId="0" fontId="0" fillId="0" borderId="24" xfId="0" applyBorder="1" applyAlignment="1">
      <alignment horizontal="center"/>
    </xf>
    <xf numFmtId="2" fontId="0" fillId="0" borderId="24" xfId="0" applyNumberFormat="1" applyBorder="1" applyAlignment="1">
      <alignment horizontal="center"/>
    </xf>
    <xf numFmtId="2" fontId="0" fillId="0" borderId="16" xfId="0" applyNumberFormat="1" applyBorder="1" applyAlignment="1">
      <alignment horizontal="center"/>
    </xf>
    <xf numFmtId="0" fontId="0" fillId="0" borderId="23" xfId="0" applyBorder="1" applyAlignment="1">
      <alignment horizontal="center"/>
    </xf>
    <xf numFmtId="2" fontId="0" fillId="0" borderId="23" xfId="0" applyNumberFormat="1" applyBorder="1" applyAlignment="1">
      <alignment horizontal="center"/>
    </xf>
    <xf numFmtId="2" fontId="0" fillId="0" borderId="18" xfId="0" applyNumberFormat="1" applyBorder="1" applyAlignment="1">
      <alignment horizontal="center"/>
    </xf>
    <xf numFmtId="0" fontId="0" fillId="0" borderId="22" xfId="0" applyBorder="1" applyAlignment="1">
      <alignment horizontal="center"/>
    </xf>
    <xf numFmtId="12" fontId="0" fillId="0" borderId="26" xfId="0" applyNumberFormat="1" applyBorder="1" applyAlignment="1">
      <alignment horizontal="center"/>
    </xf>
    <xf numFmtId="0" fontId="0" fillId="0" borderId="27" xfId="0" applyBorder="1" applyAlignment="1">
      <alignment horizontal="center"/>
    </xf>
    <xf numFmtId="2" fontId="0" fillId="0" borderId="14" xfId="0" applyNumberFormat="1" applyBorder="1" applyAlignment="1">
      <alignment horizontal="center"/>
    </xf>
    <xf numFmtId="0" fontId="0" fillId="0" borderId="26" xfId="0" applyBorder="1" applyAlignment="1">
      <alignment horizontal="center"/>
    </xf>
    <xf numFmtId="0" fontId="0" fillId="0" borderId="14" xfId="0" applyBorder="1" applyAlignment="1">
      <alignment horizontal="center"/>
    </xf>
    <xf numFmtId="0" fontId="2" fillId="6" borderId="22" xfId="0" applyFont="1" applyFill="1" applyBorder="1" applyAlignment="1">
      <alignment horizontal="center"/>
    </xf>
    <xf numFmtId="0" fontId="2" fillId="6" borderId="23" xfId="0" applyFont="1" applyFill="1" applyBorder="1" applyAlignment="1">
      <alignment horizontal="center"/>
    </xf>
    <xf numFmtId="0" fontId="2" fillId="6" borderId="18" xfId="0" applyFont="1" applyFill="1" applyBorder="1" applyAlignment="1">
      <alignment horizontal="center"/>
    </xf>
    <xf numFmtId="0" fontId="2" fillId="6" borderId="21" xfId="0" applyFont="1" applyFill="1" applyBorder="1" applyAlignment="1">
      <alignment horizontal="center"/>
    </xf>
    <xf numFmtId="0" fontId="2" fillId="6" borderId="25" xfId="0" applyFont="1" applyFill="1" applyBorder="1" applyAlignment="1">
      <alignment horizontal="center"/>
    </xf>
    <xf numFmtId="0" fontId="2" fillId="6" borderId="24" xfId="0" applyFont="1" applyFill="1" applyBorder="1" applyAlignment="1">
      <alignment horizontal="center"/>
    </xf>
    <xf numFmtId="0" fontId="2" fillId="6" borderId="16" xfId="0" applyFont="1" applyFill="1" applyBorder="1" applyAlignment="1">
      <alignment horizontal="center"/>
    </xf>
    <xf numFmtId="0" fontId="2" fillId="5" borderId="24" xfId="0" applyFont="1" applyFill="1" applyBorder="1" applyAlignment="1">
      <alignment horizontal="center"/>
    </xf>
    <xf numFmtId="0" fontId="21" fillId="2" borderId="7" xfId="0" applyFont="1" applyFill="1" applyBorder="1" applyProtection="1"/>
    <xf numFmtId="0" fontId="21" fillId="2" borderId="7" xfId="0" applyFont="1" applyFill="1" applyBorder="1" applyAlignment="1" applyProtection="1">
      <alignment horizontal="right"/>
    </xf>
    <xf numFmtId="0" fontId="16" fillId="5" borderId="1" xfId="0" applyFont="1" applyFill="1" applyBorder="1" applyAlignment="1" applyProtection="1">
      <alignment horizontal="center"/>
    </xf>
    <xf numFmtId="0" fontId="16" fillId="5" borderId="2" xfId="0" applyFont="1" applyFill="1" applyBorder="1" applyAlignment="1" applyProtection="1">
      <alignment horizontal="center"/>
    </xf>
    <xf numFmtId="0" fontId="16" fillId="5" borderId="3" xfId="0" applyFont="1" applyFill="1" applyBorder="1" applyAlignment="1" applyProtection="1">
      <alignment horizontal="center"/>
    </xf>
    <xf numFmtId="0" fontId="2" fillId="2" borderId="0" xfId="0" applyFont="1" applyFill="1" applyBorder="1" applyAlignment="1" applyProtection="1">
      <alignment horizontal="center"/>
    </xf>
    <xf numFmtId="0" fontId="2" fillId="5" borderId="31" xfId="0" applyFont="1" applyFill="1" applyBorder="1" applyAlignment="1" applyProtection="1">
      <alignment horizontal="center" vertical="center"/>
    </xf>
    <xf numFmtId="0" fontId="2" fillId="5" borderId="34" xfId="0" applyFont="1" applyFill="1" applyBorder="1" applyAlignment="1" applyProtection="1">
      <alignment horizontal="center" vertical="center"/>
    </xf>
    <xf numFmtId="0" fontId="2" fillId="5" borderId="32" xfId="0" applyFont="1" applyFill="1" applyBorder="1" applyAlignment="1" applyProtection="1">
      <alignment horizontal="center" vertical="center"/>
    </xf>
    <xf numFmtId="0" fontId="2" fillId="5" borderId="35" xfId="0" applyFont="1" applyFill="1" applyBorder="1" applyAlignment="1" applyProtection="1">
      <alignment horizontal="center" vertical="center"/>
    </xf>
    <xf numFmtId="0" fontId="0" fillId="5" borderId="1" xfId="0" applyFill="1" applyBorder="1" applyAlignment="1" applyProtection="1">
      <alignment horizontal="center"/>
    </xf>
    <xf numFmtId="0" fontId="0" fillId="5" borderId="3" xfId="0" applyFill="1" applyBorder="1" applyAlignment="1" applyProtection="1">
      <alignment horizontal="center"/>
    </xf>
    <xf numFmtId="1" fontId="0" fillId="5" borderId="1" xfId="0" applyNumberFormat="1" applyFill="1" applyBorder="1" applyAlignment="1" applyProtection="1">
      <alignment horizontal="center"/>
    </xf>
    <xf numFmtId="1" fontId="0" fillId="5" borderId="3" xfId="0" applyNumberFormat="1" applyFill="1" applyBorder="1" applyAlignment="1" applyProtection="1">
      <alignment horizontal="center"/>
    </xf>
    <xf numFmtId="0" fontId="2" fillId="5" borderId="28" xfId="0" applyFont="1" applyFill="1" applyBorder="1" applyAlignment="1" applyProtection="1">
      <alignment horizontal="center"/>
    </xf>
    <xf numFmtId="0" fontId="2" fillId="5" borderId="29" xfId="0" applyFont="1" applyFill="1" applyBorder="1" applyAlignment="1" applyProtection="1">
      <alignment horizontal="center"/>
    </xf>
    <xf numFmtId="0" fontId="2" fillId="5" borderId="30" xfId="0" applyFont="1" applyFill="1" applyBorder="1" applyAlignment="1" applyProtection="1">
      <alignment horizontal="center" vertical="center"/>
    </xf>
    <xf numFmtId="0" fontId="2" fillId="5" borderId="33" xfId="0" applyFont="1" applyFill="1" applyBorder="1" applyAlignment="1" applyProtection="1">
      <alignment horizontal="center" vertical="center"/>
    </xf>
    <xf numFmtId="0" fontId="2" fillId="5" borderId="31"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3" fillId="3" borderId="1" xfId="0" applyFont="1" applyFill="1" applyBorder="1" applyAlignment="1" applyProtection="1">
      <alignment horizontal="right"/>
    </xf>
    <xf numFmtId="0" fontId="3" fillId="3" borderId="2" xfId="0" applyFont="1" applyFill="1" applyBorder="1" applyAlignment="1" applyProtection="1">
      <alignment horizontal="right"/>
    </xf>
    <xf numFmtId="0" fontId="5" fillId="2" borderId="1" xfId="0" applyFont="1" applyFill="1" applyBorder="1" applyAlignment="1" applyProtection="1">
      <alignment horizontal="center"/>
    </xf>
    <xf numFmtId="0" fontId="5" fillId="2" borderId="2" xfId="0" applyFont="1" applyFill="1" applyBorder="1" applyAlignment="1" applyProtection="1">
      <alignment horizontal="center"/>
    </xf>
    <xf numFmtId="0" fontId="5" fillId="2" borderId="3" xfId="0" applyFont="1" applyFill="1" applyBorder="1" applyAlignment="1" applyProtection="1">
      <alignment horizontal="center"/>
    </xf>
    <xf numFmtId="0" fontId="8" fillId="2" borderId="1" xfId="0" applyFont="1" applyFill="1" applyBorder="1" applyAlignment="1" applyProtection="1">
      <alignment horizontal="center"/>
    </xf>
    <xf numFmtId="0" fontId="8" fillId="2" borderId="2" xfId="0" applyFont="1" applyFill="1" applyBorder="1" applyAlignment="1" applyProtection="1">
      <alignment horizontal="center"/>
    </xf>
    <xf numFmtId="0" fontId="8" fillId="2" borderId="3" xfId="0"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20" xfId="0" applyFont="1" applyFill="1" applyBorder="1" applyAlignment="1" applyProtection="1">
      <alignment horizontal="center"/>
    </xf>
    <xf numFmtId="0" fontId="17" fillId="2" borderId="21" xfId="0" applyFont="1" applyFill="1" applyBorder="1" applyAlignment="1" applyProtection="1">
      <alignment horizontal="center"/>
    </xf>
    <xf numFmtId="0" fontId="0" fillId="5" borderId="2" xfId="0" applyFill="1" applyBorder="1" applyAlignment="1" applyProtection="1">
      <alignment horizontal="center"/>
    </xf>
    <xf numFmtId="0" fontId="0" fillId="0" borderId="0" xfId="0" applyAlignment="1">
      <alignment horizontal="center"/>
    </xf>
    <xf numFmtId="0" fontId="2" fillId="6" borderId="19" xfId="0" applyFont="1" applyFill="1" applyBorder="1" applyAlignment="1">
      <alignment horizontal="center"/>
    </xf>
    <xf numFmtId="0" fontId="2" fillId="6" borderId="20" xfId="0" applyFont="1" applyFill="1" applyBorder="1" applyAlignment="1">
      <alignment horizontal="center"/>
    </xf>
    <xf numFmtId="0" fontId="2" fillId="6" borderId="21" xfId="0" applyFont="1" applyFill="1" applyBorder="1" applyAlignment="1">
      <alignment horizontal="center"/>
    </xf>
    <xf numFmtId="0" fontId="2" fillId="6" borderId="30" xfId="0" applyFont="1" applyFill="1" applyBorder="1" applyAlignment="1">
      <alignment horizontal="center"/>
    </xf>
    <xf numFmtId="0" fontId="2" fillId="6" borderId="31" xfId="0" applyFont="1" applyFill="1" applyBorder="1" applyAlignment="1">
      <alignment horizontal="center"/>
    </xf>
    <xf numFmtId="0" fontId="2" fillId="6" borderId="32" xfId="0" applyFont="1" applyFill="1" applyBorder="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485774</xdr:colOff>
      <xdr:row>0</xdr:row>
      <xdr:rowOff>76200</xdr:rowOff>
    </xdr:from>
    <xdr:to>
      <xdr:col>2</xdr:col>
      <xdr:colOff>9524</xdr:colOff>
      <xdr:row>2</xdr:row>
      <xdr:rowOff>0</xdr:rowOff>
    </xdr:to>
    <xdr:pic>
      <xdr:nvPicPr>
        <xdr:cNvPr id="9"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85774" y="76200"/>
          <a:ext cx="81534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41</xdr:row>
      <xdr:rowOff>76200</xdr:rowOff>
    </xdr:from>
    <xdr:to>
      <xdr:col>1</xdr:col>
      <xdr:colOff>5295900</xdr:colOff>
      <xdr:row>48</xdr:row>
      <xdr:rowOff>97564</xdr:rowOff>
    </xdr:to>
    <xdr:grpSp>
      <xdr:nvGrpSpPr>
        <xdr:cNvPr id="22" name="Group 21"/>
        <xdr:cNvGrpSpPr/>
      </xdr:nvGrpSpPr>
      <xdr:grpSpPr>
        <a:xfrm>
          <a:off x="2428875" y="10115550"/>
          <a:ext cx="3476625" cy="1354864"/>
          <a:chOff x="466725" y="8020050"/>
          <a:chExt cx="3476625" cy="1354864"/>
        </a:xfrm>
      </xdr:grpSpPr>
      <xdr:pic>
        <xdr:nvPicPr>
          <xdr:cNvPr id="17" name="Picture 16"/>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0006"/>
          <a:stretch/>
        </xdr:blipFill>
        <xdr:spPr bwMode="auto">
          <a:xfrm>
            <a:off x="466725" y="8020050"/>
            <a:ext cx="3476625" cy="1354864"/>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8" name="Straight Arrow Connector 17"/>
          <xdr:cNvCxnSpPr/>
        </xdr:nvCxnSpPr>
        <xdr:spPr>
          <a:xfrm flipV="1">
            <a:off x="1076325" y="8134350"/>
            <a:ext cx="9525" cy="733425"/>
          </a:xfrm>
          <a:prstGeom prst="straightConnector1">
            <a:avLst/>
          </a:prstGeom>
          <a:ln w="28575">
            <a:solidFill>
              <a:srgbClr val="FF0000"/>
            </a:solidFill>
            <a:headEnd type="diamond"/>
            <a:tailEnd type="diamond" w="med" len="med"/>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sp macro="" textlink="">
        <xdr:nvSpPr>
          <xdr:cNvPr id="19" name="TextBox 18"/>
          <xdr:cNvSpPr txBox="1"/>
        </xdr:nvSpPr>
        <xdr:spPr>
          <a:xfrm>
            <a:off x="1171575" y="8343900"/>
            <a:ext cx="733425" cy="29527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3500 lbs.</a:t>
            </a:r>
          </a:p>
        </xdr:txBody>
      </xdr:sp>
    </xdr:grpSp>
    <xdr:clientData/>
  </xdr:twoCellAnchor>
  <xdr:twoCellAnchor editAs="oneCell">
    <xdr:from>
      <xdr:col>1</xdr:col>
      <xdr:colOff>1352550</xdr:colOff>
      <xdr:row>50</xdr:row>
      <xdr:rowOff>114300</xdr:rowOff>
    </xdr:from>
    <xdr:to>
      <xdr:col>1</xdr:col>
      <xdr:colOff>6240343</xdr:colOff>
      <xdr:row>70</xdr:row>
      <xdr:rowOff>137242</xdr:rowOff>
    </xdr:to>
    <xdr:pic>
      <xdr:nvPicPr>
        <xdr:cNvPr id="20" name="Picture 19"/>
        <xdr:cNvPicPr>
          <a:picLocks noChangeAspect="1"/>
        </xdr:cNvPicPr>
      </xdr:nvPicPr>
      <xdr:blipFill>
        <a:blip xmlns:r="http://schemas.openxmlformats.org/officeDocument/2006/relationships" r:embed="rId3"/>
        <a:stretch>
          <a:fillRect/>
        </a:stretch>
      </xdr:blipFill>
      <xdr:spPr>
        <a:xfrm>
          <a:off x="1962150" y="9315450"/>
          <a:ext cx="4887793" cy="3832942"/>
        </a:xfrm>
        <a:prstGeom prst="rect">
          <a:avLst/>
        </a:prstGeom>
        <a:effectLst>
          <a:outerShdw blurRad="50800" dist="38100" dir="8100000" algn="tr" rotWithShape="0">
            <a:prstClr val="black">
              <a:alpha val="40000"/>
            </a:prstClr>
          </a:outerShdw>
        </a:effectLst>
      </xdr:spPr>
    </xdr:pic>
    <xdr:clientData/>
  </xdr:twoCellAnchor>
  <xdr:twoCellAnchor>
    <xdr:from>
      <xdr:col>1</xdr:col>
      <xdr:colOff>4755930</xdr:colOff>
      <xdr:row>64</xdr:row>
      <xdr:rowOff>157327</xdr:rowOff>
    </xdr:from>
    <xdr:to>
      <xdr:col>1</xdr:col>
      <xdr:colOff>5619750</xdr:colOff>
      <xdr:row>66</xdr:row>
      <xdr:rowOff>28574</xdr:rowOff>
    </xdr:to>
    <xdr:sp macro="" textlink="">
      <xdr:nvSpPr>
        <xdr:cNvPr id="21" name="Oval 20"/>
        <xdr:cNvSpPr/>
      </xdr:nvSpPr>
      <xdr:spPr>
        <a:xfrm>
          <a:off x="5365530" y="12025477"/>
          <a:ext cx="863820" cy="252247"/>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2943225</xdr:colOff>
      <xdr:row>40</xdr:row>
      <xdr:rowOff>152400</xdr:rowOff>
    </xdr:from>
    <xdr:to>
      <xdr:col>1</xdr:col>
      <xdr:colOff>4562475</xdr:colOff>
      <xdr:row>42</xdr:row>
      <xdr:rowOff>47625</xdr:rowOff>
    </xdr:to>
    <xdr:sp macro="" textlink="">
      <xdr:nvSpPr>
        <xdr:cNvPr id="24" name="TextBox 23"/>
        <xdr:cNvSpPr txBox="1"/>
      </xdr:nvSpPr>
      <xdr:spPr>
        <a:xfrm>
          <a:off x="3552825" y="9429750"/>
          <a:ext cx="1619250" cy="27622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Carta de Fondo</a:t>
          </a:r>
        </a:p>
      </xdr:txBody>
    </xdr:sp>
    <xdr:clientData/>
  </xdr:twoCellAnchor>
  <xdr:twoCellAnchor>
    <xdr:from>
      <xdr:col>1</xdr:col>
      <xdr:colOff>1943100</xdr:colOff>
      <xdr:row>20</xdr:row>
      <xdr:rowOff>114300</xdr:rowOff>
    </xdr:from>
    <xdr:to>
      <xdr:col>1</xdr:col>
      <xdr:colOff>5724525</xdr:colOff>
      <xdr:row>35</xdr:row>
      <xdr:rowOff>180975</xdr:rowOff>
    </xdr:to>
    <xdr:grpSp>
      <xdr:nvGrpSpPr>
        <xdr:cNvPr id="27" name="Group 26"/>
        <xdr:cNvGrpSpPr/>
      </xdr:nvGrpSpPr>
      <xdr:grpSpPr>
        <a:xfrm>
          <a:off x="2552700" y="5962650"/>
          <a:ext cx="3781425" cy="2924175"/>
          <a:chOff x="533400" y="5534025"/>
          <a:chExt cx="3781425" cy="2924175"/>
        </a:xfrm>
      </xdr:grpSpPr>
      <xdr:grpSp>
        <xdr:nvGrpSpPr>
          <xdr:cNvPr id="26" name="Group 25"/>
          <xdr:cNvGrpSpPr/>
        </xdr:nvGrpSpPr>
        <xdr:grpSpPr>
          <a:xfrm>
            <a:off x="552450" y="5686425"/>
            <a:ext cx="3476625" cy="2314575"/>
            <a:chOff x="552450" y="5686425"/>
            <a:chExt cx="3476625" cy="2314575"/>
          </a:xfrm>
        </xdr:grpSpPr>
        <xdr:pic>
          <xdr:nvPicPr>
            <xdr:cNvPr id="10" name="Picture 9"/>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8761"/>
            <a:stretch/>
          </xdr:blipFill>
          <xdr:spPr bwMode="auto">
            <a:xfrm>
              <a:off x="552450" y="5686425"/>
              <a:ext cx="3476625" cy="23145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Oval 11"/>
            <xdr:cNvSpPr/>
          </xdr:nvSpPr>
          <xdr:spPr>
            <a:xfrm>
              <a:off x="1000125" y="6400800"/>
              <a:ext cx="131051"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Oval 12"/>
            <xdr:cNvSpPr/>
          </xdr:nvSpPr>
          <xdr:spPr>
            <a:xfrm>
              <a:off x="3618514" y="656272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Oval 13"/>
            <xdr:cNvSpPr/>
          </xdr:nvSpPr>
          <xdr:spPr>
            <a:xfrm>
              <a:off x="3698655" y="6977228"/>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 name="Oval 14"/>
            <xdr:cNvSpPr/>
          </xdr:nvSpPr>
          <xdr:spPr>
            <a:xfrm>
              <a:off x="1012257" y="6634598"/>
              <a:ext cx="131051" cy="134336"/>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sp macro="" textlink="">
        <xdr:nvSpPr>
          <xdr:cNvPr id="23" name="TextBox 22"/>
          <xdr:cNvSpPr txBox="1"/>
        </xdr:nvSpPr>
        <xdr:spPr>
          <a:xfrm>
            <a:off x="1781175" y="5676900"/>
            <a:ext cx="1619250" cy="27622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Carta de superficie</a:t>
            </a:r>
          </a:p>
        </xdr:txBody>
      </xdr:sp>
      <xdr:sp macro="" textlink="">
        <xdr:nvSpPr>
          <xdr:cNvPr id="25" name="Rectangle 24"/>
          <xdr:cNvSpPr/>
        </xdr:nvSpPr>
        <xdr:spPr>
          <a:xfrm>
            <a:off x="533400" y="5534025"/>
            <a:ext cx="3781425" cy="292417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TextBox 10"/>
          <xdr:cNvSpPr txBox="1"/>
        </xdr:nvSpPr>
        <xdr:spPr>
          <a:xfrm>
            <a:off x="1076325" y="7658100"/>
            <a:ext cx="2990522" cy="571129"/>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Para un mejor estimado, tomar el promedio de los valores en los PMS y PMI</a:t>
            </a:r>
          </a:p>
        </xdr:txBody>
      </xdr:sp>
    </xdr:grpSp>
    <xdr:clientData/>
  </xdr:twoCellAnchor>
  <xdr:twoCellAnchor>
    <xdr:from>
      <xdr:col>1</xdr:col>
      <xdr:colOff>1733550</xdr:colOff>
      <xdr:row>39</xdr:row>
      <xdr:rowOff>114300</xdr:rowOff>
    </xdr:from>
    <xdr:to>
      <xdr:col>1</xdr:col>
      <xdr:colOff>5553075</xdr:colOff>
      <xdr:row>49</xdr:row>
      <xdr:rowOff>47625</xdr:rowOff>
    </xdr:to>
    <xdr:sp macro="" textlink="">
      <xdr:nvSpPr>
        <xdr:cNvPr id="28" name="Rectangle 27"/>
        <xdr:cNvSpPr/>
      </xdr:nvSpPr>
      <xdr:spPr>
        <a:xfrm>
          <a:off x="2343150" y="9391650"/>
          <a:ext cx="3819525" cy="183832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466725</xdr:colOff>
      <xdr:row>3</xdr:row>
      <xdr:rowOff>123825</xdr:rowOff>
    </xdr:from>
    <xdr:to>
      <xdr:col>2</xdr:col>
      <xdr:colOff>47625</xdr:colOff>
      <xdr:row>71</xdr:row>
      <xdr:rowOff>123825</xdr:rowOff>
    </xdr:to>
    <xdr:sp macro="" textlink="">
      <xdr:nvSpPr>
        <xdr:cNvPr id="29" name="Rectangle 28"/>
        <xdr:cNvSpPr/>
      </xdr:nvSpPr>
      <xdr:spPr>
        <a:xfrm>
          <a:off x="466725" y="695325"/>
          <a:ext cx="8210550" cy="15182850"/>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200024</xdr:colOff>
      <xdr:row>30</xdr:row>
      <xdr:rowOff>171450</xdr:rowOff>
    </xdr:from>
    <xdr:to>
      <xdr:col>13</xdr:col>
      <xdr:colOff>76199</xdr:colOff>
      <xdr:row>53</xdr:row>
      <xdr:rowOff>59464</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799" y="6743700"/>
          <a:ext cx="3476625" cy="4517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656240</xdr:colOff>
      <xdr:row>34</xdr:row>
      <xdr:rowOff>52553</xdr:rowOff>
    </xdr:from>
    <xdr:to>
      <xdr:col>10</xdr:col>
      <xdr:colOff>91966</xdr:colOff>
      <xdr:row>34</xdr:row>
      <xdr:rowOff>183933</xdr:rowOff>
    </xdr:to>
    <xdr:sp macro="" textlink="">
      <xdr:nvSpPr>
        <xdr:cNvPr id="20" name="Oval 19"/>
        <xdr:cNvSpPr/>
      </xdr:nvSpPr>
      <xdr:spPr>
        <a:xfrm>
          <a:off x="6857343" y="740322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302829</xdr:colOff>
      <xdr:row>35</xdr:row>
      <xdr:rowOff>14453</xdr:rowOff>
    </xdr:from>
    <xdr:to>
      <xdr:col>12</xdr:col>
      <xdr:colOff>434866</xdr:colOff>
      <xdr:row>35</xdr:row>
      <xdr:rowOff>145833</xdr:rowOff>
    </xdr:to>
    <xdr:sp macro="" textlink="">
      <xdr:nvSpPr>
        <xdr:cNvPr id="21" name="Oval 20"/>
        <xdr:cNvSpPr/>
      </xdr:nvSpPr>
      <xdr:spPr>
        <a:xfrm>
          <a:off x="9473105" y="7562194"/>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382970</xdr:colOff>
      <xdr:row>37</xdr:row>
      <xdr:rowOff>28906</xdr:rowOff>
    </xdr:from>
    <xdr:to>
      <xdr:col>12</xdr:col>
      <xdr:colOff>515007</xdr:colOff>
      <xdr:row>37</xdr:row>
      <xdr:rowOff>160286</xdr:rowOff>
    </xdr:to>
    <xdr:sp macro="" textlink="">
      <xdr:nvSpPr>
        <xdr:cNvPr id="22" name="Oval 21"/>
        <xdr:cNvSpPr/>
      </xdr:nvSpPr>
      <xdr:spPr>
        <a:xfrm>
          <a:off x="9553246" y="797078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67688</xdr:colOff>
      <xdr:row>38</xdr:row>
      <xdr:rowOff>90538</xdr:rowOff>
    </xdr:from>
    <xdr:to>
      <xdr:col>13</xdr:col>
      <xdr:colOff>153085</xdr:colOff>
      <xdr:row>41</xdr:row>
      <xdr:rowOff>71117</xdr:rowOff>
    </xdr:to>
    <xdr:sp macro="" textlink="">
      <xdr:nvSpPr>
        <xdr:cNvPr id="24" name="TextBox 23"/>
        <xdr:cNvSpPr txBox="1"/>
      </xdr:nvSpPr>
      <xdr:spPr>
        <a:xfrm>
          <a:off x="6967101" y="8265473"/>
          <a:ext cx="2992593" cy="568644"/>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Para un mejor estimado, tomar el promedio de los valores en los PMS y PMI</a:t>
          </a:r>
        </a:p>
      </xdr:txBody>
    </xdr:sp>
    <xdr:clientData/>
  </xdr:twoCellAnchor>
  <xdr:twoCellAnchor editAs="oneCell">
    <xdr:from>
      <xdr:col>1</xdr:col>
      <xdr:colOff>7843</xdr:colOff>
      <xdr:row>56</xdr:row>
      <xdr:rowOff>190499</xdr:rowOff>
    </xdr:from>
    <xdr:to>
      <xdr:col>7</xdr:col>
      <xdr:colOff>247436</xdr:colOff>
      <xdr:row>75</xdr:row>
      <xdr:rowOff>118191</xdr:rowOff>
    </xdr:to>
    <xdr:pic>
      <xdr:nvPicPr>
        <xdr:cNvPr id="29" name="Picture 28"/>
        <xdr:cNvPicPr>
          <a:picLocks noChangeAspect="1"/>
        </xdr:cNvPicPr>
      </xdr:nvPicPr>
      <xdr:blipFill>
        <a:blip xmlns:r="http://schemas.openxmlformats.org/officeDocument/2006/relationships" r:embed="rId2"/>
        <a:stretch>
          <a:fillRect/>
        </a:stretch>
      </xdr:blipFill>
      <xdr:spPr>
        <a:xfrm>
          <a:off x="131668" y="11982449"/>
          <a:ext cx="4887793" cy="3832942"/>
        </a:xfrm>
        <a:prstGeom prst="rect">
          <a:avLst/>
        </a:prstGeom>
        <a:noFill/>
        <a:ln w="12700" cmpd="sng">
          <a:solidFill>
            <a:schemeClr val="tx1"/>
          </a:solidFill>
        </a:ln>
        <a:effectLst>
          <a:outerShdw blurRad="50800" dist="38100" dir="8100000" algn="tr" rotWithShape="0">
            <a:prstClr val="black">
              <a:alpha val="40000"/>
            </a:prstClr>
          </a:outerShdw>
        </a:effectLst>
      </xdr:spPr>
    </xdr:pic>
    <xdr:clientData/>
  </xdr:twoCellAnchor>
  <xdr:twoCellAnchor>
    <xdr:from>
      <xdr:col>9</xdr:col>
      <xdr:colOff>668372</xdr:colOff>
      <xdr:row>35</xdr:row>
      <xdr:rowOff>86326</xdr:rowOff>
    </xdr:from>
    <xdr:to>
      <xdr:col>10</xdr:col>
      <xdr:colOff>104098</xdr:colOff>
      <xdr:row>36</xdr:row>
      <xdr:rowOff>20637</xdr:rowOff>
    </xdr:to>
    <xdr:sp macro="" textlink="">
      <xdr:nvSpPr>
        <xdr:cNvPr id="30" name="Oval 29"/>
        <xdr:cNvSpPr/>
      </xdr:nvSpPr>
      <xdr:spPr>
        <a:xfrm>
          <a:off x="6865225" y="7717532"/>
          <a:ext cx="130491" cy="136017"/>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159859</xdr:colOff>
      <xdr:row>69</xdr:row>
      <xdr:rowOff>136172</xdr:rowOff>
    </xdr:from>
    <xdr:to>
      <xdr:col>6</xdr:col>
      <xdr:colOff>0</xdr:colOff>
      <xdr:row>71</xdr:row>
      <xdr:rowOff>33617</xdr:rowOff>
    </xdr:to>
    <xdr:sp macro="" textlink="">
      <xdr:nvSpPr>
        <xdr:cNvPr id="23" name="Oval 22"/>
        <xdr:cNvSpPr/>
      </xdr:nvSpPr>
      <xdr:spPr>
        <a:xfrm>
          <a:off x="3745741" y="14748643"/>
          <a:ext cx="422847" cy="278445"/>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361950</xdr:colOff>
      <xdr:row>45</xdr:row>
      <xdr:rowOff>123825</xdr:rowOff>
    </xdr:from>
    <xdr:to>
      <xdr:col>5</xdr:col>
      <xdr:colOff>370442</xdr:colOff>
      <xdr:row>69</xdr:row>
      <xdr:rowOff>136172</xdr:rowOff>
    </xdr:to>
    <xdr:cxnSp macro="">
      <xdr:nvCxnSpPr>
        <xdr:cNvPr id="31" name="Straight Arrow Connector 30"/>
        <xdr:cNvCxnSpPr>
          <a:stCxn id="23" idx="0"/>
        </xdr:cNvCxnSpPr>
      </xdr:nvCxnSpPr>
      <xdr:spPr>
        <a:xfrm flipH="1" flipV="1">
          <a:off x="3952875" y="9744075"/>
          <a:ext cx="8492" cy="4946297"/>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3204</xdr:colOff>
      <xdr:row>73</xdr:row>
      <xdr:rowOff>107591</xdr:rowOff>
    </xdr:from>
    <xdr:to>
      <xdr:col>4</xdr:col>
      <xdr:colOff>698761</xdr:colOff>
      <xdr:row>77</xdr:row>
      <xdr:rowOff>9525</xdr:rowOff>
    </xdr:to>
    <xdr:sp macro="" textlink="">
      <xdr:nvSpPr>
        <xdr:cNvPr id="35" name="TextBox 34"/>
        <xdr:cNvSpPr txBox="1"/>
      </xdr:nvSpPr>
      <xdr:spPr>
        <a:xfrm>
          <a:off x="460404" y="15423791"/>
          <a:ext cx="2952982" cy="663934"/>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Utiulizar</a:t>
          </a:r>
          <a:r>
            <a:rPr lang="es-ES" sz="1100" baseline="0"/>
            <a:t> los módulos de cálculo de fricción o de PIP si el software de análisis los permite para estimar el valor de carga en la carta de fondo.</a:t>
          </a:r>
          <a:endParaRPr lang="es-ES" sz="1100"/>
        </a:p>
      </xdr:txBody>
    </xdr:sp>
    <xdr:clientData/>
  </xdr:twoCellAnchor>
  <xdr:twoCellAnchor>
    <xdr:from>
      <xdr:col>10</xdr:col>
      <xdr:colOff>95250</xdr:colOff>
      <xdr:row>46</xdr:row>
      <xdr:rowOff>190500</xdr:rowOff>
    </xdr:from>
    <xdr:to>
      <xdr:col>10</xdr:col>
      <xdr:colOff>104775</xdr:colOff>
      <xdr:row>50</xdr:row>
      <xdr:rowOff>123825</xdr:rowOff>
    </xdr:to>
    <xdr:cxnSp macro="">
      <xdr:nvCxnSpPr>
        <xdr:cNvPr id="36" name="Straight Arrow Connector 35"/>
        <xdr:cNvCxnSpPr/>
      </xdr:nvCxnSpPr>
      <xdr:spPr>
        <a:xfrm flipV="1">
          <a:off x="6991350" y="10010775"/>
          <a:ext cx="9525" cy="733425"/>
        </a:xfrm>
        <a:prstGeom prst="straightConnector1">
          <a:avLst/>
        </a:prstGeom>
        <a:ln w="28575">
          <a:solidFill>
            <a:srgbClr val="FF0000"/>
          </a:solidFill>
          <a:headEnd type="diamond"/>
          <a:tailEnd type="diamond" w="med" len="med"/>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104775</xdr:colOff>
      <xdr:row>30</xdr:row>
      <xdr:rowOff>104775</xdr:rowOff>
    </xdr:from>
    <xdr:to>
      <xdr:col>13</xdr:col>
      <xdr:colOff>323850</xdr:colOff>
      <xdr:row>53</xdr:row>
      <xdr:rowOff>133350</xdr:rowOff>
    </xdr:to>
    <xdr:sp macro="" textlink="">
      <xdr:nvSpPr>
        <xdr:cNvPr id="42" name="Rectangle 41"/>
        <xdr:cNvSpPr/>
      </xdr:nvSpPr>
      <xdr:spPr>
        <a:xfrm>
          <a:off x="6305550" y="6677025"/>
          <a:ext cx="3819525" cy="465772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132522</xdr:colOff>
      <xdr:row>33</xdr:row>
      <xdr:rowOff>149087</xdr:rowOff>
    </xdr:from>
    <xdr:to>
      <xdr:col>10</xdr:col>
      <xdr:colOff>67688</xdr:colOff>
      <xdr:row>39</xdr:row>
      <xdr:rowOff>176078</xdr:rowOff>
    </xdr:to>
    <xdr:cxnSp macro="">
      <xdr:nvCxnSpPr>
        <xdr:cNvPr id="26" name="Straight Arrow Connector 25"/>
        <xdr:cNvCxnSpPr>
          <a:stCxn id="24" idx="1"/>
        </xdr:cNvCxnSpPr>
      </xdr:nvCxnSpPr>
      <xdr:spPr>
        <a:xfrm flipH="1" flipV="1">
          <a:off x="3727174" y="7330109"/>
          <a:ext cx="3239927" cy="1219686"/>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45</xdr:row>
      <xdr:rowOff>95250</xdr:rowOff>
    </xdr:from>
    <xdr:to>
      <xdr:col>10</xdr:col>
      <xdr:colOff>104776</xdr:colOff>
      <xdr:row>49</xdr:row>
      <xdr:rowOff>1</xdr:rowOff>
    </xdr:to>
    <xdr:cxnSp macro="">
      <xdr:nvCxnSpPr>
        <xdr:cNvPr id="27" name="Straight Arrow Connector 26"/>
        <xdr:cNvCxnSpPr/>
      </xdr:nvCxnSpPr>
      <xdr:spPr>
        <a:xfrm flipH="1" flipV="1">
          <a:off x="4143375" y="9715500"/>
          <a:ext cx="2857501" cy="704851"/>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523875</xdr:colOff>
      <xdr:row>55</xdr:row>
      <xdr:rowOff>85725</xdr:rowOff>
    </xdr:from>
    <xdr:to>
      <xdr:col>15</xdr:col>
      <xdr:colOff>76200</xdr:colOff>
      <xdr:row>80</xdr:row>
      <xdr:rowOff>180975</xdr:rowOff>
    </xdr:to>
    <xdr:sp macro="" textlink="">
      <xdr:nvSpPr>
        <xdr:cNvPr id="43" name="Rectangle 42"/>
        <xdr:cNvSpPr/>
      </xdr:nvSpPr>
      <xdr:spPr>
        <a:xfrm>
          <a:off x="5448300" y="11677650"/>
          <a:ext cx="5124450" cy="5162550"/>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123825</xdr:rowOff>
    </xdr:from>
    <xdr:to>
      <xdr:col>15</xdr:col>
      <xdr:colOff>21737</xdr:colOff>
      <xdr:row>35</xdr:row>
      <xdr:rowOff>3996</xdr:rowOff>
    </xdr:to>
    <xdr:pic>
      <xdr:nvPicPr>
        <xdr:cNvPr id="9" name="Picture 8"/>
        <xdr:cNvPicPr>
          <a:picLocks noChangeAspect="1"/>
        </xdr:cNvPicPr>
      </xdr:nvPicPr>
      <xdr:blipFill>
        <a:blip xmlns:r="http://schemas.openxmlformats.org/officeDocument/2006/relationships" r:embed="rId1"/>
        <a:stretch>
          <a:fillRect/>
        </a:stretch>
      </xdr:blipFill>
      <xdr:spPr>
        <a:xfrm>
          <a:off x="142875" y="123825"/>
          <a:ext cx="9022862" cy="65476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S/Desktop/Consultora/pagina%20web/blog/3%20dise&#241;o%20AIB/espaciado%20AI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strucciones"/>
      <sheetName val="1. Datos Entrada"/>
      <sheetName val="3. Calc. Ancla"/>
      <sheetName val="2. Calc. Estiramiento"/>
      <sheetName val="9. Configuración y Datos"/>
    </sheetNames>
    <sheetDataSet>
      <sheetData sheetId="0" refreshError="1"/>
      <sheetData sheetId="1" refreshError="1"/>
      <sheetData sheetId="2"/>
      <sheetData sheetId="3"/>
      <sheetData sheetId="4">
        <row r="13">
          <cell r="C13">
            <v>0.625</v>
          </cell>
        </row>
        <row r="14">
          <cell r="C14">
            <v>0.75</v>
          </cell>
        </row>
        <row r="15">
          <cell r="C15">
            <v>0.875</v>
          </cell>
        </row>
        <row r="16">
          <cell r="C16">
            <v>1</v>
          </cell>
        </row>
        <row r="17">
          <cell r="C17">
            <v>1.125</v>
          </cell>
        </row>
        <row r="18">
          <cell r="C18">
            <v>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clinar.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clinar.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0"/>
  <sheetViews>
    <sheetView workbookViewId="0">
      <selection activeCell="D6" sqref="D6"/>
    </sheetView>
  </sheetViews>
  <sheetFormatPr defaultRowHeight="15" x14ac:dyDescent="0.25"/>
  <cols>
    <col min="1" max="1" width="9.140625" style="4"/>
    <col min="2" max="2" width="120.28515625" style="4" customWidth="1"/>
    <col min="3" max="16384" width="9.140625" style="4"/>
  </cols>
  <sheetData>
    <row r="1" spans="2:2" x14ac:dyDescent="0.25">
      <c r="B1" s="73"/>
    </row>
    <row r="2" spans="2:2" x14ac:dyDescent="0.25">
      <c r="B2" s="73"/>
    </row>
    <row r="3" spans="2:2" x14ac:dyDescent="0.25">
      <c r="B3" s="74" t="s">
        <v>16</v>
      </c>
    </row>
    <row r="4" spans="2:2" x14ac:dyDescent="0.25">
      <c r="B4" s="73"/>
    </row>
    <row r="5" spans="2:2" ht="18.75" x14ac:dyDescent="0.3">
      <c r="B5" s="75" t="s">
        <v>87</v>
      </c>
    </row>
    <row r="6" spans="2:2" ht="15.75" x14ac:dyDescent="0.25">
      <c r="B6" s="76" t="s">
        <v>85</v>
      </c>
    </row>
    <row r="7" spans="2:2" x14ac:dyDescent="0.25">
      <c r="B7" s="73"/>
    </row>
    <row r="8" spans="2:2" x14ac:dyDescent="0.25">
      <c r="B8" s="77" t="s">
        <v>88</v>
      </c>
    </row>
    <row r="9" spans="2:2" x14ac:dyDescent="0.25">
      <c r="B9" s="77"/>
    </row>
    <row r="10" spans="2:2" ht="75" x14ac:dyDescent="0.25">
      <c r="B10" s="73" t="s">
        <v>108</v>
      </c>
    </row>
    <row r="12" spans="2:2" ht="45" x14ac:dyDescent="0.25">
      <c r="B12" s="73" t="s">
        <v>86</v>
      </c>
    </row>
    <row r="13" spans="2:2" x14ac:dyDescent="0.25">
      <c r="B13" s="73"/>
    </row>
    <row r="14" spans="2:2" x14ac:dyDescent="0.25">
      <c r="B14" s="73"/>
    </row>
    <row r="15" spans="2:2" ht="21" x14ac:dyDescent="0.35">
      <c r="B15" s="122" t="s">
        <v>104</v>
      </c>
    </row>
    <row r="16" spans="2:2" x14ac:dyDescent="0.25">
      <c r="B16" s="73"/>
    </row>
    <row r="17" spans="2:2" ht="60" x14ac:dyDescent="0.25">
      <c r="B17" s="73" t="s">
        <v>109</v>
      </c>
    </row>
    <row r="18" spans="2:2" x14ac:dyDescent="0.25">
      <c r="B18" s="73"/>
    </row>
    <row r="19" spans="2:2" ht="30" x14ac:dyDescent="0.25">
      <c r="B19" s="73" t="s">
        <v>103</v>
      </c>
    </row>
    <row r="20" spans="2:2" x14ac:dyDescent="0.25">
      <c r="B20" s="73"/>
    </row>
    <row r="21" spans="2:2" x14ac:dyDescent="0.25">
      <c r="B21" s="73"/>
    </row>
    <row r="39" spans="2:2" ht="30" x14ac:dyDescent="0.25">
      <c r="B39" s="73" t="s">
        <v>110</v>
      </c>
    </row>
    <row r="40" spans="2:2" x14ac:dyDescent="0.25">
      <c r="B40" s="73"/>
    </row>
  </sheetData>
  <sheetProtection password="B26C" sheet="1" objects="1" scenarios="1"/>
  <hyperlinks>
    <hyperlink ref="B3" r:id="rId1"/>
  </hyperlinks>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80"/>
  <sheetViews>
    <sheetView tabSelected="1" zoomScaleNormal="100" workbookViewId="0">
      <selection activeCell="D9" sqref="D9"/>
    </sheetView>
  </sheetViews>
  <sheetFormatPr defaultColWidth="8.7109375" defaultRowHeight="15" x14ac:dyDescent="0.25"/>
  <cols>
    <col min="1" max="1" width="3.28515625" style="13" customWidth="1"/>
    <col min="2" max="2" width="3.5703125" style="13" customWidth="1"/>
    <col min="3" max="3" width="21.85546875" style="13" customWidth="1"/>
    <col min="4" max="4" width="12" style="14" customWidth="1"/>
    <col min="5" max="5" width="12.28515625" style="13" customWidth="1"/>
    <col min="6" max="6" width="8.7109375" style="13"/>
    <col min="7" max="7" width="11.28515625" style="13" customWidth="1"/>
    <col min="8" max="8" width="9.85546875" style="13" customWidth="1"/>
    <col min="9" max="9" width="9.28515625" style="13" bestFit="1" customWidth="1"/>
    <col min="10" max="10" width="10.42578125" style="13" customWidth="1"/>
    <col min="11" max="11" width="13.42578125" style="13" customWidth="1"/>
    <col min="12" max="12" width="20.7109375" style="13" customWidth="1"/>
    <col min="13" max="13" width="9.42578125" style="13" customWidth="1"/>
    <col min="14" max="14" width="6.42578125" style="13" customWidth="1"/>
    <col min="15" max="16" width="4" style="13" customWidth="1"/>
    <col min="17" max="17" width="149" style="13" customWidth="1"/>
    <col min="18" max="18" width="8.7109375" style="13"/>
    <col min="19" max="19" width="43.7109375" style="13" customWidth="1"/>
    <col min="20" max="20" width="13.28515625" style="13" customWidth="1"/>
    <col min="21" max="21" width="17.7109375" style="13" customWidth="1"/>
    <col min="22" max="23" width="14" style="13" customWidth="1"/>
    <col min="24" max="24" width="15.5703125" style="13" customWidth="1"/>
    <col min="25" max="25" width="11.28515625" style="13" customWidth="1"/>
    <col min="26" max="26" width="15.5703125" style="13" customWidth="1"/>
    <col min="27" max="27" width="12.140625" style="13" customWidth="1"/>
    <col min="28" max="28" width="29.140625" style="13" customWidth="1"/>
    <col min="29" max="29" width="21.7109375" style="13" customWidth="1"/>
    <col min="30" max="30" width="14.42578125" style="13" customWidth="1"/>
    <col min="31" max="33" width="8.7109375" style="13"/>
    <col min="34" max="34" width="10" style="13" customWidth="1"/>
    <col min="35" max="35" width="17.42578125" style="13" customWidth="1"/>
    <col min="36" max="36" width="16.85546875" style="13" customWidth="1"/>
    <col min="37" max="37" width="17.42578125" style="13" customWidth="1"/>
    <col min="38" max="16384" width="8.7109375" style="13"/>
  </cols>
  <sheetData>
    <row r="1" spans="2:16" ht="15.75" thickBot="1" x14ac:dyDescent="0.3"/>
    <row r="2" spans="2:16" ht="21" thickBot="1" x14ac:dyDescent="0.35">
      <c r="B2" s="167" t="s">
        <v>15</v>
      </c>
      <c r="C2" s="168"/>
      <c r="D2" s="168"/>
      <c r="E2" s="168"/>
      <c r="F2" s="168"/>
      <c r="G2" s="168"/>
      <c r="H2" s="168"/>
      <c r="I2" s="168"/>
      <c r="J2" s="168"/>
      <c r="K2" s="168"/>
      <c r="L2" s="168"/>
      <c r="M2" s="168"/>
      <c r="N2" s="88"/>
      <c r="O2" s="89"/>
      <c r="P2" s="118"/>
    </row>
    <row r="3" spans="2:16" ht="20.25" x14ac:dyDescent="0.3">
      <c r="B3" s="15"/>
      <c r="C3" s="15"/>
      <c r="D3" s="15"/>
      <c r="E3" s="15"/>
      <c r="F3" s="15"/>
      <c r="G3" s="15"/>
      <c r="H3" s="15"/>
      <c r="I3" s="15"/>
      <c r="J3" s="15"/>
      <c r="K3" s="15"/>
      <c r="L3" s="15"/>
      <c r="M3" s="15"/>
      <c r="N3" s="15"/>
      <c r="O3" s="16" t="s">
        <v>16</v>
      </c>
      <c r="P3" s="16"/>
    </row>
    <row r="4" spans="2:16" ht="15.75" thickBot="1" x14ac:dyDescent="0.3"/>
    <row r="5" spans="2:16" ht="30" customHeight="1" thickBot="1" x14ac:dyDescent="0.5">
      <c r="B5" s="169" t="s">
        <v>89</v>
      </c>
      <c r="C5" s="170"/>
      <c r="D5" s="170"/>
      <c r="E5" s="170"/>
      <c r="F5" s="170"/>
      <c r="G5" s="170"/>
      <c r="H5" s="170"/>
      <c r="I5" s="170"/>
      <c r="J5" s="170"/>
      <c r="K5" s="170"/>
      <c r="L5" s="170"/>
      <c r="M5" s="170"/>
      <c r="N5" s="170"/>
      <c r="O5" s="171"/>
      <c r="P5" s="110"/>
    </row>
    <row r="6" spans="2:16" ht="15.75" thickBot="1" x14ac:dyDescent="0.3"/>
    <row r="7" spans="2:16" ht="19.5" thickBot="1" x14ac:dyDescent="0.35">
      <c r="B7" s="17"/>
      <c r="C7" s="18" t="s">
        <v>17</v>
      </c>
      <c r="D7" s="19"/>
      <c r="E7" s="20"/>
      <c r="F7" s="20"/>
      <c r="G7" s="20"/>
      <c r="H7" s="20"/>
      <c r="I7" s="20"/>
      <c r="J7" s="20"/>
      <c r="K7" s="20"/>
      <c r="L7" s="20"/>
      <c r="M7" s="20"/>
      <c r="N7" s="20"/>
      <c r="O7" s="21"/>
      <c r="P7" s="23"/>
    </row>
    <row r="8" spans="2:16" ht="15.75" thickBot="1" x14ac:dyDescent="0.3">
      <c r="B8" s="22"/>
      <c r="C8" s="23"/>
      <c r="D8" s="24"/>
      <c r="E8" s="23"/>
      <c r="F8" s="23"/>
      <c r="G8" s="23"/>
      <c r="H8" s="23"/>
      <c r="I8" s="23"/>
      <c r="J8" s="172" t="s">
        <v>18</v>
      </c>
      <c r="K8" s="173"/>
      <c r="L8" s="173"/>
      <c r="M8" s="174"/>
      <c r="N8" s="90"/>
      <c r="O8" s="25"/>
      <c r="P8" s="23"/>
    </row>
    <row r="9" spans="2:16" ht="15.75" thickBot="1" x14ac:dyDescent="0.3">
      <c r="B9" s="22"/>
      <c r="C9" s="23" t="s">
        <v>19</v>
      </c>
      <c r="D9" s="5">
        <v>0.82</v>
      </c>
      <c r="E9" s="23" t="s">
        <v>20</v>
      </c>
      <c r="F9" s="23"/>
      <c r="G9" s="23"/>
      <c r="H9" s="23"/>
      <c r="I9" s="23"/>
      <c r="J9" s="23"/>
      <c r="K9" s="23"/>
      <c r="L9" s="23"/>
      <c r="M9" s="23"/>
      <c r="N9" s="23"/>
      <c r="O9" s="25"/>
      <c r="P9" s="23"/>
    </row>
    <row r="10" spans="2:16" ht="15.75" thickBot="1" x14ac:dyDescent="0.3">
      <c r="B10" s="22"/>
      <c r="C10" s="23" t="s">
        <v>21</v>
      </c>
      <c r="D10" s="5">
        <v>1.01</v>
      </c>
      <c r="E10" s="23" t="s">
        <v>20</v>
      </c>
      <c r="F10" s="23"/>
      <c r="G10" s="23"/>
      <c r="H10" s="23"/>
      <c r="I10" s="23"/>
      <c r="J10" s="23"/>
      <c r="K10" s="23"/>
      <c r="L10" s="23"/>
      <c r="M10" s="23"/>
      <c r="N10" s="23"/>
      <c r="O10" s="25"/>
      <c r="P10" s="23"/>
    </row>
    <row r="11" spans="2:16" ht="15.75" thickBot="1" x14ac:dyDescent="0.3">
      <c r="B11" s="22"/>
      <c r="C11" s="23" t="s">
        <v>22</v>
      </c>
      <c r="D11" s="6">
        <v>0.86</v>
      </c>
      <c r="E11" s="23"/>
      <c r="F11" s="23"/>
      <c r="G11" s="23"/>
      <c r="H11" s="23"/>
      <c r="I11" s="23"/>
      <c r="J11" s="23"/>
      <c r="K11" s="23"/>
      <c r="L11" s="23"/>
      <c r="M11" s="23"/>
      <c r="N11" s="23"/>
      <c r="O11" s="25"/>
      <c r="P11" s="23"/>
    </row>
    <row r="12" spans="2:16" ht="15.75" thickBot="1" x14ac:dyDescent="0.3">
      <c r="B12" s="22"/>
      <c r="C12" s="23"/>
      <c r="D12" s="26"/>
      <c r="E12" s="23"/>
      <c r="F12" s="23"/>
      <c r="G12" s="23"/>
      <c r="H12" s="23"/>
      <c r="I12" s="23"/>
      <c r="J12" s="23"/>
      <c r="K12" s="23"/>
      <c r="L12" s="23"/>
      <c r="M12" s="23"/>
      <c r="N12" s="23"/>
      <c r="O12" s="25"/>
      <c r="P12" s="23"/>
    </row>
    <row r="13" spans="2:16" ht="15.75" thickBot="1" x14ac:dyDescent="0.3">
      <c r="B13" s="22"/>
      <c r="C13" s="23" t="s">
        <v>23</v>
      </c>
      <c r="D13" s="27">
        <f>D10*D11+(1-D11)*D9</f>
        <v>0.98340000000000005</v>
      </c>
      <c r="E13" s="23" t="s">
        <v>20</v>
      </c>
      <c r="F13" s="23"/>
      <c r="G13" s="23"/>
      <c r="H13" s="23"/>
      <c r="I13" s="23"/>
      <c r="J13" s="23"/>
      <c r="K13" s="23"/>
      <c r="L13" s="23"/>
      <c r="M13" s="23"/>
      <c r="N13" s="23"/>
      <c r="O13" s="25"/>
      <c r="P13" s="23"/>
    </row>
    <row r="14" spans="2:16" ht="15.75" thickBot="1" x14ac:dyDescent="0.3">
      <c r="B14" s="28"/>
      <c r="C14" s="29"/>
      <c r="D14" s="30"/>
      <c r="E14" s="29"/>
      <c r="F14" s="29"/>
      <c r="G14" s="29"/>
      <c r="H14" s="29"/>
      <c r="I14" s="29"/>
      <c r="J14" s="29"/>
      <c r="K14" s="29"/>
      <c r="L14" s="29"/>
      <c r="M14" s="29"/>
      <c r="N14" s="29"/>
      <c r="O14" s="31"/>
      <c r="P14" s="23"/>
    </row>
    <row r="16" spans="2:16" ht="15.75" thickBot="1" x14ac:dyDescent="0.3"/>
    <row r="17" spans="2:37" ht="19.5" thickBot="1" x14ac:dyDescent="0.35">
      <c r="B17" s="17"/>
      <c r="C17" s="18" t="s">
        <v>34</v>
      </c>
      <c r="D17" s="19"/>
      <c r="E17" s="20"/>
      <c r="F17" s="20"/>
      <c r="G17" s="20"/>
      <c r="H17" s="20"/>
      <c r="I17" s="20"/>
      <c r="J17" s="20"/>
      <c r="K17" s="20"/>
      <c r="L17" s="20"/>
      <c r="M17" s="20"/>
      <c r="N17" s="20"/>
      <c r="O17" s="21"/>
      <c r="P17" s="23"/>
    </row>
    <row r="18" spans="2:37" ht="19.5" thickBot="1" x14ac:dyDescent="0.35">
      <c r="B18" s="22"/>
      <c r="C18" s="32"/>
      <c r="D18" s="24"/>
      <c r="E18" s="23"/>
      <c r="F18" s="23"/>
      <c r="G18" s="23"/>
      <c r="H18" s="23"/>
      <c r="I18" s="23"/>
      <c r="J18" s="23"/>
      <c r="K18" s="23"/>
      <c r="L18" s="23"/>
      <c r="M18" s="23"/>
      <c r="N18" s="23"/>
      <c r="O18" s="25"/>
      <c r="P18" s="23"/>
      <c r="R18" s="157" t="s">
        <v>102</v>
      </c>
      <c r="S18" s="178"/>
      <c r="T18" s="178"/>
      <c r="U18" s="178"/>
      <c r="V18" s="178"/>
      <c r="W18" s="178"/>
      <c r="X18" s="178"/>
      <c r="Y18" s="178"/>
      <c r="Z18" s="178"/>
      <c r="AA18" s="178"/>
      <c r="AB18" s="178"/>
      <c r="AC18" s="178"/>
      <c r="AD18" s="178"/>
      <c r="AE18" s="158"/>
      <c r="AF18" s="175" t="s">
        <v>70</v>
      </c>
      <c r="AG18" s="176"/>
      <c r="AH18" s="176"/>
      <c r="AI18" s="176"/>
      <c r="AJ18" s="176"/>
      <c r="AK18" s="177"/>
    </row>
    <row r="19" spans="2:37" ht="30" customHeight="1" x14ac:dyDescent="0.25">
      <c r="B19" s="22"/>
      <c r="C19" s="163" t="s">
        <v>26</v>
      </c>
      <c r="D19" s="153" t="s">
        <v>35</v>
      </c>
      <c r="E19" s="165" t="s">
        <v>27</v>
      </c>
      <c r="F19" s="153" t="s">
        <v>28</v>
      </c>
      <c r="G19" s="155" t="s">
        <v>38</v>
      </c>
      <c r="H19" s="24"/>
      <c r="I19" s="70" t="s">
        <v>46</v>
      </c>
      <c r="J19" s="71" t="s">
        <v>39</v>
      </c>
      <c r="K19" s="72" t="s">
        <v>40</v>
      </c>
      <c r="L19" s="33"/>
      <c r="M19" s="33"/>
      <c r="N19" s="33"/>
      <c r="O19" s="25"/>
      <c r="P19" s="23"/>
      <c r="R19" s="94" t="s">
        <v>48</v>
      </c>
      <c r="S19" s="95" t="s">
        <v>54</v>
      </c>
      <c r="T19" s="95" t="s">
        <v>55</v>
      </c>
      <c r="U19" s="95" t="s">
        <v>64</v>
      </c>
      <c r="V19" s="95" t="s">
        <v>90</v>
      </c>
      <c r="W19" s="95" t="s">
        <v>91</v>
      </c>
      <c r="X19" s="95" t="s">
        <v>92</v>
      </c>
      <c r="Y19" s="95" t="s">
        <v>61</v>
      </c>
      <c r="Z19" s="95" t="s">
        <v>60</v>
      </c>
      <c r="AA19" s="95" t="s">
        <v>47</v>
      </c>
      <c r="AB19" s="95" t="s">
        <v>93</v>
      </c>
      <c r="AC19" s="95" t="s">
        <v>94</v>
      </c>
      <c r="AD19" s="95" t="s">
        <v>95</v>
      </c>
      <c r="AE19" s="96" t="s">
        <v>96</v>
      </c>
      <c r="AF19" s="91" t="s">
        <v>97</v>
      </c>
      <c r="AG19" s="78" t="s">
        <v>98</v>
      </c>
      <c r="AH19" s="78" t="s">
        <v>99</v>
      </c>
      <c r="AI19" s="78" t="s">
        <v>100</v>
      </c>
      <c r="AJ19" s="78" t="s">
        <v>101</v>
      </c>
      <c r="AK19" s="79" t="s">
        <v>64</v>
      </c>
    </row>
    <row r="20" spans="2:37" ht="15.75" thickBot="1" x14ac:dyDescent="0.3">
      <c r="B20" s="22"/>
      <c r="C20" s="164"/>
      <c r="D20" s="154"/>
      <c r="E20" s="166"/>
      <c r="F20" s="154"/>
      <c r="G20" s="156"/>
      <c r="H20" s="24"/>
      <c r="I20" s="111" t="s">
        <v>29</v>
      </c>
      <c r="J20" s="112" t="s">
        <v>57</v>
      </c>
      <c r="K20" s="113" t="s">
        <v>56</v>
      </c>
      <c r="L20" s="33"/>
      <c r="M20" s="33"/>
      <c r="N20" s="33"/>
      <c r="O20" s="25"/>
      <c r="P20" s="23"/>
      <c r="R20" s="97"/>
      <c r="S20" s="98"/>
      <c r="T20" s="98"/>
      <c r="U20" s="98"/>
      <c r="V20" s="98">
        <v>0</v>
      </c>
      <c r="W20" s="98">
        <v>0</v>
      </c>
      <c r="X20" s="98">
        <v>0</v>
      </c>
      <c r="Y20" s="98">
        <v>0</v>
      </c>
      <c r="Z20" s="98">
        <v>0</v>
      </c>
      <c r="AA20" s="98"/>
      <c r="AB20" s="98"/>
      <c r="AC20" s="98"/>
      <c r="AD20" s="98"/>
      <c r="AE20" s="99"/>
      <c r="AF20" s="92">
        <v>0</v>
      </c>
      <c r="AG20" s="80">
        <v>0</v>
      </c>
      <c r="AH20" s="80">
        <v>0</v>
      </c>
      <c r="AI20" s="81">
        <v>0</v>
      </c>
      <c r="AJ20" s="80">
        <v>0</v>
      </c>
      <c r="AK20" s="82">
        <f>IF(AG20=0,0,AI20/AG20)</f>
        <v>0</v>
      </c>
    </row>
    <row r="21" spans="2:37" x14ac:dyDescent="0.25">
      <c r="B21" s="148">
        <f>TYPE(R21)</f>
        <v>1</v>
      </c>
      <c r="C21" s="42" t="s">
        <v>30</v>
      </c>
      <c r="D21" s="119" t="s">
        <v>41</v>
      </c>
      <c r="E21" s="119">
        <v>1</v>
      </c>
      <c r="F21" s="120">
        <v>77</v>
      </c>
      <c r="G21" s="121" t="s">
        <v>45</v>
      </c>
      <c r="H21" s="24"/>
      <c r="I21" s="46">
        <f t="shared" ref="I21:I26" si="0">IF(TYPE(R21)=16,"",Y21*(IF($I$20="pies",3.281,1)))</f>
        <v>1950.7618592000003</v>
      </c>
      <c r="J21" s="47">
        <f>IF(TYPE(R21)=16,"",S21*(IF($J$20="lbs",2.2,1)))</f>
        <v>2530.2199999999998</v>
      </c>
      <c r="K21" s="48">
        <f>IF(TYPE(R21)=16,"",T21*(IF($K$20="lbs",2.2,1)))</f>
        <v>4889.6447352230562</v>
      </c>
      <c r="L21" s="24"/>
      <c r="M21" s="23"/>
      <c r="N21" s="23"/>
      <c r="O21" s="25"/>
      <c r="P21" s="23"/>
      <c r="R21" s="100">
        <f>+AA21+AB21+AC21+AD21+AE21</f>
        <v>138.52295427818999</v>
      </c>
      <c r="S21" s="101">
        <f t="shared" ref="S21:S26" si="1">+(AD21+AE21)*F21</f>
        <v>2530.2199999999998</v>
      </c>
      <c r="T21" s="102">
        <f t="shared" ref="T21:T26" si="2">+S21-((AB21+AC21)*F21*$D$13)</f>
        <v>2222.5657887377524</v>
      </c>
      <c r="U21" s="101">
        <f>+T21/W21</f>
        <v>28.864490762827952</v>
      </c>
      <c r="V21" s="101">
        <f>+T21</f>
        <v>2222.5657887377524</v>
      </c>
      <c r="W21" s="101">
        <f>+F21</f>
        <v>77</v>
      </c>
      <c r="X21" s="101">
        <f>+X20+W21</f>
        <v>77</v>
      </c>
      <c r="Y21" s="101">
        <f t="shared" ref="Y21:Y26" si="3">+(7.62+(AA21/1000))*F21</f>
        <v>594.56320000000005</v>
      </c>
      <c r="Z21" s="101">
        <f>+Z20+Y21</f>
        <v>594.56320000000005</v>
      </c>
      <c r="AA21" s="101">
        <f>IF($D21="V/B",VLOOKUP($E21,'2. Propiedades de las Varillas'!$D$5:$N$11, IF($G21="SH",6,10),0),  VLOOKUP($E21,'2. Propiedades de las Varillas'!$P$5:$U$11, 4,0) )</f>
        <v>101.6</v>
      </c>
      <c r="AB21" s="101">
        <f>IF($D21="V/B",VLOOKUP($E21,'2. Propiedades de las Varillas'!$D$5:$N$11, IF($G21="SH",3,3),0),  VLOOKUP($E21,'2. Propiedades de las Varillas'!$P$5:$U$11, 5,0) )</f>
        <v>3.8591535719999994</v>
      </c>
      <c r="AC21" s="103">
        <f>IF($D21="V/B",VLOOKUP($E21,'2. Propiedades de las Varillas'!$D$5:$N$11, IF($G21="SH",7,11),0),  VLOOKUP($E21,'2. Propiedades de las Varillas'!$P$5:$U$11, 6,0) )</f>
        <v>0.20380070618999999</v>
      </c>
      <c r="AD21" s="103">
        <f>IF($D21="V/B",VLOOKUP($E21,'2. Propiedades de las Varillas'!$D$5:$N$11, IF($G21="SH",2,2),0),  VLOOKUP($E21,'2. Propiedades de las Varillas'!$P$5:$U$11, 2,0) )</f>
        <v>31.9</v>
      </c>
      <c r="AE21" s="104">
        <f>IF($D21="V/B",VLOOKUP($E21,'2. Propiedades de las Varillas'!$D$5:$N$11, IF($G21="SH",4,8),0),  VLOOKUP($E21,'2. Propiedades de las Varillas'!$P$5:$U$11, 3,0) )</f>
        <v>0.96</v>
      </c>
      <c r="AF21" s="92">
        <f>+E26</f>
        <v>0</v>
      </c>
      <c r="AG21" s="80">
        <f>+F26</f>
        <v>0</v>
      </c>
      <c r="AH21" s="80">
        <f>+AH20+AG21</f>
        <v>0</v>
      </c>
      <c r="AI21" s="81">
        <f>IF(TYPE(T26)=16,0,T26)</f>
        <v>0</v>
      </c>
      <c r="AJ21" s="83">
        <f>+AI21+AJ20</f>
        <v>0</v>
      </c>
      <c r="AK21" s="82">
        <f t="shared" ref="AK21:AK26" si="4">IF(AG21=0,0,AI21/AG21)</f>
        <v>0</v>
      </c>
    </row>
    <row r="22" spans="2:37" x14ac:dyDescent="0.25">
      <c r="B22" s="147">
        <f t="shared" ref="B22:B26" si="5">TYPE(R22)</f>
        <v>1</v>
      </c>
      <c r="C22" s="35" t="s">
        <v>31</v>
      </c>
      <c r="D22" s="9" t="s">
        <v>41</v>
      </c>
      <c r="E22" s="9">
        <v>0.875</v>
      </c>
      <c r="F22" s="10">
        <v>99</v>
      </c>
      <c r="G22" s="7" t="s">
        <v>44</v>
      </c>
      <c r="H22" s="24"/>
      <c r="I22" s="49">
        <f t="shared" si="0"/>
        <v>2508.1223904000003</v>
      </c>
      <c r="J22" s="50">
        <f t="shared" ref="J22:J26" si="6">IF(TYPE(R22)=16,"",S22*(IF($J$20="lbs",2.2,1)))</f>
        <v>2461.1400000000003</v>
      </c>
      <c r="K22" s="51">
        <f t="shared" ref="K22:K26" si="7">IF(TYPE(R22)=16,"",T22*(IF($K$20="lbs",2.2,1)))</f>
        <v>4745.9098708884558</v>
      </c>
      <c r="L22" s="24"/>
      <c r="M22" s="23"/>
      <c r="N22" s="23"/>
      <c r="O22" s="25"/>
      <c r="P22" s="23"/>
      <c r="R22" s="100">
        <f t="shared" ref="R22:R26" si="8">+AA22+AB22+AC22+AD22+AE22</f>
        <v>129.58159874631249</v>
      </c>
      <c r="S22" s="101">
        <f t="shared" si="1"/>
        <v>2461.1400000000003</v>
      </c>
      <c r="T22" s="101">
        <f t="shared" si="2"/>
        <v>2157.2317594947526</v>
      </c>
      <c r="U22" s="101">
        <f t="shared" ref="U22:U26" si="9">+T22/W22</f>
        <v>21.79021979287629</v>
      </c>
      <c r="V22" s="105">
        <f>+T22+V21</f>
        <v>4379.7975482325055</v>
      </c>
      <c r="W22" s="101">
        <f t="shared" ref="W22:W26" si="10">+F22</f>
        <v>99</v>
      </c>
      <c r="X22" s="101">
        <f t="shared" ref="X22:X26" si="11">+X21+W22</f>
        <v>176</v>
      </c>
      <c r="Y22" s="101">
        <f t="shared" si="3"/>
        <v>764.4384</v>
      </c>
      <c r="Z22" s="101">
        <f t="shared" ref="Z22:Z26" si="12">+Z21+Y22</f>
        <v>1359.0016000000001</v>
      </c>
      <c r="AA22" s="101">
        <f>IF($D22="V/B",VLOOKUP($E22,'2. Propiedades de las Varillas'!$D$5:$N$11, IF($G22="SH",6,10),0),  VLOOKUP($E22,'2. Propiedades de las Varillas'!$P$5:$U$11, 4,0) )</f>
        <v>101.6</v>
      </c>
      <c r="AB22" s="101">
        <f>IF($D22="V/B",VLOOKUP($E22,'2. Propiedades de las Varillas'!$D$5:$N$11, IF($G22="SH",3,3),0),  VLOOKUP($E22,'2. Propiedades de las Varillas'!$P$5:$U$11, 5,0) )</f>
        <v>2.9546644535625002</v>
      </c>
      <c r="AC22" s="103">
        <f>IF($D22="V/B",VLOOKUP($E22,'2. Propiedades de las Varillas'!$D$5:$N$11, IF($G22="SH",7,11),0),  VLOOKUP($E22,'2. Propiedades de las Varillas'!$P$5:$U$11, 6,0) )</f>
        <v>0.16693429274999999</v>
      </c>
      <c r="AD22" s="103">
        <f>IF($D22="V/B",VLOOKUP($E22,'2. Propiedades de las Varillas'!$D$5:$N$11, IF($G22="SH",2,2),0),  VLOOKUP($E22,'2. Propiedades de las Varillas'!$P$5:$U$11, 2,0) )</f>
        <v>24.01</v>
      </c>
      <c r="AE22" s="104">
        <f>IF($D22="V/B",VLOOKUP($E22,'2. Propiedades de las Varillas'!$D$5:$N$11, IF($G22="SH",4,8),0),  VLOOKUP($E22,'2. Propiedades de las Varillas'!$P$5:$U$11, 3,0) )</f>
        <v>0.85</v>
      </c>
      <c r="AF22" s="92">
        <f>+E25</f>
        <v>0</v>
      </c>
      <c r="AG22" s="80">
        <f>+F25</f>
        <v>0</v>
      </c>
      <c r="AH22" s="80">
        <f t="shared" ref="AH22:AH26" si="13">+AH21+AG22</f>
        <v>0</v>
      </c>
      <c r="AI22" s="81">
        <f>IF(TYPE(T25)=16,0,T25)</f>
        <v>0</v>
      </c>
      <c r="AJ22" s="83">
        <f t="shared" ref="AJ22:AJ26" si="14">+AI22+AJ21</f>
        <v>0</v>
      </c>
      <c r="AK22" s="82">
        <f t="shared" si="4"/>
        <v>0</v>
      </c>
    </row>
    <row r="23" spans="2:37" x14ac:dyDescent="0.25">
      <c r="B23" s="147">
        <f t="shared" si="5"/>
        <v>1</v>
      </c>
      <c r="C23" s="35" t="s">
        <v>32</v>
      </c>
      <c r="D23" s="9" t="s">
        <v>41</v>
      </c>
      <c r="E23" s="9">
        <v>0.75</v>
      </c>
      <c r="F23" s="10">
        <v>94</v>
      </c>
      <c r="G23" s="7" t="s">
        <v>44</v>
      </c>
      <c r="H23" s="24"/>
      <c r="I23" s="49">
        <f t="shared" si="0"/>
        <v>2381.4495424000002</v>
      </c>
      <c r="J23" s="50">
        <f t="shared" si="6"/>
        <v>1742.76</v>
      </c>
      <c r="K23" s="51">
        <f t="shared" si="7"/>
        <v>3365.2760290464089</v>
      </c>
      <c r="L23" s="23"/>
      <c r="M23" s="23"/>
      <c r="N23" s="23"/>
      <c r="O23" s="25"/>
      <c r="P23" s="23"/>
      <c r="R23" s="100">
        <f t="shared" si="8"/>
        <v>122.44517091924</v>
      </c>
      <c r="S23" s="101">
        <f t="shared" si="1"/>
        <v>1742.76</v>
      </c>
      <c r="T23" s="101">
        <f t="shared" si="2"/>
        <v>1529.6709222938221</v>
      </c>
      <c r="U23" s="101">
        <f t="shared" si="9"/>
        <v>16.273094918019385</v>
      </c>
      <c r="V23" s="101">
        <f t="shared" ref="V23:V26" si="15">+T23+V22</f>
        <v>5909.468470526328</v>
      </c>
      <c r="W23" s="101">
        <f t="shared" si="10"/>
        <v>94</v>
      </c>
      <c r="X23" s="101">
        <f t="shared" si="11"/>
        <v>270</v>
      </c>
      <c r="Y23" s="101">
        <f t="shared" si="3"/>
        <v>725.83040000000005</v>
      </c>
      <c r="Z23" s="101">
        <f t="shared" si="12"/>
        <v>2084.8320000000003</v>
      </c>
      <c r="AA23" s="101">
        <f>IF($D23="V/B",VLOOKUP($E23,'2. Propiedades de las Varillas'!$D$5:$N$11, IF($G23="SH",6,10),0),  VLOOKUP($E23,'2. Propiedades de las Varillas'!$P$5:$U$11, 4,0) )</f>
        <v>101.6</v>
      </c>
      <c r="AB23" s="101">
        <f>IF($D23="V/B",VLOOKUP($E23,'2. Propiedades de las Varillas'!$D$5:$N$11, IF($G23="SH",3,3),0),  VLOOKUP($E23,'2. Propiedades de las Varillas'!$P$5:$U$11, 5,0) )</f>
        <v>2.1707738842499995</v>
      </c>
      <c r="AC23" s="103">
        <f>IF($D23="V/B",VLOOKUP($E23,'2. Propiedades de las Varillas'!$D$5:$N$11, IF($G23="SH",7,11),0),  VLOOKUP($E23,'2. Propiedades de las Varillas'!$P$5:$U$11, 6,0) )</f>
        <v>0.13439703499</v>
      </c>
      <c r="AD23" s="103">
        <f>IF($D23="V/B",VLOOKUP($E23,'2. Propiedades de las Varillas'!$D$5:$N$11, IF($G23="SH",2,2),0),  VLOOKUP($E23,'2. Propiedades de las Varillas'!$P$5:$U$11, 2,0) )</f>
        <v>17.84</v>
      </c>
      <c r="AE23" s="104">
        <f>IF($D23="V/B",VLOOKUP($E23,'2. Propiedades de las Varillas'!$D$5:$N$11, IF($G23="SH",4,8),0),  VLOOKUP($E23,'2. Propiedades de las Varillas'!$P$5:$U$11, 3,0) )</f>
        <v>0.7</v>
      </c>
      <c r="AF23" s="92">
        <f>+E24</f>
        <v>1.5</v>
      </c>
      <c r="AG23" s="80">
        <f>+F24</f>
        <v>11</v>
      </c>
      <c r="AH23" s="80">
        <f t="shared" si="13"/>
        <v>11</v>
      </c>
      <c r="AI23" s="81">
        <f>IF(TYPE(T24)=16,0,T24)</f>
        <v>684.89150848650252</v>
      </c>
      <c r="AJ23" s="83">
        <f t="shared" si="14"/>
        <v>684.89150848650252</v>
      </c>
      <c r="AK23" s="82">
        <f t="shared" si="4"/>
        <v>62.262864407863866</v>
      </c>
    </row>
    <row r="24" spans="2:37" x14ac:dyDescent="0.25">
      <c r="B24" s="147">
        <f t="shared" si="5"/>
        <v>1</v>
      </c>
      <c r="C24" s="35" t="s">
        <v>33</v>
      </c>
      <c r="D24" s="9" t="s">
        <v>41</v>
      </c>
      <c r="E24" s="9">
        <v>1.5</v>
      </c>
      <c r="F24" s="10">
        <v>11</v>
      </c>
      <c r="G24" s="7" t="s">
        <v>44</v>
      </c>
      <c r="H24" s="24"/>
      <c r="I24" s="49">
        <f t="shared" si="0"/>
        <v>279.13862130000001</v>
      </c>
      <c r="J24" s="50">
        <f t="shared" si="6"/>
        <v>782.32</v>
      </c>
      <c r="K24" s="51">
        <f t="shared" si="7"/>
        <v>1506.7613186703056</v>
      </c>
      <c r="L24" s="36"/>
      <c r="M24" s="23"/>
      <c r="N24" s="23"/>
      <c r="O24" s="25"/>
      <c r="P24" s="23"/>
      <c r="R24" s="100">
        <f t="shared" si="8"/>
        <v>194.42664591431375</v>
      </c>
      <c r="S24" s="101">
        <f t="shared" si="1"/>
        <v>782.32</v>
      </c>
      <c r="T24" s="101">
        <f t="shared" si="2"/>
        <v>684.89150848650252</v>
      </c>
      <c r="U24" s="101">
        <f t="shared" si="9"/>
        <v>62.262864407863866</v>
      </c>
      <c r="V24" s="101">
        <f t="shared" si="15"/>
        <v>6594.3599790128301</v>
      </c>
      <c r="W24" s="101">
        <f t="shared" si="10"/>
        <v>11</v>
      </c>
      <c r="X24" s="101">
        <f t="shared" si="11"/>
        <v>281</v>
      </c>
      <c r="Y24" s="101">
        <f t="shared" si="3"/>
        <v>85.077300000000008</v>
      </c>
      <c r="Z24" s="101">
        <f t="shared" si="12"/>
        <v>2169.9093000000003</v>
      </c>
      <c r="AA24" s="101">
        <f>IF($D24="V/B",VLOOKUP($E24,'2. Propiedades de las Varillas'!$D$5:$N$11, IF($G24="SH",6,10),0),  VLOOKUP($E24,'2. Propiedades de las Varillas'!$P$5:$U$11, 4,0) )</f>
        <v>114.3</v>
      </c>
      <c r="AB24" s="101">
        <f>IF($D24="V/B",VLOOKUP($E24,'2. Propiedades de las Varillas'!$D$5:$N$11, IF($G24="SH",3,3),0),  VLOOKUP($E24,'2. Propiedades de las Varillas'!$P$5:$U$11, 5,0) )</f>
        <v>8.683095536999998</v>
      </c>
      <c r="AC24" s="103">
        <f>IF($D24="V/B",VLOOKUP($E24,'2. Propiedades de las Varillas'!$D$5:$N$11, IF($G24="SH",7,11),0),  VLOOKUP($E24,'2. Propiedades de las Varillas'!$P$5:$U$11, 6,0) )</f>
        <v>0.32355037731374997</v>
      </c>
      <c r="AD24" s="103">
        <f>IF($D24="V/B",VLOOKUP($E24,'2. Propiedades de las Varillas'!$D$5:$N$11, IF($G24="SH",2,2),0),  VLOOKUP($E24,'2. Propiedades de las Varillas'!$P$5:$U$11, 2,0) )</f>
        <v>69.53</v>
      </c>
      <c r="AE24" s="104">
        <f>IF($D24="V/B",VLOOKUP($E24,'2. Propiedades de las Varillas'!$D$5:$N$11, IF($G24="SH",4,8),0),  VLOOKUP($E24,'2. Propiedades de las Varillas'!$P$5:$U$11, 3,0) )</f>
        <v>1.59</v>
      </c>
      <c r="AF24" s="92">
        <f>+E23</f>
        <v>0.75</v>
      </c>
      <c r="AG24" s="80">
        <f>+F23</f>
        <v>94</v>
      </c>
      <c r="AH24" s="80">
        <f t="shared" si="13"/>
        <v>105</v>
      </c>
      <c r="AI24" s="81">
        <f>IF(TYPE(T23)=16,0,T23)</f>
        <v>1529.6709222938221</v>
      </c>
      <c r="AJ24" s="83">
        <f t="shared" si="14"/>
        <v>2214.5624307803246</v>
      </c>
      <c r="AK24" s="82">
        <f t="shared" si="4"/>
        <v>16.273094918019385</v>
      </c>
    </row>
    <row r="25" spans="2:37" x14ac:dyDescent="0.25">
      <c r="B25" s="147">
        <f t="shared" si="5"/>
        <v>16</v>
      </c>
      <c r="C25" s="35" t="s">
        <v>36</v>
      </c>
      <c r="D25" s="9"/>
      <c r="E25" s="9"/>
      <c r="F25" s="10"/>
      <c r="G25" s="7"/>
      <c r="H25" s="24"/>
      <c r="I25" s="49" t="str">
        <f t="shared" si="0"/>
        <v/>
      </c>
      <c r="J25" s="50" t="str">
        <f t="shared" si="6"/>
        <v/>
      </c>
      <c r="K25" s="51" t="str">
        <f t="shared" si="7"/>
        <v/>
      </c>
      <c r="L25" s="36"/>
      <c r="M25" s="23"/>
      <c r="N25" s="23"/>
      <c r="O25" s="25"/>
      <c r="P25" s="23"/>
      <c r="R25" s="100" t="e">
        <f t="shared" si="8"/>
        <v>#N/A</v>
      </c>
      <c r="S25" s="101" t="e">
        <f t="shared" si="1"/>
        <v>#N/A</v>
      </c>
      <c r="T25" s="101" t="e">
        <f t="shared" si="2"/>
        <v>#N/A</v>
      </c>
      <c r="U25" s="101" t="e">
        <f t="shared" si="9"/>
        <v>#N/A</v>
      </c>
      <c r="V25" s="101" t="e">
        <f t="shared" si="15"/>
        <v>#N/A</v>
      </c>
      <c r="W25" s="101">
        <f t="shared" si="10"/>
        <v>0</v>
      </c>
      <c r="X25" s="101">
        <f t="shared" si="11"/>
        <v>281</v>
      </c>
      <c r="Y25" s="101" t="e">
        <f t="shared" si="3"/>
        <v>#N/A</v>
      </c>
      <c r="Z25" s="101" t="e">
        <f t="shared" si="12"/>
        <v>#N/A</v>
      </c>
      <c r="AA25" s="101" t="e">
        <f>IF($D25="V/B",VLOOKUP($E25,'2. Propiedades de las Varillas'!$D$5:$N$11, IF($G25="SH",6,10),0),  VLOOKUP($E25,'2. Propiedades de las Varillas'!$P$5:$U$11, 4,0) )</f>
        <v>#N/A</v>
      </c>
      <c r="AB25" s="101" t="e">
        <f>IF($D25="V/B",VLOOKUP($E25,'2. Propiedades de las Varillas'!$D$5:$N$11, IF($G25="SH",3,3),0),  VLOOKUP($E25,'2. Propiedades de las Varillas'!$P$5:$U$11, 5,0) )</f>
        <v>#N/A</v>
      </c>
      <c r="AC25" s="103" t="e">
        <f>IF($D25="V/B",VLOOKUP($E25,'2. Propiedades de las Varillas'!$D$5:$N$11, IF($G25="SH",7,11),0),  VLOOKUP($E25,'2. Propiedades de las Varillas'!$P$5:$U$11, 6,0) )</f>
        <v>#N/A</v>
      </c>
      <c r="AD25" s="103" t="e">
        <f>IF($D25="V/B",VLOOKUP($E25,'2. Propiedades de las Varillas'!$D$5:$N$11, IF($G25="SH",2,2),0),  VLOOKUP($E25,'2. Propiedades de las Varillas'!$P$5:$U$11, 2,0) )</f>
        <v>#N/A</v>
      </c>
      <c r="AE25" s="104" t="e">
        <f>IF($D25="V/B",VLOOKUP($E25,'2. Propiedades de las Varillas'!$D$5:$N$11, IF($G25="SH",4,8),0),  VLOOKUP($E25,'2. Propiedades de las Varillas'!$P$5:$U$11, 3,0) )</f>
        <v>#N/A</v>
      </c>
      <c r="AF25" s="92">
        <f>+E22</f>
        <v>0.875</v>
      </c>
      <c r="AG25" s="80">
        <f>+F22</f>
        <v>99</v>
      </c>
      <c r="AH25" s="80">
        <f t="shared" si="13"/>
        <v>204</v>
      </c>
      <c r="AI25" s="81">
        <f>IF(TYPE(T22)=16,0,T22)</f>
        <v>2157.2317594947526</v>
      </c>
      <c r="AJ25" s="83">
        <f t="shared" si="14"/>
        <v>4371.7941902750772</v>
      </c>
      <c r="AK25" s="82">
        <f t="shared" si="4"/>
        <v>21.79021979287629</v>
      </c>
    </row>
    <row r="26" spans="2:37" ht="15.75" thickBot="1" x14ac:dyDescent="0.3">
      <c r="B26" s="147">
        <f t="shared" si="5"/>
        <v>16</v>
      </c>
      <c r="C26" s="37" t="s">
        <v>37</v>
      </c>
      <c r="D26" s="11"/>
      <c r="E26" s="11"/>
      <c r="F26" s="12"/>
      <c r="G26" s="8"/>
      <c r="H26" s="24"/>
      <c r="I26" s="52" t="str">
        <f t="shared" si="0"/>
        <v/>
      </c>
      <c r="J26" s="53" t="str">
        <f t="shared" si="6"/>
        <v/>
      </c>
      <c r="K26" s="54" t="str">
        <f t="shared" si="7"/>
        <v/>
      </c>
      <c r="L26" s="23"/>
      <c r="M26" s="23"/>
      <c r="N26" s="23"/>
      <c r="O26" s="25"/>
      <c r="P26" s="23"/>
      <c r="R26" s="106" t="e">
        <f t="shared" si="8"/>
        <v>#N/A</v>
      </c>
      <c r="S26" s="107" t="e">
        <f t="shared" si="1"/>
        <v>#N/A</v>
      </c>
      <c r="T26" s="107" t="e">
        <f t="shared" si="2"/>
        <v>#N/A</v>
      </c>
      <c r="U26" s="107" t="e">
        <f t="shared" si="9"/>
        <v>#N/A</v>
      </c>
      <c r="V26" s="107" t="e">
        <f t="shared" si="15"/>
        <v>#N/A</v>
      </c>
      <c r="W26" s="107">
        <f t="shared" si="10"/>
        <v>0</v>
      </c>
      <c r="X26" s="107">
        <f t="shared" si="11"/>
        <v>281</v>
      </c>
      <c r="Y26" s="107" t="e">
        <f t="shared" si="3"/>
        <v>#N/A</v>
      </c>
      <c r="Z26" s="107" t="e">
        <f t="shared" si="12"/>
        <v>#N/A</v>
      </c>
      <c r="AA26" s="107" t="e">
        <f>IF($D26="V/B",VLOOKUP($E26,'2. Propiedades de las Varillas'!$D$5:$N$11, IF($G26="SH",6,10),0),  VLOOKUP($E26,'2. Propiedades de las Varillas'!$P$5:$U$11, 4,0) )</f>
        <v>#N/A</v>
      </c>
      <c r="AB26" s="107" t="e">
        <f>IF($D26="V/B",VLOOKUP($E26,'2. Propiedades de las Varillas'!$D$5:$N$11, IF($G26="SH",3,3),0),  VLOOKUP($E26,'2. Propiedades de las Varillas'!$P$5:$U$11, 5,0) )</f>
        <v>#N/A</v>
      </c>
      <c r="AC26" s="108" t="e">
        <f>IF($D26="V/B",VLOOKUP($E26,'2. Propiedades de las Varillas'!$D$5:$N$11, IF($G26="SH",7,11),0),  VLOOKUP($E26,'2. Propiedades de las Varillas'!$P$5:$U$11, 6,0) )</f>
        <v>#N/A</v>
      </c>
      <c r="AD26" s="108" t="e">
        <f>IF($D26="V/B",VLOOKUP($E26,'2. Propiedades de las Varillas'!$D$5:$N$11, IF($G26="SH",2,2),0),  VLOOKUP($E26,'2. Propiedades de las Varillas'!$P$5:$U$11, 2,0) )</f>
        <v>#N/A</v>
      </c>
      <c r="AE26" s="109" t="e">
        <f>IF($D26="V/B",VLOOKUP($E26,'2. Propiedades de las Varillas'!$D$5:$N$11, IF($G26="SH",4,8),0),  VLOOKUP($E26,'2. Propiedades de las Varillas'!$P$5:$U$11, 3,0) )</f>
        <v>#N/A</v>
      </c>
      <c r="AF26" s="93">
        <f>+E21</f>
        <v>1</v>
      </c>
      <c r="AG26" s="84">
        <f>+F21</f>
        <v>77</v>
      </c>
      <c r="AH26" s="84">
        <f t="shared" si="13"/>
        <v>281</v>
      </c>
      <c r="AI26" s="85">
        <f>IF(TYPE(T21)=16,0,T21)</f>
        <v>2222.5657887377524</v>
      </c>
      <c r="AJ26" s="86">
        <f t="shared" si="14"/>
        <v>6594.3599790128301</v>
      </c>
      <c r="AK26" s="87">
        <f t="shared" si="4"/>
        <v>28.864490762827952</v>
      </c>
    </row>
    <row r="27" spans="2:37" ht="15.75" thickBot="1" x14ac:dyDescent="0.3">
      <c r="B27" s="22"/>
      <c r="C27" s="23"/>
      <c r="D27" s="24"/>
      <c r="E27" s="23"/>
      <c r="F27" s="23"/>
      <c r="G27" s="23"/>
      <c r="H27" s="23"/>
      <c r="I27" s="23"/>
      <c r="J27" s="23"/>
      <c r="K27" s="23"/>
      <c r="L27" s="23"/>
      <c r="M27" s="23"/>
      <c r="N27" s="23"/>
      <c r="O27" s="25"/>
      <c r="P27" s="23"/>
      <c r="AH27" s="58"/>
      <c r="AJ27" s="34"/>
    </row>
    <row r="28" spans="2:37" ht="15.75" thickBot="1" x14ac:dyDescent="0.3">
      <c r="B28" s="22"/>
      <c r="C28" s="161" t="s">
        <v>49</v>
      </c>
      <c r="D28" s="162"/>
      <c r="E28" s="162"/>
      <c r="F28" s="43">
        <f>SUM(F21:F26)</f>
        <v>281</v>
      </c>
      <c r="G28" s="55" t="s">
        <v>3</v>
      </c>
      <c r="H28" s="23"/>
      <c r="I28" s="43">
        <f>SUM(I21:I26)</f>
        <v>7119.4724133000009</v>
      </c>
      <c r="J28" s="44">
        <f>SUM(J21:J26)</f>
        <v>7516.4400000000005</v>
      </c>
      <c r="K28" s="45">
        <f>SUM(K21:K26)</f>
        <v>14507.591953828227</v>
      </c>
      <c r="L28" s="23"/>
      <c r="M28" s="23"/>
      <c r="N28" s="23"/>
      <c r="O28" s="25"/>
      <c r="P28" s="23"/>
    </row>
    <row r="29" spans="2:37" ht="15.75" thickBot="1" x14ac:dyDescent="0.3">
      <c r="B29" s="28"/>
      <c r="C29" s="29"/>
      <c r="D29" s="30"/>
      <c r="E29" s="29"/>
      <c r="F29" s="29"/>
      <c r="G29" s="29"/>
      <c r="H29" s="29"/>
      <c r="I29" s="29"/>
      <c r="J29" s="29"/>
      <c r="K29" s="29"/>
      <c r="L29" s="29"/>
      <c r="M29" s="29"/>
      <c r="N29" s="29"/>
      <c r="O29" s="31"/>
      <c r="P29" s="23"/>
    </row>
    <row r="30" spans="2:37" ht="15.75" thickBot="1" x14ac:dyDescent="0.3"/>
    <row r="31" spans="2:37" ht="18.75" x14ac:dyDescent="0.3">
      <c r="B31" s="17"/>
      <c r="C31" s="18" t="s">
        <v>50</v>
      </c>
      <c r="D31" s="19"/>
      <c r="E31" s="20"/>
      <c r="F31" s="20"/>
      <c r="G31" s="20"/>
      <c r="H31" s="20"/>
      <c r="I31" s="20"/>
      <c r="J31" s="20"/>
      <c r="K31" s="20"/>
      <c r="L31" s="20"/>
      <c r="M31" s="20"/>
      <c r="N31" s="20"/>
      <c r="O31" s="21"/>
      <c r="P31" s="117"/>
    </row>
    <row r="32" spans="2:37" ht="15" customHeight="1" x14ac:dyDescent="0.25">
      <c r="B32" s="22"/>
      <c r="C32" s="23"/>
      <c r="D32" s="24"/>
      <c r="E32" s="23"/>
      <c r="F32" s="23"/>
      <c r="G32" s="23"/>
      <c r="H32" s="38"/>
      <c r="I32" s="23"/>
      <c r="J32" s="23"/>
      <c r="K32" s="23"/>
      <c r="L32" s="23"/>
      <c r="M32" s="23"/>
      <c r="N32" s="23"/>
      <c r="O32" s="25"/>
      <c r="P32" s="23"/>
      <c r="AB32" s="39"/>
    </row>
    <row r="33" spans="2:16" ht="15.75" customHeight="1" thickBot="1" x14ac:dyDescent="0.3">
      <c r="B33" s="22"/>
      <c r="C33" s="40"/>
      <c r="D33" s="24"/>
      <c r="E33" s="23"/>
      <c r="F33" s="23"/>
      <c r="G33" s="23"/>
      <c r="H33" s="38"/>
      <c r="I33" s="23"/>
      <c r="J33" s="23"/>
      <c r="K33" s="23"/>
      <c r="L33" s="23"/>
      <c r="M33" s="23"/>
      <c r="N33" s="23"/>
      <c r="O33" s="25"/>
      <c r="P33" s="23"/>
    </row>
    <row r="34" spans="2:16" ht="15.75" customHeight="1" thickBot="1" x14ac:dyDescent="0.3">
      <c r="B34" s="22"/>
      <c r="C34" s="23" t="s">
        <v>51</v>
      </c>
      <c r="D34" s="5">
        <v>11132</v>
      </c>
      <c r="E34" s="114" t="s">
        <v>56</v>
      </c>
      <c r="F34" s="23"/>
      <c r="G34" s="23"/>
      <c r="H34" s="38"/>
      <c r="I34" s="23"/>
      <c r="J34" s="23"/>
      <c r="K34" s="23"/>
      <c r="L34" s="23"/>
      <c r="M34" s="23"/>
      <c r="N34" s="23"/>
      <c r="O34" s="25"/>
      <c r="P34" s="23"/>
    </row>
    <row r="35" spans="2:16" ht="15.75" thickBot="1" x14ac:dyDescent="0.3">
      <c r="B35" s="22"/>
      <c r="C35" s="23"/>
      <c r="D35" s="24"/>
      <c r="E35" s="23"/>
      <c r="F35" s="23"/>
      <c r="G35" s="23"/>
      <c r="H35" s="23"/>
      <c r="I35" s="23"/>
      <c r="J35" s="23"/>
      <c r="K35" s="23"/>
      <c r="L35" s="23"/>
      <c r="M35" s="23"/>
      <c r="N35" s="23"/>
      <c r="O35" s="25"/>
      <c r="P35" s="23"/>
    </row>
    <row r="36" spans="2:16" ht="15.75" thickBot="1" x14ac:dyDescent="0.3">
      <c r="B36" s="22"/>
      <c r="C36" s="23" t="s">
        <v>76</v>
      </c>
      <c r="D36" s="59">
        <f>+D37*7.62*(IF(E36="pies",3.281,1))</f>
        <v>1661.16</v>
      </c>
      <c r="E36" s="115" t="s">
        <v>11</v>
      </c>
      <c r="F36" s="24"/>
      <c r="G36" s="24"/>
      <c r="H36" s="24"/>
      <c r="I36" s="23"/>
      <c r="J36" s="23"/>
      <c r="K36" s="23"/>
      <c r="L36" s="23"/>
      <c r="M36" s="23"/>
      <c r="N36" s="23"/>
      <c r="O36" s="25"/>
      <c r="P36" s="23"/>
    </row>
    <row r="37" spans="2:16" ht="15.75" thickBot="1" x14ac:dyDescent="0.3">
      <c r="B37" s="22"/>
      <c r="C37" s="23" t="s">
        <v>65</v>
      </c>
      <c r="D37" s="157">
        <f>+M65+M64</f>
        <v>218</v>
      </c>
      <c r="E37" s="158"/>
      <c r="F37" s="24"/>
      <c r="G37" s="24"/>
      <c r="H37" s="24"/>
      <c r="I37" s="23"/>
      <c r="J37" s="23"/>
      <c r="K37" s="23"/>
      <c r="L37" s="23"/>
      <c r="M37" s="23"/>
      <c r="N37" s="23"/>
      <c r="O37" s="25"/>
      <c r="P37" s="23"/>
    </row>
    <row r="38" spans="2:16" ht="15.75" thickBot="1" x14ac:dyDescent="0.3">
      <c r="B38" s="22"/>
      <c r="C38" s="23" t="s">
        <v>67</v>
      </c>
      <c r="D38" s="157">
        <f>+M60</f>
        <v>3</v>
      </c>
      <c r="E38" s="158"/>
      <c r="F38" s="23"/>
      <c r="G38" s="23"/>
      <c r="H38" s="41"/>
      <c r="I38" s="23"/>
      <c r="J38" s="23"/>
      <c r="K38" s="23"/>
      <c r="L38" s="23"/>
      <c r="M38" s="23"/>
      <c r="N38" s="23"/>
      <c r="O38" s="25"/>
      <c r="P38" s="23"/>
    </row>
    <row r="39" spans="2:16" ht="15.75" thickBot="1" x14ac:dyDescent="0.3">
      <c r="B39" s="22"/>
      <c r="C39" s="23" t="s">
        <v>0</v>
      </c>
      <c r="D39" s="56">
        <f>INDEX(E21:E26,M60,1)</f>
        <v>0.75</v>
      </c>
      <c r="E39" s="57" t="s">
        <v>24</v>
      </c>
      <c r="F39" s="23"/>
      <c r="G39" s="23"/>
      <c r="H39" s="23"/>
      <c r="I39" s="23"/>
      <c r="J39" s="23"/>
      <c r="K39" s="23"/>
      <c r="L39" s="23"/>
      <c r="M39" s="23"/>
      <c r="N39" s="23"/>
      <c r="O39" s="25"/>
      <c r="P39" s="23"/>
    </row>
    <row r="40" spans="2:16" ht="15.75" thickBot="1" x14ac:dyDescent="0.3">
      <c r="B40" s="22"/>
      <c r="C40" s="23" t="s">
        <v>66</v>
      </c>
      <c r="D40" s="157">
        <f>+M64</f>
        <v>42</v>
      </c>
      <c r="E40" s="158"/>
      <c r="F40" s="23"/>
      <c r="G40" s="23"/>
      <c r="H40" s="23"/>
      <c r="I40" s="23"/>
      <c r="J40" s="23"/>
      <c r="K40" s="23"/>
      <c r="L40" s="23"/>
      <c r="M40" s="23"/>
      <c r="N40" s="23"/>
      <c r="O40" s="25"/>
      <c r="P40" s="23"/>
    </row>
    <row r="41" spans="2:16" x14ac:dyDescent="0.25">
      <c r="B41" s="22"/>
      <c r="C41" s="23"/>
      <c r="D41" s="24"/>
      <c r="E41" s="23"/>
      <c r="F41" s="23"/>
      <c r="G41" s="23"/>
      <c r="H41" s="41"/>
      <c r="I41" s="23"/>
      <c r="J41" s="23"/>
      <c r="K41" s="23"/>
      <c r="L41" s="23"/>
      <c r="M41" s="23"/>
      <c r="N41" s="23"/>
      <c r="O41" s="25"/>
      <c r="P41" s="23"/>
    </row>
    <row r="42" spans="2:16" x14ac:dyDescent="0.25">
      <c r="B42" s="22"/>
      <c r="C42" s="23"/>
      <c r="D42" s="24"/>
      <c r="E42" s="23"/>
      <c r="F42" s="23"/>
      <c r="G42" s="23"/>
      <c r="H42" s="41"/>
      <c r="I42" s="23"/>
      <c r="J42" s="23"/>
      <c r="K42" s="23"/>
      <c r="L42" s="23"/>
      <c r="M42" s="23"/>
      <c r="N42" s="23"/>
      <c r="O42" s="25"/>
      <c r="P42" s="23"/>
    </row>
    <row r="43" spans="2:16" ht="18.75" x14ac:dyDescent="0.3">
      <c r="B43" s="22"/>
      <c r="C43" s="32" t="s">
        <v>68</v>
      </c>
      <c r="D43" s="24"/>
      <c r="E43" s="23"/>
      <c r="F43" s="23"/>
      <c r="G43" s="23"/>
      <c r="H43" s="41"/>
      <c r="I43" s="23"/>
      <c r="J43" s="23"/>
      <c r="K43" s="23"/>
      <c r="L43" s="23"/>
      <c r="M43" s="23"/>
      <c r="N43" s="23"/>
      <c r="O43" s="25"/>
      <c r="P43" s="23"/>
    </row>
    <row r="44" spans="2:16" ht="15.75" thickBot="1" x14ac:dyDescent="0.3">
      <c r="B44" s="22"/>
      <c r="C44" s="23"/>
      <c r="D44" s="152"/>
      <c r="E44" s="152"/>
      <c r="F44" s="152"/>
      <c r="G44" s="152"/>
      <c r="H44" s="152"/>
      <c r="I44" s="23"/>
      <c r="J44" s="23"/>
      <c r="K44" s="23"/>
      <c r="L44" s="23"/>
      <c r="M44" s="23"/>
      <c r="N44" s="23"/>
      <c r="O44" s="25"/>
      <c r="P44" s="23"/>
    </row>
    <row r="45" spans="2:16" ht="15.75" thickBot="1" x14ac:dyDescent="0.3">
      <c r="B45" s="22"/>
      <c r="C45" s="23" t="s">
        <v>69</v>
      </c>
      <c r="D45" s="24"/>
      <c r="E45" s="36"/>
      <c r="F45" s="5">
        <v>-3510</v>
      </c>
      <c r="G45" s="116" t="s">
        <v>56</v>
      </c>
      <c r="H45" s="23"/>
      <c r="I45" s="23"/>
      <c r="J45" s="23"/>
      <c r="K45" s="23"/>
      <c r="L45" s="23"/>
      <c r="M45" s="23"/>
      <c r="N45" s="23"/>
      <c r="O45" s="25"/>
      <c r="P45" s="23"/>
    </row>
    <row r="46" spans="2:16" ht="15.75" thickBot="1" x14ac:dyDescent="0.3">
      <c r="B46" s="22"/>
      <c r="C46" s="23"/>
      <c r="D46" s="24"/>
      <c r="E46" s="36"/>
      <c r="F46" s="36"/>
      <c r="G46" s="36"/>
      <c r="H46" s="23"/>
      <c r="I46" s="23"/>
      <c r="J46" s="23"/>
      <c r="K46" s="23"/>
      <c r="L46" s="23"/>
      <c r="M46" s="23"/>
      <c r="N46" s="23"/>
      <c r="O46" s="25"/>
      <c r="P46" s="23"/>
    </row>
    <row r="47" spans="2:16" ht="15.75" thickBot="1" x14ac:dyDescent="0.3">
      <c r="B47" s="22"/>
      <c r="C47" s="23" t="s">
        <v>76</v>
      </c>
      <c r="D47" s="59">
        <f>+D48*7.62*(IF(E47="pies",3.281,1))</f>
        <v>1630.68</v>
      </c>
      <c r="E47" s="115" t="s">
        <v>11</v>
      </c>
      <c r="F47" s="23"/>
      <c r="G47" s="23"/>
      <c r="H47" s="23"/>
      <c r="I47" s="23"/>
      <c r="J47" s="23"/>
      <c r="K47" s="23"/>
      <c r="L47" s="23"/>
      <c r="M47" s="23"/>
      <c r="N47" s="23"/>
      <c r="O47" s="25"/>
      <c r="P47" s="23"/>
    </row>
    <row r="48" spans="2:16" ht="15.75" thickBot="1" x14ac:dyDescent="0.3">
      <c r="B48" s="22"/>
      <c r="C48" s="23" t="s">
        <v>65</v>
      </c>
      <c r="D48" s="159">
        <f>+M78</f>
        <v>214</v>
      </c>
      <c r="E48" s="160"/>
      <c r="F48" s="24"/>
      <c r="G48" s="24"/>
      <c r="H48" s="23"/>
      <c r="I48" s="23"/>
      <c r="J48" s="23"/>
      <c r="K48" s="23"/>
      <c r="L48" s="23"/>
      <c r="M48" s="23"/>
      <c r="N48" s="23"/>
      <c r="O48" s="25"/>
      <c r="P48" s="23"/>
    </row>
    <row r="49" spans="2:16" ht="15.75" thickBot="1" x14ac:dyDescent="0.3">
      <c r="B49" s="22"/>
      <c r="C49" s="23" t="s">
        <v>67</v>
      </c>
      <c r="D49" s="157">
        <f>+M71</f>
        <v>3</v>
      </c>
      <c r="E49" s="158"/>
      <c r="F49" s="24"/>
      <c r="G49" s="24"/>
      <c r="H49" s="23"/>
      <c r="I49" s="23"/>
      <c r="J49" s="23"/>
      <c r="K49" s="23"/>
      <c r="L49" s="23"/>
      <c r="M49" s="23"/>
      <c r="N49" s="23"/>
      <c r="O49" s="25"/>
      <c r="P49" s="23"/>
    </row>
    <row r="50" spans="2:16" ht="15.75" thickBot="1" x14ac:dyDescent="0.3">
      <c r="B50" s="22"/>
      <c r="C50" s="23" t="s">
        <v>0</v>
      </c>
      <c r="D50" s="56">
        <f>INDEX(+E21:E26,D49,1)</f>
        <v>0.75</v>
      </c>
      <c r="E50" s="57" t="s">
        <v>24</v>
      </c>
      <c r="F50" s="24"/>
      <c r="G50" s="24"/>
      <c r="H50" s="23"/>
      <c r="I50" s="23"/>
      <c r="J50" s="23"/>
      <c r="K50" s="23"/>
      <c r="L50" s="23"/>
      <c r="M50" s="23"/>
      <c r="N50" s="23"/>
      <c r="O50" s="25"/>
      <c r="P50" s="23"/>
    </row>
    <row r="51" spans="2:16" ht="15.75" thickBot="1" x14ac:dyDescent="0.3">
      <c r="B51" s="22"/>
      <c r="C51" s="23" t="s">
        <v>66</v>
      </c>
      <c r="D51" s="159">
        <f>+M79-M76</f>
        <v>38</v>
      </c>
      <c r="E51" s="160"/>
      <c r="F51" s="24"/>
      <c r="G51" s="24"/>
      <c r="H51" s="23"/>
      <c r="I51" s="23"/>
      <c r="J51" s="23"/>
      <c r="K51" s="23"/>
      <c r="L51" s="23"/>
      <c r="M51" s="23"/>
      <c r="N51" s="23"/>
      <c r="O51" s="25"/>
      <c r="P51" s="23"/>
    </row>
    <row r="52" spans="2:16" x14ac:dyDescent="0.25">
      <c r="B52" s="22"/>
      <c r="C52" s="23"/>
      <c r="D52" s="23"/>
      <c r="E52" s="23"/>
      <c r="F52" s="23"/>
      <c r="G52" s="23"/>
      <c r="H52" s="23"/>
      <c r="I52" s="23"/>
      <c r="J52" s="23"/>
      <c r="K52" s="23"/>
      <c r="L52" s="23"/>
      <c r="M52" s="23"/>
      <c r="N52" s="23"/>
      <c r="O52" s="25"/>
      <c r="P52" s="23"/>
    </row>
    <row r="53" spans="2:16" x14ac:dyDescent="0.25">
      <c r="B53" s="22"/>
      <c r="C53" s="23"/>
      <c r="D53" s="23"/>
      <c r="E53" s="23"/>
      <c r="F53" s="23"/>
      <c r="G53" s="23"/>
      <c r="H53" s="23"/>
      <c r="I53" s="23"/>
      <c r="J53" s="23"/>
      <c r="K53" s="23"/>
      <c r="L53" s="23"/>
      <c r="M53" s="23"/>
      <c r="N53" s="23"/>
      <c r="O53" s="25"/>
      <c r="P53" s="23"/>
    </row>
    <row r="54" spans="2:16" ht="15.75" thickBot="1" x14ac:dyDescent="0.3">
      <c r="B54" s="28"/>
      <c r="C54" s="29"/>
      <c r="D54" s="30"/>
      <c r="E54" s="29"/>
      <c r="F54" s="29"/>
      <c r="G54" s="29"/>
      <c r="H54" s="29"/>
      <c r="I54" s="29"/>
      <c r="J54" s="29"/>
      <c r="K54" s="29"/>
      <c r="L54" s="29"/>
      <c r="M54" s="29"/>
      <c r="N54" s="29"/>
      <c r="O54" s="31"/>
      <c r="P54" s="23"/>
    </row>
    <row r="56" spans="2:16" ht="15.75" thickBot="1" x14ac:dyDescent="0.3"/>
    <row r="57" spans="2:16" ht="19.5" thickBot="1" x14ac:dyDescent="0.35">
      <c r="I57" s="149" t="s">
        <v>25</v>
      </c>
      <c r="J57" s="150"/>
      <c r="K57" s="150"/>
      <c r="L57" s="150"/>
      <c r="M57" s="150"/>
      <c r="N57" s="150"/>
      <c r="O57" s="151"/>
    </row>
    <row r="58" spans="2:16" ht="21" x14ac:dyDescent="0.25">
      <c r="I58" s="60"/>
      <c r="J58" s="61"/>
      <c r="K58" s="61"/>
      <c r="L58" s="61"/>
      <c r="M58" s="61"/>
      <c r="N58" s="61"/>
      <c r="O58" s="62"/>
    </row>
    <row r="59" spans="2:16" ht="21" x14ac:dyDescent="0.25">
      <c r="I59" s="63" t="s">
        <v>58</v>
      </c>
      <c r="J59" s="64"/>
      <c r="K59" s="64"/>
      <c r="L59" s="64"/>
      <c r="M59" s="65">
        <f>+D34/IF(E34="lbs",2.2,1)</f>
        <v>5060</v>
      </c>
      <c r="N59" s="65" t="s">
        <v>57</v>
      </c>
      <c r="O59" s="62"/>
    </row>
    <row r="60" spans="2:16" ht="21" x14ac:dyDescent="0.25">
      <c r="I60" s="63" t="s">
        <v>59</v>
      </c>
      <c r="J60" s="64"/>
      <c r="K60" s="64"/>
      <c r="L60" s="64"/>
      <c r="M60" s="65">
        <f>MATCH(M59,V20:V26,1)</f>
        <v>3</v>
      </c>
      <c r="N60" s="65" t="s">
        <v>62</v>
      </c>
      <c r="O60" s="62"/>
    </row>
    <row r="61" spans="2:16" x14ac:dyDescent="0.25">
      <c r="I61" s="63" t="s">
        <v>78</v>
      </c>
      <c r="J61" s="65"/>
      <c r="K61" s="65"/>
      <c r="L61" s="65"/>
      <c r="M61" s="66">
        <f>+VLOOKUP(M59,V20:V26,1,1)</f>
        <v>4379.7975482325055</v>
      </c>
      <c r="N61" s="65" t="s">
        <v>57</v>
      </c>
      <c r="O61" s="62"/>
    </row>
    <row r="62" spans="2:16" x14ac:dyDescent="0.25">
      <c r="I62" s="63" t="s">
        <v>74</v>
      </c>
      <c r="J62" s="65"/>
      <c r="K62" s="65"/>
      <c r="L62" s="65"/>
      <c r="M62" s="66">
        <f>+M59-M61</f>
        <v>680.20245176749449</v>
      </c>
      <c r="N62" s="65" t="s">
        <v>57</v>
      </c>
      <c r="O62" s="62"/>
    </row>
    <row r="63" spans="2:16" x14ac:dyDescent="0.25">
      <c r="I63" s="63" t="s">
        <v>72</v>
      </c>
      <c r="J63" s="65"/>
      <c r="K63" s="65"/>
      <c r="L63" s="65"/>
      <c r="M63" s="66">
        <f>INDEX(U21:U26,M60,1)</f>
        <v>16.273094918019385</v>
      </c>
      <c r="N63" s="65" t="s">
        <v>57</v>
      </c>
      <c r="O63" s="62"/>
    </row>
    <row r="64" spans="2:16" x14ac:dyDescent="0.25">
      <c r="I64" s="63" t="s">
        <v>73</v>
      </c>
      <c r="J64" s="65"/>
      <c r="K64" s="65"/>
      <c r="L64" s="65"/>
      <c r="M64" s="65">
        <f>+INT(M62/M63)+1</f>
        <v>42</v>
      </c>
      <c r="N64" s="65" t="s">
        <v>62</v>
      </c>
      <c r="O64" s="62"/>
    </row>
    <row r="65" spans="9:15" x14ac:dyDescent="0.25">
      <c r="I65" s="63" t="s">
        <v>79</v>
      </c>
      <c r="J65" s="65"/>
      <c r="K65" s="65"/>
      <c r="L65" s="65"/>
      <c r="M65" s="65">
        <f>INDEX(X20:X26,M60,1)</f>
        <v>176</v>
      </c>
      <c r="N65" s="65"/>
      <c r="O65" s="62"/>
    </row>
    <row r="66" spans="9:15" x14ac:dyDescent="0.25">
      <c r="I66" s="63"/>
      <c r="J66" s="65"/>
      <c r="K66" s="65"/>
      <c r="L66" s="65"/>
      <c r="M66" s="65"/>
      <c r="N66" s="65"/>
      <c r="O66" s="62"/>
    </row>
    <row r="67" spans="9:15" x14ac:dyDescent="0.25">
      <c r="I67" s="63"/>
      <c r="J67" s="65"/>
      <c r="K67" s="65"/>
      <c r="L67" s="65"/>
      <c r="M67" s="65"/>
      <c r="N67" s="65"/>
      <c r="O67" s="62"/>
    </row>
    <row r="68" spans="9:15" x14ac:dyDescent="0.25">
      <c r="I68" s="63"/>
      <c r="J68" s="65"/>
      <c r="K68" s="65"/>
      <c r="L68" s="65"/>
      <c r="M68" s="65"/>
      <c r="N68" s="65"/>
      <c r="O68" s="62"/>
    </row>
    <row r="69" spans="9:15" x14ac:dyDescent="0.25">
      <c r="I69" s="63"/>
      <c r="J69" s="65"/>
      <c r="K69" s="65"/>
      <c r="L69" s="65"/>
      <c r="M69" s="65"/>
      <c r="N69" s="65"/>
      <c r="O69" s="62"/>
    </row>
    <row r="70" spans="9:15" x14ac:dyDescent="0.25">
      <c r="I70" s="63" t="s">
        <v>71</v>
      </c>
      <c r="J70" s="65"/>
      <c r="K70" s="65"/>
      <c r="L70" s="65"/>
      <c r="M70" s="65">
        <f>ABS(F45/IF(G45="lbs",2.2,1))</f>
        <v>1595.4545454545453</v>
      </c>
      <c r="N70" s="65" t="s">
        <v>57</v>
      </c>
      <c r="O70" s="62"/>
    </row>
    <row r="71" spans="9:15" x14ac:dyDescent="0.25">
      <c r="I71" s="63" t="s">
        <v>59</v>
      </c>
      <c r="J71" s="65"/>
      <c r="K71" s="65"/>
      <c r="L71" s="65"/>
      <c r="M71" s="65">
        <f>7-MATCH(M70,AJ20:AJ26,1)</f>
        <v>3</v>
      </c>
      <c r="N71" s="65" t="s">
        <v>62</v>
      </c>
      <c r="O71" s="62"/>
    </row>
    <row r="72" spans="9:15" x14ac:dyDescent="0.25">
      <c r="I72" s="63" t="s">
        <v>80</v>
      </c>
      <c r="J72" s="65"/>
      <c r="K72" s="65"/>
      <c r="L72" s="65"/>
      <c r="M72" s="65">
        <f>+MATCH(M70,AJ20:AJ26,1)</f>
        <v>4</v>
      </c>
      <c r="N72" s="65"/>
      <c r="O72" s="62"/>
    </row>
    <row r="73" spans="9:15" x14ac:dyDescent="0.25">
      <c r="I73" s="63" t="s">
        <v>81</v>
      </c>
      <c r="J73" s="65"/>
      <c r="K73" s="65"/>
      <c r="L73" s="65"/>
      <c r="M73" s="66">
        <f>+VLOOKUP(M70,AJ20:AJ26,1,1)</f>
        <v>684.89150848650252</v>
      </c>
      <c r="N73" s="65"/>
      <c r="O73" s="62"/>
    </row>
    <row r="74" spans="9:15" x14ac:dyDescent="0.25">
      <c r="I74" s="63" t="s">
        <v>82</v>
      </c>
      <c r="J74" s="65"/>
      <c r="K74" s="65"/>
      <c r="L74" s="65"/>
      <c r="M74" s="66">
        <f>+M70-M73</f>
        <v>910.56303696804275</v>
      </c>
      <c r="N74" s="65"/>
      <c r="O74" s="62"/>
    </row>
    <row r="75" spans="9:15" x14ac:dyDescent="0.25">
      <c r="I75" s="63" t="s">
        <v>63</v>
      </c>
      <c r="J75" s="65"/>
      <c r="K75" s="65"/>
      <c r="L75" s="65"/>
      <c r="M75" s="66">
        <f>+INDEX(AK21:AK26,M72,1)</f>
        <v>16.273094918019385</v>
      </c>
      <c r="N75" s="65"/>
      <c r="O75" s="62"/>
    </row>
    <row r="76" spans="9:15" x14ac:dyDescent="0.25">
      <c r="I76" s="63" t="s">
        <v>83</v>
      </c>
      <c r="J76" s="65"/>
      <c r="K76" s="65"/>
      <c r="L76" s="65"/>
      <c r="M76" s="66">
        <f>INT(M74/M75)+1</f>
        <v>56</v>
      </c>
      <c r="N76" s="65"/>
      <c r="O76" s="62"/>
    </row>
    <row r="77" spans="9:15" x14ac:dyDescent="0.25">
      <c r="I77" s="63" t="s">
        <v>84</v>
      </c>
      <c r="J77" s="65"/>
      <c r="K77" s="65"/>
      <c r="L77" s="65"/>
      <c r="M77" s="65">
        <f>+INDEX(X21:X26,M71,1)</f>
        <v>270</v>
      </c>
      <c r="N77" s="65"/>
      <c r="O77" s="62"/>
    </row>
    <row r="78" spans="9:15" x14ac:dyDescent="0.25">
      <c r="I78" s="63" t="s">
        <v>75</v>
      </c>
      <c r="J78" s="65"/>
      <c r="K78" s="65"/>
      <c r="L78" s="65"/>
      <c r="M78" s="66">
        <f>+M77-M76</f>
        <v>214</v>
      </c>
      <c r="N78" s="65"/>
      <c r="O78" s="62"/>
    </row>
    <row r="79" spans="9:15" x14ac:dyDescent="0.25">
      <c r="I79" s="63" t="s">
        <v>77</v>
      </c>
      <c r="J79" s="65"/>
      <c r="K79" s="65"/>
      <c r="L79" s="65"/>
      <c r="M79" s="65">
        <f>+INDEX(W21:W26,M71,1)</f>
        <v>94</v>
      </c>
      <c r="N79" s="65"/>
      <c r="O79" s="62"/>
    </row>
    <row r="80" spans="9:15" ht="15.75" thickBot="1" x14ac:dyDescent="0.3">
      <c r="I80" s="67"/>
      <c r="J80" s="68"/>
      <c r="K80" s="68"/>
      <c r="L80" s="68"/>
      <c r="M80" s="68"/>
      <c r="N80" s="68"/>
      <c r="O80" s="69"/>
    </row>
  </sheetData>
  <sheetProtection sheet="1" objects="1" scenarios="1" selectLockedCells="1"/>
  <mergeCells count="19">
    <mergeCell ref="B2:M2"/>
    <mergeCell ref="B5:O5"/>
    <mergeCell ref="J8:M8"/>
    <mergeCell ref="AF18:AK18"/>
    <mergeCell ref="R18:AE18"/>
    <mergeCell ref="I57:O57"/>
    <mergeCell ref="D44:H44"/>
    <mergeCell ref="F19:F20"/>
    <mergeCell ref="G19:G20"/>
    <mergeCell ref="D40:E40"/>
    <mergeCell ref="D51:E51"/>
    <mergeCell ref="D49:E49"/>
    <mergeCell ref="D48:E48"/>
    <mergeCell ref="C28:E28"/>
    <mergeCell ref="D37:E37"/>
    <mergeCell ref="D38:E38"/>
    <mergeCell ref="C19:C20"/>
    <mergeCell ref="D19:D20"/>
    <mergeCell ref="E19:E20"/>
  </mergeCells>
  <dataValidations count="6">
    <dataValidation type="list" allowBlank="1" showInputMessage="1" showErrorMessage="1" sqref="E21:E26">
      <formula1>diametros</formula1>
    </dataValidation>
    <dataValidation type="list" allowBlank="1" showInputMessage="1" showErrorMessage="1" errorTitle="Error" error="Debe seleccionar entre cuplas Full Size (FS) ó cuplas Slim Hole (SH)" promptTitle="Tipo de Cupla:" prompt="FS: Full Size_x000a_SH: Slim Hole" sqref="G21:G26">
      <formula1>cupla</formula1>
    </dataValidation>
    <dataValidation type="list" errorStyle="warning" allowBlank="1" showInputMessage="1" showErrorMessage="1" errorTitle="Error" error="Debe seleccionar entre varilla de bombeo (V/B) ó barra de peso (B/P)" promptTitle="Tipo de Tramo:" prompt="V/B: Varilla de bombeo_x000a_B/P: Barra de peso" sqref="D21:D26">
      <formula1>tipo</formula1>
    </dataValidation>
    <dataValidation type="list" showInputMessage="1" showErrorMessage="1" sqref="I20">
      <formula1>u_largo</formula1>
    </dataValidation>
    <dataValidation type="list" showInputMessage="1" showErrorMessage="1" sqref="J20:K20 E34 G45">
      <formula1>u_peso</formula1>
    </dataValidation>
    <dataValidation type="list" allowBlank="1" showInputMessage="1" showErrorMessage="1" sqref="E36 E47">
      <formula1>u_largo</formula1>
    </dataValidation>
  </dataValidations>
  <hyperlinks>
    <hyperlink ref="O3" r:id="rId1"/>
  </hyperlinks>
  <pageMargins left="0.25" right="0.25" top="0.75" bottom="0.75" header="0.3" footer="0.3"/>
  <pageSetup paperSize="9" scale="56" orientation="portrait" horizontalDpi="0" verticalDpi="0"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EAEA345B-BA88-4359-B63B-A94A53A7963C}">
            <x14:iconSet iconSet="3Symbols2" custom="1">
              <x14:cfvo type="percent">
                <xm:f>0</xm:f>
              </x14:cfvo>
              <x14:cfvo type="num" gte="0">
                <xm:f>0</xm:f>
              </x14:cfvo>
              <x14:cfvo type="num">
                <xm:f>16</xm:f>
              </x14:cfvo>
              <x14:cfIcon iconSet="3Symbols2" iconId="0"/>
              <x14:cfIcon iconSet="3Symbols2" iconId="2"/>
              <x14:cfIcon iconSet="3Symbols2" iconId="0"/>
            </x14:iconSet>
          </x14:cfRule>
          <xm:sqref>B21:B26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Y25"/>
  <sheetViews>
    <sheetView topLeftCell="B1" zoomScaleNormal="100" workbookViewId="0">
      <selection activeCell="G9" sqref="G9"/>
    </sheetView>
  </sheetViews>
  <sheetFormatPr defaultRowHeight="15" x14ac:dyDescent="0.25"/>
  <cols>
    <col min="4" max="4" width="12.85546875" bestFit="1" customWidth="1"/>
    <col min="8" max="8" width="13.42578125" bestFit="1" customWidth="1"/>
    <col min="9" max="9" width="11" bestFit="1" customWidth="1"/>
    <col min="11" max="11" width="8.42578125" bestFit="1" customWidth="1"/>
    <col min="12" max="12" width="13.42578125" bestFit="1" customWidth="1"/>
    <col min="13" max="13" width="11" bestFit="1" customWidth="1"/>
    <col min="16" max="16" width="9.28515625" bestFit="1" customWidth="1"/>
    <col min="17" max="17" width="14.42578125" bestFit="1" customWidth="1"/>
    <col min="18" max="18" width="14.85546875" bestFit="1" customWidth="1"/>
    <col min="19" max="19" width="16.5703125" bestFit="1" customWidth="1"/>
    <col min="20" max="20" width="15.42578125" bestFit="1" customWidth="1"/>
    <col min="21" max="21" width="14" bestFit="1" customWidth="1"/>
  </cols>
  <sheetData>
    <row r="1" spans="4:25" ht="15.75" thickBot="1" x14ac:dyDescent="0.3"/>
    <row r="2" spans="4:25" ht="15.75" thickBot="1" x14ac:dyDescent="0.3">
      <c r="D2" s="183" t="s">
        <v>7</v>
      </c>
      <c r="E2" s="184"/>
      <c r="F2" s="184"/>
      <c r="G2" s="184"/>
      <c r="H2" s="184"/>
      <c r="I2" s="184"/>
      <c r="J2" s="184"/>
      <c r="K2" s="184"/>
      <c r="L2" s="184"/>
      <c r="M2" s="184"/>
      <c r="N2" s="185"/>
    </row>
    <row r="3" spans="4:25" x14ac:dyDescent="0.25">
      <c r="D3" s="180" t="s">
        <v>6</v>
      </c>
      <c r="E3" s="181"/>
      <c r="F3" s="182"/>
      <c r="G3" s="180" t="s">
        <v>1</v>
      </c>
      <c r="H3" s="181"/>
      <c r="I3" s="181"/>
      <c r="J3" s="182"/>
      <c r="K3" s="180" t="s">
        <v>2</v>
      </c>
      <c r="L3" s="181"/>
      <c r="M3" s="181"/>
      <c r="N3" s="182"/>
      <c r="P3" s="180" t="s">
        <v>8</v>
      </c>
      <c r="Q3" s="181"/>
      <c r="R3" s="181"/>
      <c r="S3" s="181"/>
      <c r="T3" s="181"/>
      <c r="U3" s="142"/>
      <c r="V3" s="179"/>
      <c r="W3" s="179"/>
      <c r="X3" s="179"/>
      <c r="Y3" s="179"/>
    </row>
    <row r="4" spans="4:25" ht="15.75" thickBot="1" x14ac:dyDescent="0.3">
      <c r="D4" s="139" t="s">
        <v>9</v>
      </c>
      <c r="E4" s="140" t="s">
        <v>105</v>
      </c>
      <c r="F4" s="141" t="s">
        <v>10</v>
      </c>
      <c r="G4" s="139" t="s">
        <v>12</v>
      </c>
      <c r="H4" s="140" t="s">
        <v>5</v>
      </c>
      <c r="I4" s="140" t="s">
        <v>4</v>
      </c>
      <c r="J4" s="141" t="s">
        <v>10</v>
      </c>
      <c r="K4" s="139" t="s">
        <v>12</v>
      </c>
      <c r="L4" s="140" t="s">
        <v>5</v>
      </c>
      <c r="M4" s="140" t="s">
        <v>4</v>
      </c>
      <c r="N4" s="141" t="s">
        <v>10</v>
      </c>
      <c r="P4" s="143" t="s">
        <v>0</v>
      </c>
      <c r="Q4" s="144" t="s">
        <v>13</v>
      </c>
      <c r="R4" s="144" t="s">
        <v>14</v>
      </c>
      <c r="S4" s="144" t="s">
        <v>47</v>
      </c>
      <c r="T4" s="144" t="s">
        <v>106</v>
      </c>
      <c r="U4" s="145" t="s">
        <v>107</v>
      </c>
    </row>
    <row r="5" spans="4:25" x14ac:dyDescent="0.25">
      <c r="D5" s="134">
        <v>1.5</v>
      </c>
      <c r="E5" s="135">
        <v>69.53</v>
      </c>
      <c r="F5" s="136">
        <f>3.14*(D5*0.0254)^2/4*7.62*1000</f>
        <v>8.683095536999998</v>
      </c>
      <c r="G5" s="137" t="s">
        <v>3</v>
      </c>
      <c r="H5" s="135" t="s">
        <v>3</v>
      </c>
      <c r="I5" s="135"/>
      <c r="J5" s="138"/>
      <c r="K5" s="137">
        <v>1.59</v>
      </c>
      <c r="L5" s="135">
        <v>60.05</v>
      </c>
      <c r="M5" s="135">
        <v>114.3</v>
      </c>
      <c r="N5" s="136">
        <f>3.14*(L5/1000)^2/4*M5/1000*1000</f>
        <v>0.32355037731374997</v>
      </c>
      <c r="P5" s="124">
        <v>1.25</v>
      </c>
      <c r="Q5" s="127">
        <v>48.77</v>
      </c>
      <c r="R5" s="127">
        <f>+$K$10</f>
        <v>0.7</v>
      </c>
      <c r="S5" s="127">
        <f>+$M$10</f>
        <v>101.6</v>
      </c>
      <c r="T5" s="128">
        <f>3.14*(P5*0.0254)^2/4*7.62*1000</f>
        <v>6.0299274562500003</v>
      </c>
      <c r="U5" s="129">
        <f>+$N$10</f>
        <v>0.13439703499</v>
      </c>
      <c r="V5" s="1"/>
    </row>
    <row r="6" spans="4:25" x14ac:dyDescent="0.25">
      <c r="D6" s="124">
        <v>1.25</v>
      </c>
      <c r="E6" s="127">
        <v>49.1</v>
      </c>
      <c r="F6" s="129">
        <f t="shared" ref="F6:F11" si="0">3.14*(D6*0.0254)^2/4*7.62*1000</f>
        <v>6.0299274562500003</v>
      </c>
      <c r="G6" s="126">
        <v>0.96</v>
      </c>
      <c r="H6" s="127">
        <v>50.55</v>
      </c>
      <c r="I6" s="127">
        <v>114.3</v>
      </c>
      <c r="J6" s="129">
        <f>3.14*(H6/1000)^2/4*I6/1000*1000</f>
        <v>0.22927579446374999</v>
      </c>
      <c r="K6" s="126">
        <v>1.59</v>
      </c>
      <c r="L6" s="127">
        <v>60.05</v>
      </c>
      <c r="M6" s="127">
        <v>114.4</v>
      </c>
      <c r="N6" s="129">
        <f>3.14*(L6/1000)^2/4*M6/1000*1000</f>
        <v>0.32383344851000001</v>
      </c>
      <c r="P6" s="124">
        <v>1.375</v>
      </c>
      <c r="Q6" s="127">
        <v>56.77</v>
      </c>
      <c r="R6" s="127">
        <f t="shared" ref="R6:R9" si="1">+$K$10</f>
        <v>0.7</v>
      </c>
      <c r="S6" s="127">
        <f t="shared" ref="S6:S9" si="2">+$M$10</f>
        <v>101.6</v>
      </c>
      <c r="T6" s="128">
        <f t="shared" ref="T6:T9" si="3">3.14*(P6*0.0254)^2/4*7.62*1000</f>
        <v>7.2962122220624996</v>
      </c>
      <c r="U6" s="129">
        <f t="shared" ref="U6:U9" si="4">+$N$10</f>
        <v>0.13439703499</v>
      </c>
      <c r="V6" s="1"/>
    </row>
    <row r="7" spans="4:25" x14ac:dyDescent="0.25">
      <c r="D7" s="124">
        <v>1.125</v>
      </c>
      <c r="E7" s="127">
        <v>39.39</v>
      </c>
      <c r="F7" s="129">
        <f t="shared" si="0"/>
        <v>4.8842412395624999</v>
      </c>
      <c r="G7" s="126">
        <v>0.59</v>
      </c>
      <c r="H7" s="127">
        <v>50.55</v>
      </c>
      <c r="I7" s="127">
        <v>114.3</v>
      </c>
      <c r="J7" s="129">
        <f t="shared" ref="J7:J11" si="5">3.14*(H7/1000)^2/4*I7/1000*1000</f>
        <v>0.22927579446374999</v>
      </c>
      <c r="K7" s="126">
        <v>0.85</v>
      </c>
      <c r="L7" s="127">
        <v>60.05</v>
      </c>
      <c r="M7" s="127">
        <v>114.4</v>
      </c>
      <c r="N7" s="129">
        <f t="shared" ref="N7:N11" si="6">3.14*(L7/1000)^2/4*M7/1000*1000</f>
        <v>0.32383344851000001</v>
      </c>
      <c r="P7" s="124">
        <v>1.5</v>
      </c>
      <c r="Q7" s="127">
        <v>68.12</v>
      </c>
      <c r="R7" s="127">
        <f t="shared" si="1"/>
        <v>0.7</v>
      </c>
      <c r="S7" s="127">
        <f t="shared" si="2"/>
        <v>101.6</v>
      </c>
      <c r="T7" s="128">
        <f t="shared" si="3"/>
        <v>8.683095536999998</v>
      </c>
      <c r="U7" s="129">
        <f t="shared" si="4"/>
        <v>0.13439703499</v>
      </c>
      <c r="V7" s="1"/>
    </row>
    <row r="8" spans="4:25" x14ac:dyDescent="0.25">
      <c r="D8" s="124">
        <v>1</v>
      </c>
      <c r="E8" s="127">
        <v>31.9</v>
      </c>
      <c r="F8" s="129">
        <f t="shared" si="0"/>
        <v>3.8591535719999994</v>
      </c>
      <c r="G8" s="126">
        <v>0.96</v>
      </c>
      <c r="H8" s="127">
        <v>50.55</v>
      </c>
      <c r="I8" s="127">
        <v>101.6</v>
      </c>
      <c r="J8" s="129">
        <f t="shared" si="5"/>
        <v>0.20380070618999999</v>
      </c>
      <c r="K8" s="126">
        <v>1.28</v>
      </c>
      <c r="L8" s="127">
        <v>55.35</v>
      </c>
      <c r="M8" s="127">
        <v>101.6</v>
      </c>
      <c r="N8" s="129">
        <f t="shared" si="6"/>
        <v>0.24434227611000003</v>
      </c>
      <c r="P8" s="124">
        <v>1.625</v>
      </c>
      <c r="Q8" s="127">
        <v>79.48</v>
      </c>
      <c r="R8" s="127">
        <f t="shared" si="1"/>
        <v>0.7</v>
      </c>
      <c r="S8" s="127">
        <f t="shared" si="2"/>
        <v>101.6</v>
      </c>
      <c r="T8" s="128">
        <f t="shared" si="3"/>
        <v>10.1905774010625</v>
      </c>
      <c r="U8" s="129">
        <f t="shared" si="4"/>
        <v>0.13439703499</v>
      </c>
      <c r="V8" s="1"/>
    </row>
    <row r="9" spans="4:25" ht="15.75" thickBot="1" x14ac:dyDescent="0.3">
      <c r="D9" s="124">
        <v>0.875</v>
      </c>
      <c r="E9" s="127">
        <v>24.01</v>
      </c>
      <c r="F9" s="129">
        <f t="shared" si="0"/>
        <v>2.9546644535625002</v>
      </c>
      <c r="G9" s="126">
        <v>0.59</v>
      </c>
      <c r="H9" s="127">
        <v>41.05</v>
      </c>
      <c r="I9" s="127">
        <v>101.6</v>
      </c>
      <c r="J9" s="129">
        <f t="shared" si="5"/>
        <v>0.13439703499</v>
      </c>
      <c r="K9" s="126">
        <v>0.85</v>
      </c>
      <c r="L9" s="127">
        <v>45.75</v>
      </c>
      <c r="M9" s="127">
        <v>101.6</v>
      </c>
      <c r="N9" s="129">
        <f t="shared" si="6"/>
        <v>0.16693429274999999</v>
      </c>
      <c r="P9" s="125">
        <v>1.75</v>
      </c>
      <c r="Q9" s="130">
        <v>95.33</v>
      </c>
      <c r="R9" s="130">
        <f t="shared" si="1"/>
        <v>0.7</v>
      </c>
      <c r="S9" s="130">
        <f t="shared" si="2"/>
        <v>101.6</v>
      </c>
      <c r="T9" s="131">
        <f t="shared" si="3"/>
        <v>11.818657814250001</v>
      </c>
      <c r="U9" s="132">
        <f t="shared" si="4"/>
        <v>0.13439703499</v>
      </c>
    </row>
    <row r="10" spans="4:25" x14ac:dyDescent="0.25">
      <c r="D10" s="124">
        <v>0.75</v>
      </c>
      <c r="E10" s="127">
        <v>17.84</v>
      </c>
      <c r="F10" s="129">
        <f t="shared" si="0"/>
        <v>2.1707738842499995</v>
      </c>
      <c r="G10" s="126">
        <v>0.53</v>
      </c>
      <c r="H10" s="127">
        <v>37.85</v>
      </c>
      <c r="I10" s="127">
        <v>101.6</v>
      </c>
      <c r="J10" s="129">
        <f t="shared" si="5"/>
        <v>0.11426024011000001</v>
      </c>
      <c r="K10" s="126">
        <v>0.7</v>
      </c>
      <c r="L10" s="127">
        <v>41.05</v>
      </c>
      <c r="M10" s="127">
        <v>101.6</v>
      </c>
      <c r="N10" s="129">
        <f t="shared" si="6"/>
        <v>0.13439703499</v>
      </c>
    </row>
    <row r="11" spans="4:25" ht="15.75" thickBot="1" x14ac:dyDescent="0.3">
      <c r="D11" s="125">
        <f>5/8</f>
        <v>0.625</v>
      </c>
      <c r="E11" s="130">
        <v>12.31</v>
      </c>
      <c r="F11" s="132">
        <f t="shared" si="0"/>
        <v>1.5074818640625001</v>
      </c>
      <c r="G11" s="133">
        <v>0.35</v>
      </c>
      <c r="H11" s="130">
        <v>31.55</v>
      </c>
      <c r="I11" s="130">
        <v>101.6</v>
      </c>
      <c r="J11" s="132">
        <f t="shared" si="5"/>
        <v>7.9389321789999995E-2</v>
      </c>
      <c r="K11" s="133">
        <v>0.63</v>
      </c>
      <c r="L11" s="130">
        <v>37.85</v>
      </c>
      <c r="M11" s="130">
        <v>101.6</v>
      </c>
      <c r="N11" s="132">
        <f t="shared" si="6"/>
        <v>0.11426024011000001</v>
      </c>
    </row>
    <row r="25" spans="16:16" x14ac:dyDescent="0.25">
      <c r="P25" s="3"/>
    </row>
  </sheetData>
  <sheetProtection sheet="1" objects="1" scenarios="1"/>
  <mergeCells count="6">
    <mergeCell ref="V3:Y3"/>
    <mergeCell ref="G3:J3"/>
    <mergeCell ref="K3:N3"/>
    <mergeCell ref="D3:F3"/>
    <mergeCell ref="D2:N2"/>
    <mergeCell ref="P3:T3"/>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
  <sheetViews>
    <sheetView workbookViewId="0">
      <selection activeCell="I40" sqref="I40"/>
    </sheetView>
  </sheetViews>
  <sheetFormatPr defaultRowHeight="15" x14ac:dyDescent="0.25"/>
  <cols>
    <col min="1" max="7" width="9.140625" style="2"/>
    <col min="8" max="8" width="12.42578125" style="2" bestFit="1" customWidth="1"/>
    <col min="9" max="9" width="9.140625" style="2"/>
    <col min="10" max="10" width="12" style="2" bestFit="1" customWidth="1"/>
    <col min="11" max="16384" width="9.140625" style="2"/>
  </cols>
  <sheetData>
    <row r="3" spans="2:10" x14ac:dyDescent="0.25">
      <c r="B3" s="146" t="s">
        <v>35</v>
      </c>
      <c r="D3" s="146" t="s">
        <v>0</v>
      </c>
      <c r="F3" s="146" t="s">
        <v>43</v>
      </c>
      <c r="H3" s="146" t="s">
        <v>52</v>
      </c>
      <c r="J3" s="146" t="s">
        <v>53</v>
      </c>
    </row>
    <row r="4" spans="2:10" x14ac:dyDescent="0.25">
      <c r="B4" s="127" t="s">
        <v>41</v>
      </c>
      <c r="D4" s="123">
        <v>1.75</v>
      </c>
      <c r="F4" s="127" t="s">
        <v>44</v>
      </c>
      <c r="H4" s="127" t="s">
        <v>11</v>
      </c>
      <c r="J4" s="127" t="s">
        <v>57</v>
      </c>
    </row>
    <row r="5" spans="2:10" x14ac:dyDescent="0.25">
      <c r="B5" s="127" t="s">
        <v>42</v>
      </c>
      <c r="D5" s="123">
        <v>1.625</v>
      </c>
      <c r="F5" s="127" t="s">
        <v>45</v>
      </c>
      <c r="H5" s="127" t="s">
        <v>29</v>
      </c>
      <c r="J5" s="127" t="s">
        <v>56</v>
      </c>
    </row>
    <row r="6" spans="2:10" x14ac:dyDescent="0.25">
      <c r="D6" s="123">
        <v>1.5</v>
      </c>
    </row>
    <row r="7" spans="2:10" x14ac:dyDescent="0.25">
      <c r="D7" s="123">
        <v>1.375</v>
      </c>
    </row>
    <row r="8" spans="2:10" x14ac:dyDescent="0.25">
      <c r="D8" s="123">
        <v>1.25</v>
      </c>
    </row>
    <row r="9" spans="2:10" x14ac:dyDescent="0.25">
      <c r="D9" s="123">
        <v>1.125</v>
      </c>
    </row>
    <row r="10" spans="2:10" x14ac:dyDescent="0.25">
      <c r="D10" s="123">
        <v>1</v>
      </c>
    </row>
    <row r="11" spans="2:10" x14ac:dyDescent="0.25">
      <c r="D11" s="123">
        <v>0.875</v>
      </c>
    </row>
    <row r="12" spans="2:10" x14ac:dyDescent="0.25">
      <c r="D12" s="123">
        <v>0.75</v>
      </c>
    </row>
    <row r="13" spans="2:10" x14ac:dyDescent="0.25">
      <c r="D13" s="123">
        <v>0.625</v>
      </c>
    </row>
  </sheetData>
  <sheetProtection sheet="1" objects="1" scenarios="1"/>
  <sortState ref="D4:D8">
    <sortCondition descending="1" ref="D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0" sqref="B40"/>
    </sheetView>
  </sheetViews>
  <sheetFormatPr defaultRowHeight="15" x14ac:dyDescent="0.25"/>
  <cols>
    <col min="1" max="16384" width="9.140625" style="4"/>
  </cols>
  <sheetData/>
  <sheetProtection password="B26C"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0. Instrucciones</vt:lpstr>
      <vt:lpstr>1. Calculo de Pesca</vt:lpstr>
      <vt:lpstr>2. Propiedades de las Varillas</vt:lpstr>
      <vt:lpstr>3. Combos</vt:lpstr>
      <vt:lpstr>4. Aclinar</vt:lpstr>
      <vt:lpstr>cupla</vt:lpstr>
      <vt:lpstr>diametros</vt:lpstr>
      <vt:lpstr>'1. Calculo de Pesca'!Print_Area</vt:lpstr>
      <vt:lpstr>tipo</vt:lpstr>
      <vt:lpstr>u_largo</vt:lpstr>
      <vt:lpstr>u_peso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dc:creator>
  <cp:lastModifiedBy>PS</cp:lastModifiedBy>
  <cp:lastPrinted>2017-04-21T02:22:45Z</cp:lastPrinted>
  <dcterms:created xsi:type="dcterms:W3CDTF">2017-04-11T15:19:34Z</dcterms:created>
  <dcterms:modified xsi:type="dcterms:W3CDTF">2017-04-21T02:26:17Z</dcterms:modified>
</cp:coreProperties>
</file>